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sejos e Cancelamentos" sheetId="1" r:id="rId5"/>
    <sheet state="visible" name="Imaginarium" sheetId="2" r:id="rId6"/>
    <sheet state="visible" name="Puket" sheetId="3" r:id="rId7"/>
    <sheet state="visible" name="Puket escolares" sheetId="4" r:id="rId8"/>
    <sheet state="visible" name="Amostras CD" sheetId="5" r:id="rId9"/>
    <sheet state="visible" name="Encerramentos" sheetId="6" r:id="rId10"/>
    <sheet state="visible" name="Certificação Unificada" sheetId="7" r:id="rId11"/>
    <sheet state="visible" name="Documentos" sheetId="8" r:id="rId12"/>
    <sheet state="visible" name="KPI" sheetId="9" r:id="rId13"/>
    <sheet state="visible" name="Produtos certificados" sheetId="10" r:id="rId14"/>
    <sheet state="hidden" name="Base Odoo - IMG" sheetId="11" r:id="rId15"/>
    <sheet state="hidden" name="Processos 100% Qualidade" sheetId="12" r:id="rId16"/>
  </sheets>
  <definedNames>
    <definedName hidden="1" localSheetId="1" name="_xlnm._FilterDatabase">Imaginarium!$A$1:$W$810</definedName>
    <definedName hidden="1" localSheetId="2" name="_xlnm._FilterDatabase">Puket!$A$1:$V$603</definedName>
    <definedName hidden="1" localSheetId="3" name="_xlnm._FilterDatabase">'Puket escolares'!$A$1:$I$118</definedName>
    <definedName hidden="1" localSheetId="5" name="_xlnm._FilterDatabase">Encerramentos!$A$1:$I$218</definedName>
    <definedName hidden="1" localSheetId="1" name="Z_6C5725FA_0D4A_46AD_A831_E82FB2A5D55C_.wvu.FilterData">Imaginarium!$A$1:$V$810</definedName>
    <definedName hidden="1" localSheetId="1" name="Z_D0AFF231_FA66_403A_9E1B_F06EA203B753_.wvu.FilterData">Imaginarium!$A$1:$V$810</definedName>
    <definedName hidden="1" localSheetId="2" name="Z_D0AFF231_FA66_403A_9E1B_F06EA203B753_.wvu.FilterData">Puket!$A$1:$T$17</definedName>
    <definedName hidden="1" localSheetId="1" name="Z_A70C5536_001D_4756_8E73_AB34B92543E2_.wvu.FilterData">Imaginarium!$A$1:$V$810</definedName>
  </definedNames>
  <calcPr/>
  <customWorkbookViews>
    <customWorkbookView activeSheetId="0" maximized="1" windowHeight="0" windowWidth="0" guid="{D0AFF231-FA66-403A-9E1B-F06EA203B753}" name="Eduarda"/>
    <customWorkbookView activeSheetId="0" maximized="1" windowHeight="0" windowWidth="0" guid="{6C5725FA-0D4A-46AD-A831-E82FB2A5D55C}" name="Filtro 1"/>
    <customWorkbookView activeSheetId="0" maximized="1" windowHeight="0" windowWidth="0" guid="{A70C5536-001D-4756-8E73-AB34B92543E2}" name="Filtro 2"/>
  </customWorkbookViews>
  <pivotCaches>
    <pivotCache cacheId="0" r:id="rId17"/>
    <pivotCache cacheId="1" r:id="rId18"/>
    <pivotCache cacheId="2" r:id="rId19"/>
    <pivotCache cacheId="3" r:id="rId2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tc={0075d7f4-28e5-47fd-b9ce-9eb2dce00cfa}</author>
    <author>tc={04e46c95-c62d-4af2-9d09-d6b6657831a6}</author>
    <author>tc={0570ca86-58b5-4067-a632-e59856e4a454}</author>
    <author>tc={0bd27158-3e90-49a9-a390-3e59d91f1ef1}</author>
    <author>tc={0d2c6348-c055-43fb-a6f9-bf460840c3f8}</author>
    <author>tc={11e8b1e4-c66b-4ee5-8192-f63af4ee1cbf}</author>
    <author>tc={16cad10d-da9a-4680-917d-bc7cfff68ba7}</author>
    <author>tc={184601a4-2f71-4024-92b7-74cf704420c6}</author>
    <author>tc={1e4f6a28-e611-48a6-b9d6-617b3644d9d5}</author>
    <author>tc={1f8a7c35-16ec-4f6d-bf0b-5b614e35b657}</author>
    <author>tc={1fb8f167-bfac-4a70-873d-33d9a4cf74a2}</author>
    <author>tc={21161480-15bb-4430-9d72-bc702e80dede}</author>
    <author>tc={2288a236-780a-43fb-a5fe-0e5108b0edae}</author>
    <author>tc={22b7acd4-eac7-46ef-8d35-bcef37890b39}</author>
    <author>tc={2bcc80f9-78e6-4d2b-93d2-4d7688f000ba}</author>
    <author>tc={2c30482f-05a7-4162-8274-1169909d60db}</author>
    <author>tc={3209589e-9da8-4555-9a2e-a520bbf60747}</author>
    <author>tc={3249e838-9669-4918-9da3-13e3470b252a}</author>
    <author>tc={32c12798-efc7-4a9b-8a73-14c9a8da6da4}</author>
    <author>tc={348e4c07-afd7-483d-8e3c-103c171b606c}</author>
    <author>tc={34c74a56-2fc9-4ac3-aa3d-3a643d69e183}</author>
    <author>tc={35340a16-69c8-42ad-bf02-dc9039f381b6}</author>
    <author>tc={36ed1c70-1628-4357-ade4-e1a89f219f3c}</author>
    <author>tc={3986f2f4-ddbf-4dee-b67f-ac00d7acfaa8}</author>
    <author>tc={3e2fe611-7407-4330-b042-dcb2be1ced3e}</author>
    <author>tc={4053d3cc-ad02-46d1-b34d-6d0ac084a488}</author>
    <author>tc={4268cc5a-74af-43f6-94dc-be005683a9aa}</author>
    <author>tc={4c702283-9bcd-426c-b6ea-1a1f9b6f096f}</author>
    <author>tc={4d78fd65-2c3f-4568-a106-b5b558d9eb11}</author>
    <author>tc={4d794877-8eed-4980-8f2a-315d52a19795}</author>
    <author>tc={4fe9485b-3fbb-4d7f-8004-65eaea514bbc}</author>
    <author>tc={52c689e3-f717-4d92-ae9c-45ce0dcddbcd}</author>
    <author>tc={54a7ee99-dc48-4ce2-a578-cc92ad62cd00}</author>
    <author>tc={55e234e9-6fa2-4592-8988-f9e9e0c39d8b}</author>
    <author>tc={57147dde-8ef8-4057-ae1f-8c12dca3939e}</author>
    <author>tc={5bb315e4-b257-4755-b80a-f8c31986d441}</author>
    <author>tc={5bb5ae07-efd1-45a7-8404-1b795951329f}</author>
    <author>tc={600209a3-d1d9-4a33-8214-ec0af25bdee1}</author>
    <author>tc={6184c5f8-954f-433e-92ad-fcb89e5c57c6}</author>
    <author>tc={63d892df-b346-408a-a017-5ce5176bac01}</author>
    <author>tc={65dbf5a7-9091-48d9-b2ba-78fbf0a857e5}</author>
    <author>tc={6ae1c132-9fca-40f0-ae92-ffd6f86b6e81}</author>
    <author>tc={6e5a4f3b-73ef-484c-9468-c85c55c8d551}</author>
    <author>tc={6eda1280-7fbe-4dab-b1e6-23dd84ef7b4c}</author>
    <author>tc={754ac3b1-13ea-49f8-af93-9ea8f89b4ee0}</author>
    <author>tc={754fd306-7057-4b18-bef5-1b3689ea1ffd}</author>
    <author>tc={77f4e7f7-5ca6-4c86-8c14-012ace1d7ced}</author>
    <author>tc={7df66a43-3f43-4159-a691-04b51a0f64a4}</author>
    <author>tc={800717dc-9c47-4db0-a75c-11b22cdd2510}</author>
    <author>tc={85602f7b-0a7d-4643-ad52-545ee9678adf}</author>
    <author>tc={8695ac15-5382-49f3-ba33-d462a4527c10}</author>
    <author>tc={86c36021-bbd7-4acc-97ee-8a0b6754a76b}</author>
    <author>tc={877352ac-6678-49a6-a055-6e0e6d16bcdd}</author>
    <author>tc={884643db-fc1f-49c8-9ba2-cc98cb750961}</author>
    <author>tc={8fc0b356-64c1-456b-bab0-980cb11dc440}</author>
    <author>tc={913806b1-f90a-4881-9e50-e829133094bd}</author>
    <author>tc={9227f530-13cb-4697-b618-6e61f058981a}</author>
    <author>tc={92570bcd-e7a2-4c44-82a3-b1a1e1596afc}</author>
    <author>tc={925e6c8c-7464-450f-8f95-9e309227c7f5}</author>
    <author>tc={92f9d6c2-c666-4d33-99f7-847049f3eb3f}</author>
    <author>tc={94fb44f7-b155-4a7f-95d1-6faa86fa8e2e}</author>
    <author>tc={96d5ca81-6bb9-4f28-9eca-9a34fd12a5e7}</author>
    <author>tc={98784a50-0ef9-4f1e-a3ea-7d4407d045cc}</author>
    <author>tc={98a0534c-1efa-4647-9c6b-0827b05a1281}</author>
    <author>tc={99af24ad-a644-4222-8f7a-a3522563e364}</author>
    <author>tc={9d870cea-1194-416c-9aa7-0970b9f1385c}</author>
    <author>tc={9daddb00-7874-4ae0-8585-2ddde3e883a8}</author>
    <author>tc={9f42318b-2519-47f5-a5b3-5dfe1d8ab235}</author>
    <author>tc={a3b146f0-34df-42af-a26e-ff30b7085996}</author>
    <author>tc={a59eef5f-7082-4980-9888-deba06fb77e7}</author>
    <author>tc={a724aa22-de38-4aa7-a8d7-a55d3c982eaa}</author>
    <author>tc={a7497a1a-7279-44f5-96c2-69dc1d5f1524}</author>
    <author>tc={a83c500a-49c7-4a6b-a581-24cb1d45c0ce}</author>
    <author>tc={a86a0a0b-a74b-443e-8394-4c204bfc9c7a}</author>
    <author>tc={a89049ae-98d5-4d9e-a15b-ed95bcf2b925}</author>
    <author>tc={ad969ac5-0d42-433e-926b-82460d9ad6a4}</author>
    <author>tc={b23837f6-6856-4405-a630-1b4a79d6f88d}</author>
    <author>tc={b3dafbdf-6f9b-439e-9ae3-a8b29212a10b}</author>
    <author>tc={b3e9ae60-1cf9-4a2a-8f0f-979f882416b8}</author>
    <author>tc={b6bfc268-e91d-41a9-9cc3-79d73d848bd1}</author>
    <author>tc={c1a43a64-01f5-4791-ae04-42816eb53527}</author>
    <author>tc={c6944f1d-765c-442d-8557-b9fd48a30865}</author>
    <author>tc={c6fb63d2-87a3-49c8-85ce-2814312ca4ed}</author>
    <author>tc={c7446f67-5c12-4b58-b43b-3f8dab7f7100}</author>
    <author>tc={ced1d8b2-ad3b-4747-8695-50b0ab415479}</author>
    <author>tc={d3f7ee16-9faf-4cb2-942d-e2f26c89ca65}</author>
    <author>tc={d78a98b6-11fd-48bb-81c5-ab3690e90820}</author>
    <author>tc={db093102-42d8-4107-892f-4b3b26e84aca}</author>
    <author>tc={e10dc20c-c1cc-49d3-ab82-737299fc54ca}</author>
    <author>tc={e2291599-dd10-4579-9683-9428430d4304}</author>
    <author>tc={e9fd598a-591a-4dae-94ae-fa7248cb8188}</author>
    <author>tc={ebdfa5c4-89bc-43ba-9117-1028d21c95b4}</author>
    <author>tc={ef383242-d4ad-42af-9315-74c82191eaf7}</author>
    <author>tc={ef7e9017-9dc6-46d7-9fee-8bc3bb1efd3c}</author>
    <author>tc={f17ea2a8-3efa-41c7-b810-dc55e9b21ccf}</author>
    <author>tc={f404656c-a754-46ac-8462-884d42c7fb20}</author>
    <author>tc={f4c0c343-6e0e-4616-aef0-57817527342e}</author>
    <author>tc={f80f49ab-df0a-48d8-9949-ea20cbceb09f}</author>
    <author>tc={f964770c-6eda-4509-92b3-5d4db41f2f88}</author>
    <author>tc={fd159427-c110-42aa-ade9-e8f3d9e622f1}</author>
    <author>tc={fe9f43a4-183b-4ff1-9f56-5e210ff4dfbc}</author>
    <author>tc={ff4d320a-aa94-4054-8388-38cd699a9458}</author>
  </authors>
  <commentList>
    <comment authorId="0" xr:uid="{0075d7f4-28e5-47fd-b9ce-9eb2dce00cfa}" ref="F48">
      <text>
        <t xml:space="preserve">[Threaded comment]
 Your version of Excel allows you to read this threaded comment; however, any edits to it will get removed if the file is opened in a newer version of Excel. Learn more: https://go.microsoft.com/fwlink/?linkid=870924
Comment:
	Double check com o time na china e avaliar se teve troca da PCB / Módulo Bluetooth
</t>
      </text>
    </comment>
    <comment authorId="1" xr:uid="{04e46c95-c62d-4af2-9d09-d6b6657831a6}" ref="A1">
      <text>
        <t xml:space="preserve">[Threaded comment]
 Your version of Excel allows you to read this threaded comment; however, any edits to it will get removed if the file is opened in a newer version of Excel. Learn more: https://go.microsoft.com/fwlink/?linkid=870924
Comment:
	Documentação Recebida, aguardando aprovação da equipe para início do processo de certificação
</t>
      </text>
    </comment>
    <comment authorId="2" xr:uid="{0570ca86-58b5-4067-a632-e59856e4a454}" ref="A1">
      <text>
        <t xml:space="preserve">[Threaded comment]
 Your version of Excel allows you to read this threaded comment; however, any edits to it will get removed if the file is opened in a newer version of Excel. Learn more: https://go.microsoft.com/fwlink/?linkid=870924
Comment:
	aqui foram 6?
</t>
      </text>
    </comment>
    <comment authorId="3" xr:uid="{0bd27158-3e90-49a9-a390-3e59d91f1ef1}" ref="A1">
      <text>
        <t xml:space="preserve">[Threaded comment]
 Your version of Excel allows you to read this threaded comment; however, any edits to it will get removed if the file is opened in a newer version of Excel. Learn more: https://go.microsoft.com/fwlink/?linkid=870924
Comment:
	Verificar se dá para reutilizar o módulo da 3rd eye
</t>
      </text>
    </comment>
    <comment authorId="4" xr:uid="{0d2c6348-c055-43fb-a6f9-bf460840c3f8}" ref="F15">
      <text>
        <t xml:space="preserve">[Threaded comment]
 Your version of Excel allows you to read this threaded comment; however, any edits to it will get removed if the file is opened in a newer version of Excel. Learn more: https://go.microsoft.com/fwlink/?linkid=870924
Comment:
	Estimativa do selo em fevereiro.
Checar cronograma de chegadas e se ficar muito apertado retrabalharemos no Brasil.
</t>
      </text>
    </comment>
    <comment authorId="5" xr:uid="{11e8b1e4-c66b-4ee5-8192-f63af4ee1cbf}" ref="F8">
      <text>
        <t xml:space="preserve">[Threaded comment]
 Your version of Excel allows you to read this threaded comment; however, any edits to it will get removed if the file is opened in a newer version of Excel. Learn more: https://go.microsoft.com/fwlink/?linkid=870924
Comment:
	Existe interesse de recompra. Ainda falta os adesivos. Estimativa de adesivos final de dezembro, início de janeiro. Checar cronograma pra ver se teremos que retrabalhar no Brasil.
</t>
      </text>
    </comment>
    <comment authorId="6" xr:uid="{16cad10d-da9a-4680-917d-bc7cfff68ba7}" ref="D133">
      <text>
        <t xml:space="preserve">[Threaded comment]
 Your version of Excel allows you to read this threaded comment; however, any edits to it will get removed if the file is opened in a newer version of Excel. Learn more: https://go.microsoft.com/fwlink/?linkid=870924
Comment:
	Possível alteração para FAT 10 - 2023
</t>
      </text>
    </comment>
    <comment authorId="7" xr:uid="{184601a4-2f71-4024-92b7-74cf704420c6}" ref="A1">
      <text>
        <t xml:space="preserve">[Threaded comment]
 Your version of Excel allows you to read this threaded comment; however, any edits to it will get removed if the file is opened in a newer version of Excel. Learn more: https://go.microsoft.com/fwlink/?linkid=870924
Comment:
	02/12 solicitada amostra ERP
</t>
      </text>
    </comment>
    <comment authorId="8" xr:uid="{1e4f6a28-e611-48a6-b9d6-617b3644d9d5}" ref="J35">
      <text>
        <t xml:space="preserve">[Threaded comment]
 Your version of Excel allows you to read this threaded comment; however, any edits to it will get removed if the file is opened in a newer version of Excel. Learn more: https://go.microsoft.com/fwlink/?linkid=870924
Comment:
	COBRAR TAMANHO E RESPOSTA DO SELO ANATEL PARA MASTER
</t>
      </text>
    </comment>
    <comment authorId="9" xr:uid="{1f8a7c35-16ec-4f6d-bf0b-5b614e35b657}" ref="I40">
      <text>
        <t xml:space="preserve">[Threaded comment]
 Your version of Excel allows you to read this threaded comment; however, any edits to it will get removed if the file is opened in a newer version of Excel. Learn more: https://go.microsoft.com/fwlink/?linkid=870924
Comment:
	02/12 solicitada amostra ERP
</t>
      </text>
    </comment>
    <comment authorId="10" xr:uid="{1fb8f167-bfac-4a70-873d-33d9a4cf74a2}" ref="E45">
      <text>
        <t xml:space="preserve">[Threaded comment]
 Your version of Excel allows you to read this threaded comment; however, any edits to it will get removed if the file is opened in a newer version of Excel. Learn more: https://go.microsoft.com/fwlink/?linkid=870924
Comment:
	já tem fornecedor definido! @guilherme.carvalho@grupounico.com
acredito que aqui seria bom um procv das chegadas, não?
</t>
      </text>
    </comment>
    <comment authorId="11" xr:uid="{21161480-15bb-4430-9d72-bc702e80dede}" ref="A1">
      <text>
        <t xml:space="preserve">[Threaded comment]
 Your version of Excel allows you to read this threaded comment; however, any edits to it will get removed if the file is opened in a newer version of Excel. Learn more: https://go.microsoft.com/fwlink/?linkid=870924
Comment:
	02/12 solicitada amostra no WEP
</t>
      </text>
    </comment>
    <comment authorId="12" xr:uid="{2288a236-780a-43fb-a5fe-0e5108b0edae}" ref="F5">
      <text>
        <t xml:space="preserve">[Threaded comment]
 Your version of Excel allows you to read this threaded comment; however, any edits to it will get removed if the file is opened in a newer version of Excel. Learn more: https://go.microsoft.com/fwlink/?linkid=870924
Comment:
	Produto passará por ensaios. Auditoria será feita em 06/12.
Precisará ser retrabalhado no Brasil.
</t>
      </text>
    </comment>
    <comment authorId="13" xr:uid="{22b7acd4-eac7-46ef-8d35-bcef37890b39}" ref="C75">
      <text>
        <t xml:space="preserve">[Threaded comment]
 Your version of Excel allows you to read this threaded comment; however, any edits to it will get removed if the file is opened in a newer version of Excel. Learn more: https://go.microsoft.com/fwlink/?linkid=870924
Comment:
	Verificando com André impacto em prazo, tem um item da norma desse eletro que a STU não faz o teste.
</t>
      </text>
    </comment>
    <comment authorId="14" xr:uid="{2bcc80f9-78e6-4d2b-93d2-4d7688f000ba}" ref="F23">
      <text>
        <t xml:space="preserve">[Threaded comment]
 Your version of Excel allows you to read this threaded comment; however, any edits to it will get removed if the file is opened in a newer version of Excel. Learn more: https://go.microsoft.com/fwlink/?linkid=870924
Comment:
	Passar no ERP o pedido para incluir a etiqueta do produto
</t>
      </text>
    </comment>
    <comment authorId="15" xr:uid="{2c30482f-05a7-4162-8274-1169909d60db}" ref="F7">
      <text>
        <t xml:space="preserve">[Threaded comment]
 Your version of Excel allows you to read this threaded comment; however, any edits to it will get removed if the file is opened in a newer version of Excel. Learn more: https://go.microsoft.com/fwlink/?linkid=870924
Comment:
	Certificação em lote. Existe possibilidade de certificarmos na China.
</t>
      </text>
    </comment>
    <comment authorId="16" xr:uid="{3209589e-9da8-4555-9a2e-a520bbf60747}" ref="F14">
      <text>
        <t xml:space="preserve">[Threaded comment]
 Your version of Excel allows you to read this threaded comment; however, any edits to it will get removed if the file is opened in a newer version of Excel. Learn more: https://go.microsoft.com/fwlink/?linkid=870924
Comment:
	certificar módulo BT. 20 a 30 dias.
</t>
      </text>
    </comment>
    <comment authorId="17" xr:uid="{3249e838-9669-4918-9da3-13e3470b252a}" ref="F17">
      <text>
        <t xml:space="preserve">[Threaded comment]
 Your version of Excel allows you to read this threaded comment; however, any edits to it will get removed if the file is opened in a newer version of Excel. Learn more: https://go.microsoft.com/fwlink/?linkid=870924
Comment:
	Certificação de brinquedo. Talvez tentarmos lote etiquetado na China. 
Certificar o lote. Checar prazo do produto no chegadas.
</t>
      </text>
    </comment>
    <comment authorId="18" xr:uid="{32c12798-efc7-4a9b-8a73-14c9a8da6da4}" ref="A1">
      <text>
        <t xml:space="preserve">[Threaded comment]
 Your version of Excel allows you to read this threaded comment; however, any edits to it will get removed if the file is opened in a newer version of Excel. Learn more: https://go.microsoft.com/fwlink/?linkid=870924
Comment:
	Ver com a Fer da Visto o produto, shape e afins
</t>
      </text>
    </comment>
    <comment authorId="19" xr:uid="{348e4c07-afd7-483d-8e3c-103c171b606c}" ref="D135">
      <text>
        <t xml:space="preserve">[Threaded comment]
 Your version of Excel allows you to read this threaded comment; however, any edits to it will get removed if the file is opened in a newer version of Excel. Learn more: https://go.microsoft.com/fwlink/?linkid=870924
Comment:
	Possível alteração para FAT 10 - 2023
</t>
      </text>
    </comment>
    <comment authorId="20" xr:uid="{34c74a56-2fc9-4ac3-aa3d-3a643d69e183}" ref="J128">
      <text>
        <t xml:space="preserve">[Threaded comment]
 Your version of Excel allows you to read this threaded comment; however, any edits to it will get removed if the file is opened in a newer version of Excel. Learn more: https://go.microsoft.com/fwlink/?linkid=870924
Comment:
	Verificar
</t>
      </text>
    </comment>
    <comment authorId="21" xr:uid="{35340a16-69c8-42ad-bf02-dc9039f381b6}" ref="A1">
      <text>
        <t xml:space="preserve">[Threaded comment]
 Your version of Excel allows you to read this threaded comment; however, any edits to it will get removed if the file is opened in a newer version of Excel. Learn more: https://go.microsoft.com/fwlink/?linkid=870924
Comment:
	vamos ter que fazer de novo ano que vem?
</t>
      </text>
    </comment>
    <comment authorId="22" xr:uid="{36ed1c70-1628-4357-ade4-e1a89f219f3c}" ref="A1">
      <text>
        <t xml:space="preserve">[Threaded comment]
 Your version of Excel allows you to read this threaded comment; however, any edits to it will get removed if the file is opened in a newer version of Excel. Learn more: https://go.microsoft.com/fwlink/?linkid=870924
Comment:
	está sendo contemplado que será pago no orçamento de 2020!
</t>
      </text>
    </comment>
    <comment authorId="23" xr:uid="{3986f2f4-ddbf-4dee-b67f-ac00d7acfaa8}" ref="A1">
      <text>
        <t xml:space="preserve">[Threaded comment]
 Your version of Excel allows you to read this threaded comment; however, any edits to it will get removed if the file is opened in a newer version of Excel. Learn more: https://go.microsoft.com/fwlink/?linkid=870924
Comment:
	produto cancelado, podemos tirar da planilha
</t>
      </text>
    </comment>
    <comment authorId="24" xr:uid="{3e2fe611-7407-4330-b042-dcb2be1ced3e}" ref="I14">
      <text>
        <t xml:space="preserve">[Threaded comment]
 Your version of Excel allows you to read this threaded comment; however, any edits to it will get removed if the file is opened in a newer version of Excel. Learn more: https://go.microsoft.com/fwlink/?linkid=870924
Comment:
	02/12 solicitada amostra ERP
</t>
      </text>
    </comment>
    <comment authorId="25" xr:uid="{4053d3cc-ad02-46d1-b34d-6d0ac084a488}" ref="A1">
      <text>
        <t xml:space="preserve">[Threaded comment]
 Your version of Excel allows you to read this threaded comment; however, any edits to it will get removed if the file is opened in a newer version of Excel. Learn more: https://go.microsoft.com/fwlink/?linkid=870924
Comment:
	Late FAT 1 - Serena
</t>
      </text>
    </comment>
    <comment authorId="26" xr:uid="{4268cc5a-74af-43f6-94dc-be005683a9aa}" ref="A1">
      <text>
        <t xml:space="preserve">[Threaded comment]
 Your version of Excel allows you to read this threaded comment; however, any edits to it will get removed if the file is opened in a newer version of Excel. Learn more: https://go.microsoft.com/fwlink/?linkid=870924
Comment:
	Poderemos certificar o fornecedor. 20 a 30 dias para certificação.
</t>
      </text>
    </comment>
    <comment authorId="27" xr:uid="{4c702283-9bcd-426c-b6ea-1a1f9b6f096f}" ref="A1">
      <text>
        <t xml:space="preserve">[Threaded comment]
 Your version of Excel allows you to read this threaded comment; however, any edits to it will get removed if the file is opened in a newer version of Excel. Learn more: https://go.microsoft.com/fwlink/?linkid=870924
Comment:
	talvez cancele: pouca quantidade, muito caro certificar.
</t>
      </text>
    </comment>
    <comment authorId="28" xr:uid="{4d78fd65-2c3f-4568-a106-b5b558d9eb11}" ref="A1">
      <text>
        <t xml:space="preserve">[Threaded comment]
 Your version of Excel allows you to read this threaded comment; however, any edits to it will get removed if the file is opened in a newer version of Excel. Learn more: https://go.microsoft.com/fwlink/?linkid=870924
Comment:
	https://mail.google.com/mail/u/2/?tab=wm&amp;ogbl#inbox/FMfcgxwKjBJBJCXgsWLDdMkbZTDJcRxH
</t>
      </text>
    </comment>
    <comment authorId="29" xr:uid="{4d794877-8eed-4980-8f2a-315d52a19795}" ref="A1">
      <text>
        <t xml:space="preserve">[Threaded comment]
 Your version of Excel allows you to read this threaded comment; however, any edits to it will get removed if the file is opened in a newer version of Excel. Learn more: https://go.microsoft.com/fwlink/?linkid=870924
Comment:
	Teste ASTEC - INPUT até XX/XX
@elizeu.schutz@grupounico.com 
@willian.miranda@imaginarium.com.br
</t>
      </text>
    </comment>
    <comment authorId="30" xr:uid="{4fe9485b-3fbb-4d7f-8004-65eaea514bbc}" ref="I20">
      <text>
        <t xml:space="preserve">[Threaded comment]
 Your version of Excel allows you to read this threaded comment; however, any edits to it will get removed if the file is opened in a newer version of Excel. Learn more: https://go.microsoft.com/fwlink/?linkid=870924
Comment:
	02/12 solicitada amostra ERP
</t>
      </text>
    </comment>
    <comment authorId="31" xr:uid="{52c689e3-f717-4d92-ae9c-45ce0dcddbcd}" ref="A1">
      <text>
        <t xml:space="preserve">[Threaded comment]
 Your version of Excel allows you to read this threaded comment; however, any edits to it will get removed if the file is opened in a newer version of Excel. Learn more: https://go.microsoft.com/fwlink/?linkid=870924
Comment:
	Late FAT 09
</t>
      </text>
    </comment>
    <comment authorId="32" xr:uid="{54a7ee99-dc48-4ce2-a578-cc92ad62cd00}" ref="A1">
      <text>
        <t xml:space="preserve">[Threaded comment]
 Your version of Excel allows you to read this threaded comment; however, any edits to it will get removed if the file is opened in a newer version of Excel. Learn more: https://go.microsoft.com/fwlink/?linkid=870924
Comment:
	em cotação fat 2, não confirmado ainda
</t>
      </text>
    </comment>
    <comment authorId="33" xr:uid="{55e234e9-6fa2-4592-8988-f9e9e0c39d8b}" ref="D28">
      <text>
        <t xml:space="preserve">[Threaded comment]
 Your version of Excel allows you to read this threaded comment; however, any edits to it will get removed if the file is opened in a newer version of Excel. Learn more: https://go.microsoft.com/fwlink/?linkid=870924
Comment:
	Recompra FAT 08
</t>
      </text>
    </comment>
    <comment authorId="34" xr:uid="{57147dde-8ef8-4057-ae1f-8c12dca3939e}" ref="A1">
      <text>
        <t xml:space="preserve">[Threaded comment]
 Your version of Excel allows you to read this threaded comment; however, any edits to it will get removed if the file is opened in a newer version of Excel. Learn more: https://go.microsoft.com/fwlink/?linkid=870924
Comment:
	produto em stand by para desenvolvimento, provável que fat 3, vamos rever parte interna, nao solicitar amostra ainda @guilherme.carvalho@grupounico.com
Atribuído a 
</t>
      </text>
    </comment>
    <comment authorId="35" xr:uid="{5bb315e4-b257-4755-b80a-f8c31986d441}" ref="F19">
      <text>
        <t xml:space="preserve">[Threaded comment]
 Your version of Excel allows you to read this threaded comment; however, any edits to it will get removed if the file is opened in a newer version of Excel. Learn more: https://go.microsoft.com/fwlink/?linkid=870924
Comment:
	Estimativa do selo em fevereiro.
Checar cronograma de chegadas e se ficar muito apertado retrabalharemos no Brasil.
</t>
      </text>
    </comment>
    <comment authorId="36" xr:uid="{5bb5ae07-efd1-45a7-8404-1b795951329f}" ref="Q47">
      <text>
        <t xml:space="preserve">[Threaded comment]
 Your version of Excel allows you to read this threaded comment; however, any edits to it will get removed if the file is opened in a newer version of Excel. Learn more: https://go.microsoft.com/fwlink/?linkid=870924
Comment:
	Código incorreto - Vincent enviou nova Rep. Letter em 12/05, código correto sairá no dia 21/05.
</t>
      </text>
    </comment>
    <comment authorId="37" xr:uid="{600209a3-d1d9-4a33-8214-ec0af25bdee1}" ref="F6">
      <text>
        <t xml:space="preserve">[Threaded comment]
 Your version of Excel allows you to read this threaded comment; however, any edits to it will get removed if the file is opened in a newer version of Excel. Learn more: https://go.microsoft.com/fwlink/?linkid=870924
Comment:
	Checar com China se nosso módulo bluetooth já está certificado. Precisamos enviar selo
</t>
      </text>
    </comment>
    <comment authorId="38" xr:uid="{6184c5f8-954f-433e-92ad-fcb89e5c57c6}" ref="A1">
      <text>
        <t xml:space="preserve">[Threaded comment]
 Your version of Excel allows you to read this threaded comment; however, any edits to it will get removed if the file is opened in a newer version of Excel. Learn more: https://go.microsoft.com/fwlink/?linkid=870924
Comment:
	está sendo contemplado que será pago no orçamento de 2020!
</t>
      </text>
    </comment>
    <comment authorId="39" xr:uid="{63d892df-b346-408a-a017-5ce5176bac01}" ref="A1">
      <text>
        <t xml:space="preserve">[Threaded comment]
 Your version of Excel allows you to read this threaded comment; however, any edits to it will get removed if the file is opened in a newer version of Excel. Learn more: https://go.microsoft.com/fwlink/?linkid=870924
Comment:
	não vamos mais recomprar, cmv altíssimo
</t>
      </text>
    </comment>
    <comment authorId="40" xr:uid="{65dbf5a7-9091-48d9-b2ba-78fbf0a857e5}" ref="A1">
      <text>
        <t xml:space="preserve">[Threaded comment]
 Your version of Excel allows you to read this threaded comment; however, any edits to it will get removed if the file is opened in a newer version of Excel. Learn more: https://go.microsoft.com/fwlink/?linkid=870924
Comment:
	https://mail.google.com/mail/u/2/?tab=wm&amp;ogbl#inbox/FMfcgxwKjBJBJCXgsWLDdMkbZTDJcRxH
</t>
      </text>
    </comment>
    <comment authorId="41" xr:uid="{6ae1c132-9fca-40f0-ae92-ffd6f86b6e81}" ref="A1">
      <text>
        <t xml:space="preserve">[Threaded comment]
 Your version of Excel allows you to read this threaded comment; however, any edits to it will get removed if the file is opened in a newer version of Excel. Learn more: https://go.microsoft.com/fwlink/?linkid=870924
Comment:
	considerando 1 eletrodoméstico a cada bimestre!
</t>
      </text>
    </comment>
    <comment authorId="42" xr:uid="{6e5a4f3b-73ef-484c-9468-c85c55c8d551}" ref="A1">
      <text>
        <t xml:space="preserve">[Threaded comment]
 Your version of Excel allows you to read this threaded comment; however, any edits to it will get removed if the file is opened in a newer version of Excel. Learn more: https://go.microsoft.com/fwlink/?linkid=870924
Comment:
	Ainda não está definido o shape
Reply:
	está sendo cotado com ambos, china sabe que o preferencial é Hesen mas ainda não recebemos cotação, projeto foi enviado na última sexta!
</t>
      </text>
    </comment>
    <comment authorId="43" xr:uid="{6eda1280-7fbe-4dab-b1e6-23dd84ef7b4c}" ref="J34">
      <text>
        <t xml:space="preserve">[Threaded comment]
 Your version of Excel allows you to read this threaded comment; however, any edits to it will get removed if the file is opened in a newer version of Excel. Learn more: https://go.microsoft.com/fwlink/?linkid=870924
Comment:
	Gerar o código de barras.
</t>
      </text>
    </comment>
    <comment authorId="44" xr:uid="{754ac3b1-13ea-49f8-af93-9ea8f89b4ee0}" ref="I21">
      <text>
        <t xml:space="preserve">[Threaded comment]
 Your version of Excel allows you to read this threaded comment; however, any edits to it will get removed if the file is opened in a newer version of Excel. Learn more: https://go.microsoft.com/fwlink/?linkid=870924
Comment:
	02/12 solicitada amostra ERP
</t>
      </text>
    </comment>
    <comment authorId="45" xr:uid="{754fd306-7057-4b18-bef5-1b3689ea1ffd}" ref="A1">
      <text>
        <t xml:space="preserve">[Threaded comment]
 Your version of Excel allows you to read this threaded comment; however, any edits to it will get removed if the file is opened in a newer version of Excel. Learn more: https://go.microsoft.com/fwlink/?linkid=870924
Comment:
	entender todos que foram aqui!
</t>
      </text>
    </comment>
    <comment authorId="46" xr:uid="{77f4e7f7-5ca6-4c86-8c14-012ace1d7ced}" ref="F31">
      <text>
        <t xml:space="preserve">[Threaded comment]
 Your version of Excel allows you to read this threaded comment; however, any edits to it will get removed if the file is opened in a newer version of Excel. Learn more: https://go.microsoft.com/fwlink/?linkid=870924
Comment:
	COBRAR NÚMERO DO REGISTRO SEM FALTA ATÉ SEXTA
</t>
      </text>
    </comment>
    <comment authorId="47" xr:uid="{7df66a43-3f43-4159-a691-04b51a0f64a4}" ref="F12">
      <text>
        <t xml:space="preserve">[Threaded comment]
 Your version of Excel allows you to read this threaded comment; however, any edits to it will get removed if the file is opened in a newer version of Excel. Learn more: https://go.microsoft.com/fwlink/?linkid=870924
Comment:
	Estimativa do selo em fevereiro.
Checar cronograma de chegadas e se ficar muito apertado retrabalharemos no Brasil.
</t>
      </text>
    </comment>
    <comment authorId="48" xr:uid="{800717dc-9c47-4db0-a75c-11b22cdd2510}" ref="A1">
      <text>
        <t xml:space="preserve">[Threaded comment]
 Your version of Excel allows you to read this threaded comment; however, any edits to it will get removed if the file is opened in a newer version of Excel. Learn more: https://go.microsoft.com/fwlink/?linkid=870924
Comment:
	Late FAT 09
</t>
      </text>
    </comment>
    <comment authorId="49" xr:uid="{85602f7b-0a7d-4643-ad52-545ee9678adf}" ref="A1">
      <text>
        <t xml:space="preserve">[Threaded comment]
 Your version of Excel allows you to read this threaded comment; however, any edits to it will get removed if the file is opened in a newer version of Excel. Learn more: https://go.microsoft.com/fwlink/?linkid=870924
Comment:
	@guilherme.carvalho@grupounico.com confirmar com china mas é pra utilizar o mesmo módulo do speaker dos demais amplificadores de chuveiro
</t>
      </text>
    </comment>
    <comment authorId="50" xr:uid="{8695ac15-5382-49f3-ba33-d462a4527c10}" ref="F58">
      <text>
        <t xml:space="preserve">[Threaded comment]
 Your version of Excel allows you to read this threaded comment; however, any edits to it will get removed if the file is opened in a newer version of Excel. Learn more: https://go.microsoft.com/fwlink/?linkid=870924
Comment:
	Renovar, mas validar antes com Marcel.
</t>
      </text>
    </comment>
    <comment authorId="51" xr:uid="{86c36021-bbd7-4acc-97ee-8a0b6754a76b}" ref="D136">
      <text>
        <t xml:space="preserve">[Threaded comment]
 Your version of Excel allows you to read this threaded comment; however, any edits to it will get removed if the file is opened in a newer version of Excel. Learn more: https://go.microsoft.com/fwlink/?linkid=870924
Comment:
	Possível alteração para FAT 10 - 2023
</t>
      </text>
    </comment>
    <comment authorId="52" xr:uid="{877352ac-6678-49a6-a055-6e0e6d16bcdd}" ref="A1">
      <text>
        <t xml:space="preserve">[Threaded comment]
 Your version of Excel allows you to read this threaded comment; however, any edits to it will get removed if the file is opened in a newer version of Excel. Learn more: https://go.microsoft.com/fwlink/?linkid=870924
Comment:
	Late FAT 01 - Serena
</t>
      </text>
    </comment>
    <comment authorId="53" xr:uid="{884643db-fc1f-49c8-9ba2-cc98cb750961}" ref="D130">
      <text>
        <t xml:space="preserve">[Threaded comment]
 Your version of Excel allows you to read this threaded comment; however, any edits to it will get removed if the file is opened in a newer version of Excel. Learn more: https://go.microsoft.com/fwlink/?linkid=870924
Comment:
	Possível alteração para FAT 10 - 2023
</t>
      </text>
    </comment>
    <comment authorId="54" xr:uid="{8fc0b356-64c1-456b-bab0-980cb11dc440}" ref="J75">
      <text>
        <t xml:space="preserve">[Threaded comment]
 Your version of Excel allows you to read this threaded comment; however, any edits to it will get removed if the file is opened in a newer version of Excel. Learn more: https://go.microsoft.com/fwlink/?linkid=870924
Comment:
	Já tem amostra - cobrar
</t>
      </text>
    </comment>
    <comment authorId="55" xr:uid="{913806b1-f90a-4881-9e50-e829133094bd}" ref="F21">
      <text>
        <t xml:space="preserve">[Threaded comment]
 Your version of Excel allows you to read this threaded comment; however, any edits to it will get removed if the file is opened in a newer version of Excel. Learn more: https://go.microsoft.com/fwlink/?linkid=870924
Comment:
	Checar com a China se já poderemos enviar placa final para certificação. Ideal termos essa certificação até final de Dezembro.
</t>
      </text>
    </comment>
    <comment authorId="56" xr:uid="{9227f530-13cb-4697-b618-6e61f058981a}" ref="A1">
      <text>
        <t xml:space="preserve">[Threaded comment]
 Your version of Excel allows you to read this threaded comment; however, any edits to it will get removed if the file is opened in a newer version of Excel. Learn more: https://go.microsoft.com/fwlink/?linkid=870924
Comment:
	está sendo contemplado que será pago no orçamento de 2020!
</t>
      </text>
    </comment>
    <comment authorId="57" xr:uid="{92570bcd-e7a2-4c44-82a3-b1a1e1596afc}" ref="F9">
      <text>
        <t xml:space="preserve">[Threaded comment]
 Your version of Excel allows you to read this threaded comment; however, any edits to it will get removed if the file is opened in a newer version of Excel. Learn more: https://go.microsoft.com/fwlink/?linkid=870924
Comment:
	Existe interesse de recompra. Ainda falta os adesivos. Estimativa de adesivos final de dezembro, início de janeiro. Checar cronograma pra ver se teremos que retrabalhar no Brasil.
</t>
      </text>
    </comment>
    <comment authorId="58" xr:uid="{925e6c8c-7464-450f-8f95-9e309227c7f5}" ref="F11">
      <text>
        <t xml:space="preserve">[Threaded comment]
 Your version of Excel allows you to read this threaded comment; however, any edits to it will get removed if the file is opened in a newer version of Excel. Learn more: https://go.microsoft.com/fwlink/?linkid=870924
Comment:
	Certificação Inmetro e Anatel.
Selos anatel serão liberados até 20/12 e Inmetro pode ser em 20/01.
Será retrabalhado no Brasil.
</t>
      </text>
    </comment>
    <comment authorId="59" xr:uid="{92f9d6c2-c666-4d33-99f7-847049f3eb3f}" ref="A1">
      <text>
        <t xml:space="preserve">[Threaded comment]
 Your version of Excel allows you to read this threaded comment; however, any edits to it will get removed if the file is opened in a newer version of Excel. Learn more: https://go.microsoft.com/fwlink/?linkid=870924
Comment:
	Questões de cronograma oficial, Fred tinha passado previsão de 15/12 no CD considerando início do MP em 1608.
</t>
      </text>
    </comment>
    <comment authorId="60" xr:uid="{94fb44f7-b155-4a7f-95d1-6faa86fa8e2e}" ref="A1">
      <text>
        <t xml:space="preserve">[Threaded comment]
 Your version of Excel allows you to read this threaded comment; however, any edits to it will get removed if the file is opened in a newer version of Excel. Learn more: https://go.microsoft.com/fwlink/?linkid=870924
Comment:
	14k para fabrica e 7,8 lote
</t>
      </text>
    </comment>
    <comment authorId="61" xr:uid="{96d5ca81-6bb9-4f28-9eca-9a34fd12a5e7}" ref="A1">
      <text>
        <t xml:space="preserve">[Threaded comment]
 Your version of Excel allows you to read this threaded comment; however, any edits to it will get removed if the file is opened in a newer version of Excel. Learn more: https://go.microsoft.com/fwlink/?linkid=870924
Comment:
	Canetas com LED
</t>
      </text>
    </comment>
    <comment authorId="62" xr:uid="{98784a50-0ef9-4f1e-a3ea-7d4407d045cc}" ref="A1">
      <text>
        <t xml:space="preserve">[Threaded comment]
 Your version of Excel allows you to read this threaded comment; however, any edits to it will get removed if the file is opened in a newer version of Excel. Learn more: https://go.microsoft.com/fwlink/?linkid=870924
Comment:
	lote
</t>
      </text>
    </comment>
    <comment authorId="63" xr:uid="{98a0534c-1efa-4647-9c6b-0827b05a1281}" ref="A1">
      <text>
        <t xml:space="preserve">[Threaded comment]
 Your version of Excel allows you to read this threaded comment; however, any edits to it will get removed if the file is opened in a newer version of Excel. Learn more: https://go.microsoft.com/fwlink/?linkid=870924
Comment:
	aguardando informações do produto.
</t>
      </text>
    </comment>
    <comment authorId="64" xr:uid="{99af24ad-a644-4222-8f7a-a3522563e364}" ref="O30">
      <text>
        <t xml:space="preserve">[Threaded comment]
 Your version of Excel allows you to read this threaded comment; however, any edits to it will get removed if the file is opened in a newer version of Excel. Learn more: https://go.microsoft.com/fwlink/?linkid=870924
Comment:
	Teste ASTEC - INPUT até XX/XX
@elizeu.schutz@grupounico.com
@willian.miranda@imaginarium.com.br
@francielly.goulart@grupounico.com
Atribuído a francielly.goulart@grupounico.com
</t>
      </text>
    </comment>
    <comment authorId="65" xr:uid="{9d870cea-1194-416c-9aa7-0970b9f1385c}" ref="A1">
      <text>
        <t xml:space="preserve">[Threaded comment]
 Your version of Excel allows you to read this threaded comment; however, any edits to it will get removed if the file is opened in a newer version of Excel. Learn more: https://go.microsoft.com/fwlink/?linkid=870924
Comment:
	produto será FAT08 por conta de tempo de certificação. Leva 2 meses para certificar.
</t>
      </text>
    </comment>
    <comment authorId="66" xr:uid="{9daddb00-7874-4ae0-8585-2ddde3e883a8}" ref="A1">
      <text>
        <t xml:space="preserve">[Threaded comment]
 Your version of Excel allows you to read this threaded comment; however, any edits to it will get removed if the file is opened in a newer version of Excel. Learn more: https://go.microsoft.com/fwlink/?linkid=870924
Comment:
	02/12 solicitada amostra ERP
</t>
      </text>
    </comment>
    <comment authorId="67" xr:uid="{9f42318b-2519-47f5-a5b3-5dfe1d8ab235}" ref="A1">
      <text>
        <t xml:space="preserve">[Threaded comment]
 Your version of Excel allows you to read this threaded comment; however, any edits to it will get removed if the file is opened in a newer version of Excel. Learn more: https://go.microsoft.com/fwlink/?linkid=870924
Comment:
	02/12 - amostra solicitada ERP
</t>
      </text>
    </comment>
    <comment authorId="68" xr:uid="{a3b146f0-34df-42af-a26e-ff30b7085996}" ref="F42">
      <text>
        <t xml:space="preserve">[Threaded comment]
 Your version of Excel allows you to read this threaded comment; however, any edits to it will get removed if the file is opened in a newer version of Excel. Learn more: https://go.microsoft.com/fwlink/?linkid=870924
Comment:
	Será confirmado na sexta dia 16/10 se manteremos na kayuan ou não
</t>
      </text>
    </comment>
    <comment authorId="69" xr:uid="{a59eef5f-7082-4980-9888-deba06fb77e7}" ref="F63">
      <text>
        <t xml:space="preserve">[Threaded comment]
 Your version of Excel allows you to read this threaded comment; however, any edits to it will get removed if the file is opened in a newer version of Excel. Learn more: https://go.microsoft.com/fwlink/?linkid=870924
Comment:
	Renovar, mas validar antes com Marcel.
</t>
      </text>
    </comment>
    <comment authorId="70" xr:uid="{a724aa22-de38-4aa7-a8d7-a55d3c982eaa}" ref="A1">
      <text>
        <t xml:space="preserve">[Threaded comment]
 Your version of Excel allows you to read this threaded comment; however, any edits to it will get removed if the file is opened in a newer version of Excel. Learn more: https://go.microsoft.com/fwlink/?linkid=870924
Comment:
	está sendo contemplado que será pago no orçamento de 2020!
</t>
      </text>
    </comment>
    <comment authorId="71" xr:uid="{a7497a1a-7279-44f5-96c2-69dc1d5f1524}" ref="F47">
      <text>
        <t xml:space="preserve">[Threaded comment]
 Your version of Excel allows you to read this threaded comment; however, any edits to it will get removed if the file is opened in a newer version of Excel. Learn more: https://go.microsoft.com/fwlink/?linkid=870924
Comment:
	Verificar se vai ser o mesmo módulo do FAT 03
</t>
      </text>
    </comment>
    <comment authorId="72" xr:uid="{a83c500a-49c7-4a6b-a581-24cb1d45c0ce}" ref="A1">
      <text>
        <t xml:space="preserve">[Threaded comment]
 Your version of Excel allows you to read this threaded comment; however, any edits to it will get removed if the file is opened in a newer version of Excel. Learn more: https://go.microsoft.com/fwlink/?linkid=870924
Comment:
	nossa média é 13.8k mas consideramos uma média de 15k para termos uma gordura!
</t>
      </text>
    </comment>
    <comment authorId="73" xr:uid="{a86a0a0b-a74b-443e-8394-4c204bfc9c7a}" ref="F40">
      <text>
        <t xml:space="preserve">[Threaded comment]
 Your version of Excel allows you to read this threaded comment; however, any edits to it will get removed if the file is opened in a newer version of Excel. Learn more: https://go.microsoft.com/fwlink/?linkid=870924
Comment:
	Certificação anatel. 20 dias para produção do selo. Precisamos da documentação China para começarmos a contar os 20 dias.
Mandar e-mail para pedirmos apenas a placa final do wireless charger.
</t>
      </text>
    </comment>
    <comment authorId="74" xr:uid="{a89049ae-98d5-4d9e-a15b-ed95bcf2b925}" ref="A1">
      <text>
        <t xml:space="preserve">[Threaded comment]
 Your version of Excel allows you to read this threaded comment; however, any edits to it will get removed if the file is opened in a newer version of Excel. Learn more: https://go.microsoft.com/fwlink/?linkid=870924
Comment:
	Documentação Recebida, aguardando aprovação da equipe para início do processo de certificação
</t>
      </text>
    </comment>
    <comment authorId="75" xr:uid="{ad969ac5-0d42-433e-926b-82460d9ad6a4}" ref="A1">
      <text>
        <t xml:space="preserve">[Threaded comment]
 Your version of Excel allows you to read this threaded comment; however, any edits to it will get removed if the file is opened in a newer version of Excel. Learn more: https://go.microsoft.com/fwlink/?linkid=870924
Comment:
	Aguardar amostra para definir tudo.
</t>
      </text>
    </comment>
    <comment authorId="76" xr:uid="{b23837f6-6856-4405-a630-1b4a79d6f88d}" ref="O1">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https://docs.google.com/spreadsheets/d/180TcrF7le_INyWy35rnB2L4fZz4cKEIMyeymUkoagUU/edit#gid=442255857
</t>
      </text>
    </comment>
    <comment authorId="77" xr:uid="{b3dafbdf-6f9b-439e-9ae3-a8b29212a10b}" ref="A1">
      <text>
        <t xml:space="preserve">[Threaded comment]
 Your version of Excel allows you to read this threaded comment; however, any edits to it will get removed if the file is opened in a newer version of Excel. Learn more: https://go.microsoft.com/fwlink/?linkid=870924
Comment:
	Ver com a Fer da Visto o produto, shape e afins
</t>
      </text>
    </comment>
    <comment authorId="78" xr:uid="{b3e9ae60-1cf9-4a2a-8f0f-979f882416b8}" ref="F116">
      <text>
        <t xml:space="preserve">[Threaded comment]
 Your version of Excel allows you to read this threaded comment; however, any edits to it will get removed if the file is opened in a newer version of Excel. Learn more: https://go.microsoft.com/fwlink/?linkid=870924
Comment:
	PROJETO SERÁ ALTERADO PARA COGUMELO
</t>
      </text>
    </comment>
    <comment authorId="79" xr:uid="{b6bfc268-e91d-41a9-9cc3-79d73d848bd1}" ref="F32">
      <text>
        <t xml:space="preserve">[Threaded comment]
 Your version of Excel allows you to read this threaded comment; however, any edits to it will get removed if the file is opened in a newer version of Excel. Learn more: https://go.microsoft.com/fwlink/?linkid=870924
Comment:
	Incluir João e Layla na troca de email com o OCP para alinhar etiqueta de certificação
</t>
      </text>
    </comment>
    <comment authorId="80" xr:uid="{c1a43a64-01f5-4791-ae04-42816eb53527}" ref="F34">
      <text>
        <t xml:space="preserve">[Threaded comment]
 Your version of Excel allows you to read this threaded comment; however, any edits to it will get removed if the file is opened in a newer version of Excel. Learn more: https://go.microsoft.com/fwlink/?linkid=870924
Comment:
	Solicitar documentos para emissão da LI na volta do feriado chinês.
</t>
      </text>
    </comment>
    <comment authorId="81" xr:uid="{c6944f1d-765c-442d-8557-b9fd48a30865}" ref="F122">
      <text>
        <t xml:space="preserve">[Threaded comment]
 Your version of Excel allows you to read this threaded comment; however, any edits to it will get removed if the file is opened in a newer version of Excel. Learn more: https://go.microsoft.com/fwlink/?linkid=870924
Comment:
	É COELHO
</t>
      </text>
    </comment>
    <comment authorId="82" xr:uid="{c6fb63d2-87a3-49c8-85ce-2814312ca4ed}" ref="J26">
      <text>
        <t xml:space="preserve">[Threaded comment]
 Your version of Excel allows you to read this threaded comment; however, any edits to it will get removed if the file is opened in a newer version of Excel. Learn more: https://go.microsoft.com/fwlink/?linkid=870924
Comment:
	Mandar email para curadoria e planejamento e falar sobre o prazo de certificação do produto
</t>
      </text>
    </comment>
    <comment authorId="83" xr:uid="{c7446f67-5c12-4b58-b43b-3f8dab7f7100}" ref="A1">
      <text>
        <t xml:space="preserve">[Threaded comment]
 Your version of Excel allows you to read this threaded comment; however, any edits to it will get removed if the file is opened in a newer version of Excel. Learn more: https://go.microsoft.com/fwlink/?linkid=870924
Comment:
	aqui foi 15k de manutenção?
</t>
      </text>
    </comment>
    <comment authorId="84" xr:uid="{ced1d8b2-ad3b-4747-8695-50b0ab415479}" ref="A1">
      <text>
        <t xml:space="preserve">[Threaded comment]
 Your version of Excel allows you to read this threaded comment; however, any edits to it will get removed if the file is opened in a newer version of Excel. Learn more: https://go.microsoft.com/fwlink/?linkid=870924
Comment:
	Late FAT 09
</t>
      </text>
    </comment>
    <comment authorId="85" xr:uid="{d3f7ee16-9faf-4cb2-942d-e2f26c89ca65}" ref="A1">
      <text>
        <t xml:space="preserve">[Threaded comment]
 Your version of Excel allows you to read this threaded comment; however, any edits to it will get removed if the file is opened in a newer version of Excel. Learn more: https://go.microsoft.com/fwlink/?linkid=870924
Comment:
	@astec@imaginarium.com.br  - Data limite de Input XX/XX/XXXX
Atribuído a astec@imaginarium.com.br
</t>
      </text>
    </comment>
    <comment authorId="86" xr:uid="{d78a98b6-11fd-48bb-81c5-ab3690e90820}" ref="A1">
      <text>
        <t xml:space="preserve">[Threaded comment]
 Your version of Excel allows you to read this threaded comment; however, any edits to it will get removed if the file is opened in a newer version of Excel. Learn more: https://go.microsoft.com/fwlink/?linkid=870924
Comment:
	Late FAT 09
</t>
      </text>
    </comment>
    <comment authorId="87" xr:uid="{db093102-42d8-4107-892f-4b3b26e84aca}" ref="A1">
      <text>
        <t xml:space="preserve">[Threaded comment]
 Your version of Excel allows you to read this threaded comment; however, any edits to it will get removed if the file is opened in a newer version of Excel. Learn more: https://go.microsoft.com/fwlink/?linkid=870924
Comment:
	está sendo contemplado que será pago no orçamento de 2020!
</t>
      </text>
    </comment>
    <comment authorId="88" xr:uid="{e10dc20c-c1cc-49d3-ab82-737299fc54ca}" ref="F55">
      <text>
        <t xml:space="preserve">[Threaded comment]
 Your version of Excel allows you to read this threaded comment; however, any edits to it will get removed if the file is opened in a newer version of Excel. Learn more: https://go.microsoft.com/fwlink/?linkid=870924
Comment:
	confirmado pela china que é um módulo BT novo!
</t>
      </text>
    </comment>
    <comment authorId="89" xr:uid="{e2291599-dd10-4579-9683-9428430d4304}" ref="J20">
      <text>
        <t xml:space="preserve">[Threaded comment]
 Your version of Excel allows you to read this threaded comment; however, any edits to it will get removed if the file is opened in a newer version of Excel. Learn more: https://go.microsoft.com/fwlink/?linkid=870924
Comment:
	@guilherme.carvalho@grupounico.com preciso verificar com vc a quantidade de amostra que precisamos para iniciar a certificação desse item
Atribuído a 
Reply:
	Oi Lis, criei uma coluna a mais para adicionar estas informações permitindo que todos fiquem alinhados
</t>
      </text>
    </comment>
    <comment authorId="90" xr:uid="{e9fd598a-591a-4dae-94ae-fa7248cb8188}" ref="A1">
      <text>
        <t xml:space="preserve">[Threaded comment]
 Your version of Excel allows you to read this threaded comment; however, any edits to it will get removed if the file is opened in a newer version of Excel. Learn more: https://go.microsoft.com/fwlink/?linkid=870924
Comment:
	2020 nossa média foi de quase 7,6k por certificação anatel, sendo que a média é R$ 6.600, pois tivemos vários cancelamentos e projetos que pagamos e não avançamos. Conversei com Gui e colocamos uma gordura de R$ 8.000 por certificação Anatel para termos mais margem, + etiquetas e motoboy!
</t>
      </text>
    </comment>
    <comment authorId="91" xr:uid="{ebdfa5c4-89bc-43ba-9117-1028d21c95b4}" ref="D137">
      <text>
        <t xml:space="preserve">[Threaded comment]
 Your version of Excel allows you to read this threaded comment; however, any edits to it will get removed if the file is opened in a newer version of Excel. Learn more: https://go.microsoft.com/fwlink/?linkid=870924
Comment:
	Possível alteração para FAT 10 - 2023
</t>
      </text>
    </comment>
    <comment authorId="92" xr:uid="{ef383242-d4ad-42af-9315-74c82191eaf7}" ref="F16">
      <text>
        <t xml:space="preserve">[Threaded comment]
 Your version of Excel allows you to read this threaded comment; however, any edits to it will get removed if the file is opened in a newer version of Excel. Learn more: https://go.microsoft.com/fwlink/?linkid=870924
Comment:
	Certificação Inmetro de criança. Certificar lote. Após ensaios (dura 3 semanas), teremos que aguardar mais 30 dias. Talvez tenhamos que retrabalhar no Brasil devido a prazo.
</t>
      </text>
    </comment>
    <comment authorId="93" xr:uid="{ef7e9017-9dc6-46d7-9fee-8bc3bb1efd3c}" ref="A1">
      <text>
        <t xml:space="preserve">[Threaded comment]
 Your version of Excel allows you to read this threaded comment; however, any edits to it will get removed if the file is opened in a newer version of Excel. Learn more: https://go.microsoft.com/fwlink/?linkid=870924
Comment:
	Terá certificação BT. 20 a 30 dias.
</t>
      </text>
    </comment>
    <comment authorId="94" xr:uid="{f17ea2a8-3efa-41c7-b810-dc55e9b21ccf}" ref="D138">
      <text>
        <t xml:space="preserve">[Threaded comment]
 Your version of Excel allows you to read this threaded comment; however, any edits to it will get removed if the file is opened in a newer version of Excel. Learn more: https://go.microsoft.com/fwlink/?linkid=870924
Comment:
	Possível alteração para FAT 10 - 2023
</t>
      </text>
    </comment>
    <comment authorId="95" xr:uid="{f404656c-a754-46ac-8462-884d42c7fb20}" ref="A1">
      <text>
        <t xml:space="preserve">[Threaded comment]
 Your version of Excel allows you to read this threaded comment; however, any edits to it will get removed if the file is opened in a newer version of Excel. Learn more: https://go.microsoft.com/fwlink/?linkid=870924
Comment:
	definimos nessa semana em voltar para a cotação com fio, não será mais BT, tirar do radar de certificação!
</t>
      </text>
    </comment>
    <comment authorId="96" xr:uid="{f4c0c343-6e0e-4616-aef0-57817527342e}" ref="A1">
      <text>
        <t xml:space="preserve">[Threaded comment]
 Your version of Excel allows you to read this threaded comment; however, any edits to it will get removed if the file is opened in a newer version of Excel. Learn more: https://go.microsoft.com/fwlink/?linkid=870924
Comment:
	Arte sóbria, verificar se podemos evitar a certificação fernanda da VISTO
</t>
      </text>
    </comment>
    <comment authorId="97" xr:uid="{f80f49ab-df0a-48d8-9949-ea20cbceb09f}" ref="A1">
      <text>
        <t xml:space="preserve">[Threaded comment]
 Your version of Excel allows you to read this threaded comment; however, any edits to it will get removed if the file is opened in a newer version of Excel. Learn more: https://go.microsoft.com/fwlink/?linkid=870924
Comment:
	Se for em shape de animal, precisa certificar
Reply:
	Não tem shape animal, pleitear pela não certificação do produto
</t>
      </text>
    </comment>
    <comment authorId="98" xr:uid="{f964770c-6eda-4509-92b3-5d4db41f2f88}" ref="F36">
      <text>
        <t xml:space="preserve">[Threaded comment]
 Your version of Excel allows you to read this threaded comment; however, any edits to it will get removed if the file is opened in a newer version of Excel. Learn more: https://go.microsoft.com/fwlink/?linkid=870924
Comment:
	Confirmado que será o mesmo módulo da lancheira com speaker anterior, cobrar docs
</t>
      </text>
    </comment>
    <comment authorId="99" xr:uid="{fd159427-c110-42aa-ade9-e8f3d9e622f1}" ref="A1">
      <text>
        <t xml:space="preserve">[Threaded comment]
 Your version of Excel allows you to read this threaded comment; however, any edits to it will get removed if the file is opened in a newer version of Excel. Learn more: https://go.microsoft.com/fwlink/?linkid=870924
Comment:
	Verificar se é o mesmo carregador interno já feito no passado (se é só shape novo)
Reply:
	Verificar se de fato possui carregamento sem fio para os dois produtos
</t>
      </text>
    </comment>
    <comment authorId="100" xr:uid="{fe9f43a4-183b-4ff1-9f56-5e210ff4dfbc}" ref="A1">
      <text>
        <t xml:space="preserve">[Threaded comment]
 Your version of Excel allows you to read this threaded comment; however, any edits to it will get removed if the file is opened in a newer version of Excel. Learn more: https://go.microsoft.com/fwlink/?linkid=870924
Comment:
	Questões de cronograma oficial, Fred tinha passado previsão de 15/12 no CD considerando início do MP em 1608.
</t>
      </text>
    </comment>
    <comment authorId="101" xr:uid="{ff4d320a-aa94-4054-8388-38cd699a9458}" ref="F10">
      <text>
        <t xml:space="preserve">[Threaded comment]
 Your version of Excel allows you to read this threaded comment; however, any edits to it will get removed if the file is opened in a newer version of Excel. Learn more: https://go.microsoft.com/fwlink/?linkid=870924
Comment:
	Certificação Inmetro e Anatel.
Selos anatel serão liberados até 20/12 e Inmetro pode ser em 20/01.
Será retrabalhado no Brasil.
</t>
      </text>
    </comment>
  </commentList>
</comments>
</file>

<file path=xl/sharedStrings.xml><?xml version="1.0" encoding="utf-8"?>
<sst xmlns="http://schemas.openxmlformats.org/spreadsheetml/2006/main" count="9174" uniqueCount="2988">
  <si>
    <t>SKU</t>
  </si>
  <si>
    <t>Produto</t>
  </si>
  <si>
    <t>Precisa de Certificação?</t>
  </si>
  <si>
    <t>Qual Certificação?</t>
  </si>
  <si>
    <t>Por que precisa certificar?</t>
  </si>
  <si>
    <t>NCM</t>
  </si>
  <si>
    <t>FAT</t>
  </si>
  <si>
    <t>Quando foi cancelado?</t>
  </si>
  <si>
    <t>Por que foi cancelado?</t>
  </si>
  <si>
    <t>Squishy Toy</t>
  </si>
  <si>
    <t>Não</t>
  </si>
  <si>
    <t>NOVA</t>
  </si>
  <si>
    <t>Apontador Elétrico</t>
  </si>
  <si>
    <t>Possui motor</t>
  </si>
  <si>
    <t>Patins IMG</t>
  </si>
  <si>
    <t>Patins Puket</t>
  </si>
  <si>
    <t>Sim</t>
  </si>
  <si>
    <t>INMETRO Brinquedos</t>
  </si>
  <si>
    <t>Destinado para Crianças</t>
  </si>
  <si>
    <t>PI4662Y</t>
  </si>
  <si>
    <t>MASCARA ANTI-IDADE</t>
  </si>
  <si>
    <t>ANVISA Correlatos</t>
  </si>
  <si>
    <t>Produto para Saúde</t>
  </si>
  <si>
    <t>FAT 2 / 2021</t>
  </si>
  <si>
    <t>Não possuímos uma AFE para produtos de saúde (correlatos), assim como não temos estimado a compra de produtos que entrem neste escopo num futuro próximo, desta forma os custos para obtenção da AFE de importação e distribuição, assim como os custos para ensaios (onde já tinhamos um problema do fornecedor não garantir a eficácia do produto), e também os custos para registro na ANVISA superavam os 30k, inviabilizando a compra deste produto</t>
  </si>
  <si>
    <t>Carregador luminaria dobrável</t>
  </si>
  <si>
    <t>Produto não tinha ISO 9001</t>
  </si>
  <si>
    <t>Maquina de Bolha de sabão</t>
  </si>
  <si>
    <t>Termometro</t>
  </si>
  <si>
    <t>Pistola de dinheiro (impressora</t>
  </si>
  <si>
    <t>Cofre Eletronico Mario?</t>
  </si>
  <si>
    <t>2021 - FAT04</t>
  </si>
  <si>
    <t>Chaveiro e placa yoshi mario ver como é o produto</t>
  </si>
  <si>
    <t>PI4746Y</t>
  </si>
  <si>
    <t>Caneta com mensagem amor proprio</t>
  </si>
  <si>
    <t>INMETRO Artigos Escolares</t>
  </si>
  <si>
    <t>Produto precisava de de certificação, com isso seu valor não fechava mais. (Foi considerado como sem certificação por ter custo acima de 0,50 USD por peça, porém esta regra é a do dumping, não da certificação)</t>
  </si>
  <si>
    <t>BOLSA TÉRMICA HP COM TAG CUSTOMIZÁVEL</t>
  </si>
  <si>
    <t>PI4799Y</t>
  </si>
  <si>
    <t>PUFE COM SPEAKER MARIO</t>
  </si>
  <si>
    <t>ANATEL MÓDULO BLUETOOTH/WIFI</t>
  </si>
  <si>
    <t>Bluetooth</t>
  </si>
  <si>
    <t>2021 - FAT05</t>
  </si>
  <si>
    <t>Todos projetos da linha MARIO foram cancelados em 03/11, email do Daniel Zhu</t>
  </si>
  <si>
    <t>PI4783Y</t>
  </si>
  <si>
    <t>CHAVEIRO DIY MARIO</t>
  </si>
  <si>
    <t>INMETRO SISTEMA 7 (LOTE) - PORTARIA 321</t>
  </si>
  <si>
    <t>PI4784Y</t>
  </si>
  <si>
    <t>PI4814Y</t>
  </si>
  <si>
    <t>ESTOJO MARIO</t>
  </si>
  <si>
    <t>INMETRO SISTEMA 5 (FABRICA) - PORTARIA 563</t>
  </si>
  <si>
    <t>PI4792Y</t>
  </si>
  <si>
    <t>HEADPHONE MARIO</t>
  </si>
  <si>
    <t>PI4793Y</t>
  </si>
  <si>
    <t>Kit Pipoca Mario</t>
  </si>
  <si>
    <t>PI4808Y</t>
  </si>
  <si>
    <t>almofada biefing livre mario</t>
  </si>
  <si>
    <t>Capacete de Bicicleta</t>
  </si>
  <si>
    <t>OBS</t>
  </si>
  <si>
    <t>2021 - FAT06 e 7</t>
  </si>
  <si>
    <t>A certificação compulsória das bicicletas infantis não contempla itens auxiliares (joelheiras, capacetes, luvas, etc.), limitando-se apenas à bicicleta infantil. Para os itens auxiliares, a certificação é voluntária. Somente capacetes de uso adulto para motocicletas são certificados compulsoriamente no Inmetro. Porém, componentes esportivos para brincadeira, que simulam os de uso profissional, com dimensões diferentes das medidas padrões, são considerados brinquedos.</t>
  </si>
  <si>
    <t>N/A</t>
  </si>
  <si>
    <t>Headphone Esquenta Orelha (PI5234Y)</t>
  </si>
  <si>
    <t>2021 - FAT 05</t>
  </si>
  <si>
    <t>Corte na verba para compras de itens 2021/2022.</t>
  </si>
  <si>
    <t>PI5234Y</t>
  </si>
  <si>
    <t>Carregador wireless neutro (PI5244Y)</t>
  </si>
  <si>
    <t>Carregador</t>
  </si>
  <si>
    <t>PI5245Y</t>
  </si>
  <si>
    <t>LuminárIa Carregador wireless Namorados (PI5245Y)</t>
  </si>
  <si>
    <t>PI5264Y</t>
  </si>
  <si>
    <t>Speaker com Alexa (PI5264Y)</t>
  </si>
  <si>
    <t>PI5279Y</t>
  </si>
  <si>
    <t>Wireless speaker (PI5279Y)</t>
  </si>
  <si>
    <t>PI5193Y</t>
  </si>
  <si>
    <t>Vitrola feminino adulto (PI5193Y)</t>
  </si>
  <si>
    <t xml:space="preserve">Revisão de verba, estratégia e sortimento em loja.  </t>
  </si>
  <si>
    <t>PI5308Y</t>
  </si>
  <si>
    <t>Fone por Condução ossea (PI5308Y)</t>
  </si>
  <si>
    <t>2022 - FAT06</t>
  </si>
  <si>
    <t>PI5327Y</t>
  </si>
  <si>
    <t>Vitrola Movel Retro (PI5327Y)</t>
  </si>
  <si>
    <t>PI5295Y</t>
  </si>
  <si>
    <t>LUMINARIA WIRELESS URSINHOS CARINHOS</t>
  </si>
  <si>
    <t>ANATEL CELULARES</t>
  </si>
  <si>
    <t>2022 - FAT07</t>
  </si>
  <si>
    <t>PI5136Y</t>
  </si>
  <si>
    <t>SPEAKER E LUMINARIA COM ALCA FITDANCE</t>
  </si>
  <si>
    <t>2021 - FAT 12</t>
  </si>
  <si>
    <t>PI4006Y</t>
  </si>
  <si>
    <t>CARREGADOR PORTATIL FRIENDS MOLDURA</t>
  </si>
  <si>
    <t>Acessório para Telefone Móvel Celular do tipo Bateria Auxiliar</t>
  </si>
  <si>
    <t>Power Bank</t>
  </si>
  <si>
    <t>8507.60.00</t>
  </si>
  <si>
    <t>2019 - FAT11</t>
  </si>
  <si>
    <t>Cancelamos os testes, pois ocorreu falha duas vezes e seria obrigatório fazer os ensaios completos novamente, gerando um custo de R$ 4800.</t>
  </si>
  <si>
    <t>PI5380Y</t>
  </si>
  <si>
    <t>MINI LUMINARIA OUTROS PERSONAGENS II HP</t>
  </si>
  <si>
    <t>INMETRO BRINQUEDOS SISTEMA 5 (FÁBRICA) - PORTARIA 302</t>
  </si>
  <si>
    <t>2021 - FAT 08</t>
  </si>
  <si>
    <t xml:space="preserve">Curadoria/Letícia: Devido ao prazo de desenvolvimento e prazo de certificação não vamos conseguir lançar esse item em fat 08 e perderemos a campanha de HP. </t>
  </si>
  <si>
    <t>PI5399Y</t>
  </si>
  <si>
    <t>MINI LUMINARIA PERSONAGEM I HP</t>
  </si>
  <si>
    <t>PI5414Y</t>
  </si>
  <si>
    <t>LUMINARIA POMO DE OURO HP</t>
  </si>
  <si>
    <t>PI5370Y</t>
  </si>
  <si>
    <t>CHAVEIRO SILICONE UC</t>
  </si>
  <si>
    <t>Cancelado - Chaveiro era 3D na parte de cima e de acordo com o OCP, demandaria Certificação como Brinquedos. O Inmetro ainda não retornou nossa consulta.</t>
  </si>
  <si>
    <t>PI5549Y</t>
  </si>
  <si>
    <t>JOGO DE DOMINO</t>
  </si>
  <si>
    <t>Cancelado - não conseguimos enviar a arte dentro do prazo e não encontramos nenhuma op no catálogo do fornecedor que atendesse nossas expectativas de formato e preço.</t>
  </si>
  <si>
    <t>CS2160</t>
  </si>
  <si>
    <t>JOGO STARTER PACK DO BRASILEIRO</t>
  </si>
  <si>
    <t>INMETRO BRINQUEDOS SISTEMA 1b - (LOTE) - PORTARIA 302</t>
  </si>
  <si>
    <t>2021 - FAT 11</t>
  </si>
  <si>
    <t>Cancelado -  Estávamos com o cmv acima da meta e ainda tivemos mais o custo de certificação e isso inviabilizou o produto.</t>
  </si>
  <si>
    <t>CS2192</t>
  </si>
  <si>
    <t>QUEBRA CABECA MAES</t>
  </si>
  <si>
    <t>2023 - FAT03</t>
  </si>
  <si>
    <t>Cancelado -  motivos de revisão de estratégia de lançamento.</t>
  </si>
  <si>
    <t>PI6249Y</t>
  </si>
  <si>
    <t>PI6228Y</t>
  </si>
  <si>
    <t>MICROPHONE BLUETOOTH UNI MUSIC</t>
  </si>
  <si>
    <t>INVERNO 23</t>
  </si>
  <si>
    <t>15/07 - Item cancelado.
-- 
Aprovação Qualidade: 22/06
TP &amp; Artworks before deadline Jun/25</t>
  </si>
  <si>
    <t>MICROFONE KARAOKE BLUETOOTH TUBA</t>
  </si>
  <si>
    <t>15/07 - Item cancelado.
-- 
Aprovação Qualidade: 22/06
TP &amp; Artworks before deadline Jun/25</t>
  </si>
  <si>
    <t>CHAVEIRO PELUCIA GATA</t>
  </si>
  <si>
    <t>ALTO VERAO 2023</t>
  </si>
  <si>
    <t>04/08 - Item cancelado.
25/07 - Testes finalizados, aguardando finalização da arte da embalagem para recebimento dos laudos dos ensaios.
11/07 - Novas amostras (5 unidades Uni - 050403293) estão prontas para coleta.
04/07 - Novas amostras ficarão prontas na próxima semana.
Relatório de Amostragem será enviado hoje para Brics China.</t>
  </si>
  <si>
    <t>2022 - FAT 10</t>
  </si>
  <si>
    <t>02/09 - Item cancelado.
22/08 - Retornamos para a Curadoria quanto a necessidade de certificação, aguardando definição para avançar.
16/08 - Enviado o custo de certificação no ERP (R$ 2.000,00).
12/08 - Colorgraf informou que não possui a certificação para o item.</t>
  </si>
  <si>
    <t>QC NOSSO FORMATO 100PCS</t>
  </si>
  <si>
    <t>2023 - FAT04</t>
  </si>
  <si>
    <t>06/09 - Produto cancelado.
17/08 - Compra confirmada, aguardando envio do projeto</t>
  </si>
  <si>
    <t>PI5864Y</t>
  </si>
  <si>
    <t>PORTA PIJAMAS 1</t>
  </si>
  <si>
    <t>2023 - FAT 04</t>
  </si>
  <si>
    <t>11/11 - Projeto cancelado. Pelo cronograma de certificação esse item já seria fat 06 porque atrasamos o envio do projeto e ainda vamos pedir o ajuste no tamanho e não achamos que esse item coordenaria com os itens deste FAT.
27/10 - Amostra será recebida até quinta-feira.
25/10 - Compra não foi confirmada ainda.
18/10 - Recebemos o memorial da China, abrindo o processo com a Brics. Chegada CD schedule atual: 19/04.
07/10 - Retorno Brics: produto passível de certificação.
03/10 - Projeto recebido e enviado para consulta.
12/09 - Prazo para envio do projeto: 17/09.
26/08 - Sourcing: aguardando envio do projeto.
17/08 - Compra confirmada, aguardando envio do projeto</t>
  </si>
  <si>
    <t>PI5865Y</t>
  </si>
  <si>
    <t>TRAVESSEIRO COM GRAVADOR MIX DE EMOCOES</t>
  </si>
  <si>
    <t>10/10 - Retorno Brics: produto não é passível de certificação.
09/10 - Projeto enviado para análise da Brics.
12/09 - Prazo para envio do projeto: 22/09.
26/08 - Sourcing: aguardando envio do projeto.
17/08 - Compra confirmada, aguardando envio do projeto</t>
  </si>
  <si>
    <t>PI5890Y</t>
  </si>
  <si>
    <t>KIT ORGANIZADOR PAPELARIA POSSIBILIDADES</t>
  </si>
  <si>
    <t>2023 - FAT05</t>
  </si>
  <si>
    <t>27/09 - A caneta será trocada por uma de metal, e a borracha, por clipes. Não será necessário certificar o kit.
15/09 - Ju: vão tentar caneta com corpo metálico e mais clipes, para fugir da certificação.
12/09 - Prazo para envio do projeto: 19/09.
05/09 - Projeto não enviado, Vincent vai verificar em paralelo quanto à certificação (documentos e amostras).
17/08 - Compra confirmada, aguardando envio do projeto</t>
  </si>
  <si>
    <t>PI5891Y</t>
  </si>
  <si>
    <t>KIT CANETAS DE MARCAR COPOS E TACAS BORA</t>
  </si>
  <si>
    <t>25/10 - Inmetro retornou e o entendimento é de que o produto não necessita de certificação.
29/09 - Documentos recebidos. Liberação 13/03 considerando início de produção após os testes.
27/09 - Amostras ficarão prontas em 10/10.
20/09 - Projeto recebido, encaminhamos para a Brics. Consulta feita ao Inmetro, aguardando retorno.
13/09 - Prazo para desenvolvimento: 19/09. Informado quantidade de amostras para a China e solicitados os documentos.
05/09 - Cobrado sobre data estimada para finalização da arte.  Projeto não enviado ainda, Vincent vai verificar em paralelo quanto à certificação (documentos e amostras).
22/08 - Solicitadas maiores informações para realizar a consulta direta com o Inmetro.
18/08 - Aguardando retorno da China quanto aos questionamentos do OCP, para definir se item é certificado.
17/08 - Compra confirmada, aguardando envio do projeto.</t>
  </si>
  <si>
    <t>CS2207</t>
  </si>
  <si>
    <t>QC NOSSO FORMATO I 100PCS</t>
  </si>
  <si>
    <t>17/11 - Produto cancelado, não conseguimos viabilizar no nacional, vamos desenvolver com a China. 
(500+ pçs).
25/10 - Sem atualização.
27/09 - Cotação com a Gráfica Rocha em andamento, definição até 15/10.
21/09 - Prazo criação da arte: 01/12.
31/08 - Andréia está cotando com outro fornecedor.
17/08 - Compra confirmada, aguardando envio do projeto</t>
  </si>
  <si>
    <t>CS2208</t>
  </si>
  <si>
    <t>QC NOSSO FORMATO ANIVERSARIO 100PCS</t>
  </si>
  <si>
    <t>CS2209</t>
  </si>
  <si>
    <t>QC NOSSO FORMATO II 100PCS</t>
  </si>
  <si>
    <t>CS2210</t>
  </si>
  <si>
    <t>QC NOSSO FORMATO III 100PCS</t>
  </si>
  <si>
    <t>PI5951Y</t>
  </si>
  <si>
    <t>BORRACHA FUN 01</t>
  </si>
  <si>
    <t>2023 - FAT 05</t>
  </si>
  <si>
    <t>02/12 - Item cancelado.
08/10 - Item em standby: vamos escolher modelos prontos do fornecedor.
31/10 - Sourcing enviou opções de marca-textos da Joy Rain para o time de produto avaliar.
14/10 - Projeto enviado, aguardando cotações.
28/09 - Aguardando confirmação da China se a fábrica será a mesma do certificado anterior.</t>
  </si>
  <si>
    <t>PI5952Y</t>
  </si>
  <si>
    <t>MARCA TEXTO FUN 01</t>
  </si>
  <si>
    <t>050402066</t>
  </si>
  <si>
    <t>CHAVEIRO POMO DE OURO</t>
  </si>
  <si>
    <t>HIGH WINTER 23</t>
  </si>
  <si>
    <t>13/10 - Produto informou que o projeto foi cancelado.
28/09 - Sourcing informou que fabricante não aceita passar pela auditoria.</t>
  </si>
  <si>
    <t>(900900748) TI16</t>
  </si>
  <si>
    <t xml:space="preserve">CARREGADOR CONECTOR USB 10W BRANCO
</t>
  </si>
  <si>
    <t>13/02 - Cancelado no laboratório.
24/01 - Stand-by.
11/01 - Fornecedor não conseguirá realizar as alterações na placa, e enviará novas amostras em 22/02.
06/01 - Item está no laboratório aguardando o retorno da China.</t>
  </si>
  <si>
    <t>(900900749) TI17</t>
  </si>
  <si>
    <t>CARREGADOR CONECTOR TIPO C 20W BRANCO</t>
  </si>
  <si>
    <t>(900900750) TI18</t>
  </si>
  <si>
    <t>CARREGADOR CONECTOR TIPO C USB 20W BRANCO</t>
  </si>
  <si>
    <t>(900900751) TI27</t>
  </si>
  <si>
    <t xml:space="preserve">CARREGADOR VEICULAR TIPO C USB 38W PRETO
</t>
  </si>
  <si>
    <t>13/02 - Cancelado no laboratório.
24/01 - Stand-by.
13/01 - Início dos testes: 18/01. Data prevista para o relatório: 17/03.
09/01 - Aguardando retorno do laboratório quanto à agenda.</t>
  </si>
  <si>
    <t>SHELL DE MADEIRA DE GRAVACAO PORTATIL</t>
  </si>
  <si>
    <t>2023 - FAT 06</t>
  </si>
  <si>
    <t>07/12 - Item cancelado, revisão de OTB.
29/11 - Solicitadas as amostras e documentos para a certificação Anatel no ERP.
25/11 - Vitrola que vão seguir será o modelo enviado pelo Vincent.</t>
  </si>
  <si>
    <t>CANETA MULTIUSO PARAFUSADA CINZA</t>
  </si>
  <si>
    <t>2023 - FAT06</t>
  </si>
  <si>
    <t>02/11 - Sourcing: Caneta é de metal.</t>
  </si>
  <si>
    <t>BINGO KIT DE JOGO SOL</t>
  </si>
  <si>
    <t>24/02 - Projeto cancelado.
06/02 - Aguardando confirmação da área de Produto, se o projeto será mantido.
19/01 - Custo de certificação não estava incluso no cálculo do item. Foi refeito e informado p/ Fernanda.
10/01 - Aguardando retorno da Brics quanto à necessidade de certificação.</t>
  </si>
  <si>
    <t xml:space="preserve">CAIXA BARALHO 153
</t>
  </si>
  <si>
    <t xml:space="preserve">16/12 - Produto cancelado.
02/12 - Possibilidade de vir o baralho junto.
</t>
  </si>
  <si>
    <t>CONJUNTO DE MARCA TEXTO</t>
  </si>
  <si>
    <t>2023 - FAT 07</t>
  </si>
  <si>
    <t>07/12 - Item cancelado, revisão de OTB. VALOR DE CRÉDITO PROCESSO BRICS: R$ 405,24.
02/12 - Item com risco de cancelamento, a inclusão ainda está pendente.
31/10 - Sourcing enviou as referências de produto.</t>
  </si>
  <si>
    <t>UMIDIFICADOR GATINHO</t>
  </si>
  <si>
    <t>2023 - FAT09</t>
  </si>
  <si>
    <t>17/01 - Questionamos na task de QC se o produto terá baterias internas.
10/01 - Entendimento sobre a certificação mudou, vamos avaliar com o Produto se vão seguir com o produto desta forma.
03/01 - O produto não necessitará certificação, pois sua fonte de alimentação é USB.</t>
  </si>
  <si>
    <t>RELÓGIO COM PALAVRAS</t>
  </si>
  <si>
    <t>2023 - FAT 09</t>
  </si>
  <si>
    <t>26/04 - Item cancelado por conta de problemas com Qualidade.
06/02 - Cobramos atualizações.
11/01 - Questionei sobre o prazo de definição de novo fornecedor. Fred retornou que terão definição somente após CNY.
10/01 - Fred informou que será dado andamento no desenvolvimento do produto, porém o fornecedor atual está com o preço muito alto, e avaliarão outros fornecedores. Informou que a certificação irá ficar em stand-by por enquanto.
10/01 - Cobrei os documentos e as amostras.
05/01 - Sourcing informou que enviará as informações na próxima semana.</t>
  </si>
  <si>
    <t>TESOURA COM CASE</t>
  </si>
  <si>
    <t>Item cancelado
06/02 - Cobramos atualizações.
10/01 - A fábrica já está fechada para o CNY, documentos e amostras serão enviados no retorno.
09/01 - Confirmamos a necessidade de certificação, foram solicitados os documentos e as amostras.</t>
  </si>
  <si>
    <t>KARAOKE</t>
  </si>
  <si>
    <t>24/02 - Produto cancelado, optado pela recompra do item PI5558Y  no lugar em FAT 07.
15/02 - Amostras ficarão prontas dia 20/02.
24/01 - Confirmando se vem com fonte.
18/01 - Enviados os documentos para o OCD.
10/01 - Leadtime de produção: 60 dias. Previsão de chegada CD: 18/09.
09/01 - Sourcing informou que o forncedor está preparando os documentos, enviará até 13/1. Amostras estarão prontas apenas após CNY, 13/2.</t>
  </si>
  <si>
    <t>CAIXA DE SOM COM ESTAMPA</t>
  </si>
  <si>
    <t>30/01 - Produto cancelado.
11/01 - Enviei o schedule considerando o recebimento da amostra até a terceira semana de fevereiro. Chegada CD: 18/09.
10/01 - Vincent informou que o leadtime de produção deve ser em torno de 60 dias (padrão).
09/01 - Sourcing informou que ainda não temos definição com qual modelo seguiremos. Assim que possível enviará o schedule das amostras.</t>
  </si>
  <si>
    <t>CHAVEIRO JOGOS</t>
  </si>
  <si>
    <t>04/04 - Item cancelado. O motivo é que devido ao custo de certificação, os chaveiros teriam que ser vendidos a um preço ponta muito alto.
29/09 - Enviado sobre o pai de família e quantidade de amostras, Vincent informou que ainda estão definindo qual será o fornecedor final.
06/03 - Sourcing enviou o memorial descritivo final, encaminhei para a Brics e solicitei a proposta de certificação.
06/02 - Cobramos atualizações.
11/01 - Enviado o schedule para o Sourcing, questionando sobre a data de recebimento das amostras e leadtime do fabricante.
09/01 - Solicitados os documentos e as amostras.</t>
  </si>
  <si>
    <t>CHAVEIRO MEMORIA</t>
  </si>
  <si>
    <t>CHAVEIRO PET VIRTUAL</t>
  </si>
  <si>
    <t>CHAVEIRO JOGO DE ENCAIXE</t>
  </si>
  <si>
    <t>MARCA</t>
  </si>
  <si>
    <t>IMAGEM</t>
  </si>
  <si>
    <t>CÓDIGO</t>
  </si>
  <si>
    <t>COLEÇÃO</t>
  </si>
  <si>
    <t>Fornecedor</t>
  </si>
  <si>
    <t>NOME</t>
  </si>
  <si>
    <t>NEGÓCIO</t>
  </si>
  <si>
    <t>TIPO DE CERTIFICAÇÃO</t>
  </si>
  <si>
    <t>AMOSTRAS NECESSÁRIAS</t>
  </si>
  <si>
    <t>STATUS</t>
  </si>
  <si>
    <t>DATA ÚLTIMA ATUALIZAÇÃO (INICIAL, MANUTENÇÃO OU ENCERRAMENTO)</t>
  </si>
  <si>
    <t>ROTULAGEM</t>
  </si>
  <si>
    <t>FABRICANTE</t>
  </si>
  <si>
    <t>Validade da Certificação</t>
  </si>
  <si>
    <t>Início Manutenção</t>
  </si>
  <si>
    <t>Número Certificado</t>
  </si>
  <si>
    <t>Número Registro / Homologação</t>
  </si>
  <si>
    <t>OCP / OCD</t>
  </si>
  <si>
    <t>Possui ISO 9001?</t>
  </si>
  <si>
    <t>CHEGADA CD</t>
  </si>
  <si>
    <t>SITUAÇÃO</t>
  </si>
  <si>
    <t>Descrição E-commerce</t>
  </si>
  <si>
    <t>Prazo Final Venda</t>
  </si>
  <si>
    <t>IMAGINARIUM</t>
  </si>
  <si>
    <t>PI4206Y</t>
  </si>
  <si>
    <t>2020 - FAT01</t>
  </si>
  <si>
    <t>Greatchip</t>
  </si>
  <si>
    <t>MALA USB SMART LOCKER CARREGANDO VIAGEM</t>
  </si>
  <si>
    <t>ANATEL CATEGORIA 2 - MÓDULO BLUETOOTH</t>
  </si>
  <si>
    <t>2 unidades</t>
  </si>
  <si>
    <t>15/06/21 - Certificado de homologação emitido.</t>
  </si>
  <si>
    <t>Produto + Manual (ANATEL)</t>
  </si>
  <si>
    <t xml:space="preserve"> MT-5343/2021</t>
  </si>
  <si>
    <t>06107-21-12659</t>
  </si>
  <si>
    <t>Encerrado</t>
  </si>
  <si>
    <t>PI4145Y</t>
  </si>
  <si>
    <t>PETKIT</t>
  </si>
  <si>
    <t>COMEDOURO SMART PETKIT BRANCO</t>
  </si>
  <si>
    <t>TECH - HOME TECH</t>
  </si>
  <si>
    <r>
      <rPr>
        <rFont val="Trebuchet MS"/>
        <b/>
        <color theme="1"/>
        <sz val="9.0"/>
      </rPr>
      <t xml:space="preserve">01/06/23 - Certificado suspenso.
-
24/06 - Certificado de Homologação emitido.
</t>
    </r>
    <r>
      <rPr>
        <rFont val="Trebuchet MS"/>
        <b val="0"/>
        <color theme="1"/>
        <sz val="9.0"/>
      </rPr>
      <t>01/06/21 - Processo cadastrado na Anatel.
31/05/21 - Aprovado o CCT.</t>
    </r>
  </si>
  <si>
    <t>MT-5348/2021</t>
  </si>
  <si>
    <t>07697-21-11541</t>
  </si>
  <si>
    <t>PI3875Y</t>
  </si>
  <si>
    <t>2019 - FAT09</t>
  </si>
  <si>
    <t>DOULEX</t>
  </si>
  <si>
    <t>AMPLIFICADOR BLUETOOTH ESTRELA GENIUS</t>
  </si>
  <si>
    <t>TECH - MUSIC</t>
  </si>
  <si>
    <r>
      <rPr>
        <rFont val="Trebuchet MS"/>
        <b/>
        <color theme="1"/>
        <sz val="9.0"/>
      </rPr>
      <t xml:space="preserve">31/01/2023 -O certificado não será renovado.
</t>
    </r>
    <r>
      <rPr>
        <rFont val="Trebuchet MS"/>
        <b val="0"/>
        <color theme="1"/>
        <sz val="9.0"/>
      </rPr>
      <t>-</t>
    </r>
    <r>
      <rPr>
        <rFont val="Trebuchet MS"/>
        <b/>
        <color theme="1"/>
        <sz val="9.0"/>
      </rPr>
      <t xml:space="preserve">
</t>
    </r>
    <r>
      <rPr>
        <rFont val="Trebuchet MS"/>
        <b val="0"/>
        <color theme="1"/>
        <sz val="9.0"/>
      </rPr>
      <t>16/06/21 - Certificado de Homologação emitido.</t>
    </r>
  </si>
  <si>
    <t>MT-5342/2021</t>
  </si>
  <si>
    <t>06106-21-12406</t>
  </si>
  <si>
    <t>PI4077Y</t>
  </si>
  <si>
    <t>2020 - FAT02</t>
  </si>
  <si>
    <t>Hesen</t>
  </si>
  <si>
    <t>ALMOFADA COELHA VEM QUE TEM</t>
  </si>
  <si>
    <t>CASA E DECORAÇÃO</t>
  </si>
  <si>
    <t>36 unidades</t>
  </si>
  <si>
    <t>Finalizado</t>
  </si>
  <si>
    <t>Produto + Embalagem (INMETRO)</t>
  </si>
  <si>
    <t>Certificado encerrado, validade do estoque do produto até 06/07/2023</t>
  </si>
  <si>
    <t>IP-BRI-9435-2019-4</t>
  </si>
  <si>
    <t>001343/2020</t>
  </si>
  <si>
    <t>Certificação INMETRO:Produto certificado por INNAC OCP 0061 Nº Registro 001343/2020</t>
  </si>
  <si>
    <t>PI4074Y</t>
  </si>
  <si>
    <t>Remember</t>
  </si>
  <si>
    <t>MALETA DE MAQUIAGEM COM SPEAKER SHOW</t>
  </si>
  <si>
    <t>TECH</t>
  </si>
  <si>
    <t>2 Amostras completas + 1 Amostra teste lab (Placa PCB com entradas de cabo de RF e Software)</t>
  </si>
  <si>
    <t>Item não certificado</t>
  </si>
  <si>
    <t>Homologação ANATEL - Sem necessidade de Auditoria</t>
  </si>
  <si>
    <t>NA</t>
  </si>
  <si>
    <t>PI4229Y</t>
  </si>
  <si>
    <t>2020 - FAT03</t>
  </si>
  <si>
    <t>BAITE</t>
  </si>
  <si>
    <t>COELHO DE PASCOA INFLAVEL</t>
  </si>
  <si>
    <t>Aguardando RAM</t>
  </si>
  <si>
    <t>Até o final do lote</t>
  </si>
  <si>
    <t>Novo desenvolvimento - Analise documental somente das informações de SAC - Sem necessidade de input da ASTEC até manutenção</t>
  </si>
  <si>
    <t>5237-2019-BRI -1</t>
  </si>
  <si>
    <t>BRICS OCP 0098</t>
  </si>
  <si>
    <t>Certificação INMETRO:Produto certificado por BRICS OCP 0098 CE-BRI/BRICS 001180-20</t>
  </si>
  <si>
    <t>PI4127Y</t>
  </si>
  <si>
    <t>IPS</t>
  </si>
  <si>
    <t>MARMITA ELETRICA QUENTE VIU 127V</t>
  </si>
  <si>
    <t>COMES E BEBES</t>
  </si>
  <si>
    <t>INMETRO SISTEMA 5 (FABRICA) - PORTARIA 371</t>
  </si>
  <si>
    <t>2 Amostras completas</t>
  </si>
  <si>
    <t>5168/2019-ELE-1</t>
  </si>
  <si>
    <t>Certificação INMETRO:Produto certificado por BRICS OCP 0098 Nº Certificado 5168/2019-ELE-1</t>
  </si>
  <si>
    <t>PI4246Y</t>
  </si>
  <si>
    <t>MARMITA ELETRICA QUENTE VIU 220V</t>
  </si>
  <si>
    <t>PI4183Y</t>
  </si>
  <si>
    <t>ED origin</t>
  </si>
  <si>
    <t>AROMATIZADOR SPEAKER MAE AMOR</t>
  </si>
  <si>
    <t>INMETRO SISTEMA 5 (FABRICA) - PORTARIA 371 + ANATEL MÓDULO BLUETOOTH</t>
  </si>
  <si>
    <t>2 Amostras completas - INMETRO
2 Amostras completas + 1 Amostra teste lab (Placa PCB com entradas de cabo de RF e Software) - ANATEL</t>
  </si>
  <si>
    <t>Produto + Embalagem + Manual (INMETRO &amp; ANATEL)</t>
  </si>
  <si>
    <t>5169-2019-ELE-1</t>
  </si>
  <si>
    <t>Certificação INMETRO:Produto certificado por BRICS OCP 0098 Nº Certificado 5169-2019-ELE</t>
  </si>
  <si>
    <t>PI4129Y</t>
  </si>
  <si>
    <t>AROMATIZADOR SPEAKER MUSICA INSPIRA</t>
  </si>
  <si>
    <t>PI4219Y</t>
  </si>
  <si>
    <t>2020 - FAT04</t>
  </si>
  <si>
    <t>TOYLAND</t>
  </si>
  <si>
    <t>ALMOFADA TE AMO ALIEN DO UNIVERSO</t>
  </si>
  <si>
    <t>Certificado emitido</t>
  </si>
  <si>
    <t>Produto ou Embalagem (INMETRO)</t>
  </si>
  <si>
    <t>5269/2020-BRI-1</t>
  </si>
  <si>
    <t>PI4207Y</t>
  </si>
  <si>
    <t>2021 - FAT06</t>
  </si>
  <si>
    <t>ANC China</t>
  </si>
  <si>
    <t>LOCALIZADOR DE CHAVE PRETO</t>
  </si>
  <si>
    <r>
      <rPr>
        <rFont val="Trebuchet MS"/>
        <b/>
        <color theme="1"/>
        <sz val="9.0"/>
      </rPr>
      <t xml:space="preserve">22/12 - Não teremos venda sell-in e nem recompra desses itens. Certificado não será renovado.
-
</t>
    </r>
    <r>
      <rPr>
        <rFont val="Trebuchet MS"/>
        <color theme="1"/>
        <sz val="9.0"/>
      </rPr>
      <t>Finalizado</t>
    </r>
  </si>
  <si>
    <t>MT-5263/2021</t>
  </si>
  <si>
    <t>03511-21-12855</t>
  </si>
  <si>
    <t>Produto homologado pela Anatel: Nº Homologação 03511-21-12855</t>
  </si>
  <si>
    <t>PI4257Y</t>
  </si>
  <si>
    <t>Donghao</t>
  </si>
  <si>
    <t>KARAOKE PORTATIL FAZ AO VIVO</t>
  </si>
  <si>
    <t>PI4217Y</t>
  </si>
  <si>
    <t>KIT PIPOCA DUPLO SERIE KILLER</t>
  </si>
  <si>
    <t>IPI-BRI-9951-2019-05</t>
  </si>
  <si>
    <t>002937/2020</t>
  </si>
  <si>
    <t>Certificação INMETRO:Produto certificado por INNAC OCP 0061 Nº Registro 002937/2020</t>
  </si>
  <si>
    <t>PI4255Y</t>
  </si>
  <si>
    <t>Sun Lin</t>
  </si>
  <si>
    <t>PIANO GIGANTE DO RE MI</t>
  </si>
  <si>
    <t>5236-2019-BRI-1</t>
  </si>
  <si>
    <t>PI4193Y</t>
  </si>
  <si>
    <t>Robotime</t>
  </si>
  <si>
    <t>QUEBRA CABEÇA 3D DINOSSAURO ROBO</t>
  </si>
  <si>
    <t>5238/2019-BRI-1</t>
  </si>
  <si>
    <t>LY2877</t>
  </si>
  <si>
    <t>ALMOFADA MANIA URSO VALENTIM ME LEVA</t>
  </si>
  <si>
    <t>18 Amostras</t>
  </si>
  <si>
    <t>Certificado emitido, já destinado ao CD</t>
  </si>
  <si>
    <t>Embalagem (INMETRO)</t>
  </si>
  <si>
    <t>5450-2020-BRI-1</t>
  </si>
  <si>
    <t>LUDI</t>
  </si>
  <si>
    <t>PI4220Y</t>
  </si>
  <si>
    <t>ALMOFADA SARDADINHA DE VOCE</t>
  </si>
  <si>
    <t>Já separadas</t>
  </si>
  <si>
    <t>5617/2020-BRI-1</t>
  </si>
  <si>
    <t>PI4306Y</t>
  </si>
  <si>
    <t>2020 - FAT06</t>
  </si>
  <si>
    <t>Yopinshi</t>
  </si>
  <si>
    <t>KIT ACESSORIOS TECH JUNTO E CONECTADO</t>
  </si>
  <si>
    <t>ANATEL CATEGORIA 1 - CELULARES</t>
  </si>
  <si>
    <t>Produto (ANATEL)</t>
  </si>
  <si>
    <t>PI4214Y</t>
  </si>
  <si>
    <t>Chuyang</t>
  </si>
  <si>
    <t>ORGANIZADOR E CARREGADOR SEM FIO CORTICA</t>
  </si>
  <si>
    <t>PI4308Y</t>
  </si>
  <si>
    <t>Huazeng</t>
  </si>
  <si>
    <t>LUMINARIA SPEAKER BUD</t>
  </si>
  <si>
    <r>
      <rPr>
        <rFont val="Trebuchet MS"/>
        <color theme="1"/>
        <sz val="9.0"/>
      </rPr>
      <t xml:space="preserve">Certificado Emitido
</t>
    </r>
    <r>
      <rPr>
        <rFont val="Trebuchet MS"/>
        <b/>
        <color theme="1"/>
        <sz val="9.0"/>
      </rPr>
      <t xml:space="preserve">Registro: 07231-20-12851
</t>
    </r>
    <r>
      <rPr>
        <rFont val="Trebuchet MS"/>
        <color theme="1"/>
        <sz val="9.0"/>
      </rPr>
      <t>Criação já alinhou a aplicação das artes</t>
    </r>
  </si>
  <si>
    <t>PI4259Y</t>
  </si>
  <si>
    <t>2020 - FAT05</t>
  </si>
  <si>
    <t>Hangzhou Shouyi I/E CO,,LTD</t>
  </si>
  <si>
    <t>CESTA DE BASQUETE COM LED JOGADA CERTA</t>
  </si>
  <si>
    <t>10 Amostras Completas</t>
  </si>
  <si>
    <t>Certificado recebido e anûencia deferida, processo de certificação finalizado.</t>
  </si>
  <si>
    <t>Sem necessidade - Certificação de Lote</t>
  </si>
  <si>
    <t>5637-2020-BRI-1</t>
  </si>
  <si>
    <t>PI4586Y</t>
  </si>
  <si>
    <t>2020 - FAT10</t>
  </si>
  <si>
    <t>Universe Sound</t>
  </si>
  <si>
    <t>FONE DE OUVIDO SEM FIO ESCUTA AQUI</t>
  </si>
  <si>
    <t>1 Amostras completas + 1 Amostra teste lab (Placa PCB com entradas de cabo de RF e Software)</t>
  </si>
  <si>
    <r>
      <rPr>
        <rFont val="Trebuchet MS"/>
        <b/>
        <color theme="1"/>
        <sz val="9.0"/>
      </rPr>
      <t xml:space="preserve">01/06/2023 - Certificado suspenso.
</t>
    </r>
    <r>
      <rPr>
        <rFont val="Trebuchet MS"/>
        <color theme="1"/>
        <sz val="9.0"/>
      </rPr>
      <t xml:space="preserve">-
Amostras enviadas para o laboratório (Eldorado) em 17/06, finalizando pendências documentais com o certificador para obtermos o número de registro ANATEL que deve conter no produto.
Ensaios finalizados
</t>
    </r>
    <r>
      <rPr>
        <rFont val="Trebuchet MS"/>
        <b/>
        <color theme="1"/>
        <sz val="9.0"/>
      </rPr>
      <t>Registro emitido:08894-20-12418</t>
    </r>
  </si>
  <si>
    <t>MT-5347/2021</t>
  </si>
  <si>
    <t>06109-21-12418</t>
  </si>
  <si>
    <t>Produto homologado pela Anatel: Nº Homologação 06109-21-12418</t>
  </si>
  <si>
    <t>PI4587Y</t>
  </si>
  <si>
    <t>FONE DE OUVIDO SEM FIO OUVIR</t>
  </si>
  <si>
    <r>
      <rPr>
        <rFont val="Trebuchet MS"/>
        <b/>
        <color theme="1"/>
        <sz val="9.0"/>
      </rPr>
      <t>01/06/2023 - Certificado suspenso.</t>
    </r>
    <r>
      <rPr>
        <rFont val="Trebuchet MS"/>
        <color theme="1"/>
        <sz val="9.0"/>
      </rPr>
      <t xml:space="preserve">
-
Amostras enviadas para o laboratório (Eldorado) em 17/06, finalizando pendências documentais com o certificador para obtermos o número de registro ANATEL que deve conter no produto.
Ensaios finalizados
</t>
    </r>
    <r>
      <rPr>
        <rFont val="Trebuchet MS"/>
        <b/>
        <color theme="1"/>
        <sz val="9.0"/>
      </rPr>
      <t>Registro emitido:08894-20-12418</t>
    </r>
  </si>
  <si>
    <t>PI4511Y</t>
  </si>
  <si>
    <t>2022 - FAT05</t>
  </si>
  <si>
    <t>Joy rain</t>
  </si>
  <si>
    <t>CANETA MUDA FRASES HP FEITICOS</t>
  </si>
  <si>
    <t>USO PESSOAL</t>
  </si>
  <si>
    <t>INMETRO SISTEMA 5 (FABRICA) - PORTARIA 481</t>
  </si>
  <si>
    <t>50 Amostras</t>
  </si>
  <si>
    <r>
      <rPr>
        <rFont val="Trebuchet MS"/>
        <b/>
        <color theme="1"/>
        <sz val="9.0"/>
      </rPr>
      <t xml:space="preserve">23/04/2025 - Manutenção finalizada.
</t>
    </r>
    <r>
      <rPr>
        <rFont val="Trebuchet MS"/>
        <b val="0"/>
        <color theme="1"/>
        <sz val="9.0"/>
      </rPr>
      <t>03/06/24 - Manutenção concluída.</t>
    </r>
    <r>
      <rPr>
        <rFont val="Trebuchet MS"/>
        <b/>
        <color theme="1"/>
        <sz val="9.0"/>
      </rPr>
      <t xml:space="preserve">
</t>
    </r>
    <r>
      <rPr>
        <rFont val="Trebuchet MS"/>
        <b val="0"/>
        <color theme="1"/>
        <sz val="9.0"/>
      </rPr>
      <t>Retrabalho das canetas concluído.</t>
    </r>
  </si>
  <si>
    <t>9114/2023-AE-1</t>
  </si>
  <si>
    <t>004671/2023</t>
  </si>
  <si>
    <t>Ativo</t>
  </si>
  <si>
    <t>Certificação INMETRO:Produto certificado por BRICS OCP 0098 Nº Registro 004671/2023</t>
  </si>
  <si>
    <t>PI4499Y</t>
  </si>
  <si>
    <t>2020 - FAT09</t>
  </si>
  <si>
    <t>CANETA MUDA FRASES FRIENDS MOLDURA</t>
  </si>
  <si>
    <t>0 Amostras, (amostras da caneta HP foram ensaiadas no processo)</t>
  </si>
  <si>
    <r>
      <rPr>
        <rFont val="Trebuchet MS"/>
        <b/>
        <color theme="1"/>
        <sz val="9.0"/>
      </rPr>
      <t xml:space="preserve">21/08/23 - Certificado encerrado.
</t>
    </r>
    <r>
      <rPr>
        <rFont val="Trebuchet MS"/>
        <b val="0"/>
        <color theme="1"/>
        <sz val="9.0"/>
      </rPr>
      <t>-
Retrabalho das Canetas concluído em 23/11</t>
    </r>
  </si>
  <si>
    <t>5605/2020-AE-1</t>
  </si>
  <si>
    <t>006550/2020</t>
  </si>
  <si>
    <t>Certificação INMETRO:Produto certificado por BRICS OCP 0098 Nº Registro 006550/2020</t>
  </si>
  <si>
    <t>PI4628Y</t>
  </si>
  <si>
    <t>2021 - FAT01</t>
  </si>
  <si>
    <t>AUBADI</t>
  </si>
  <si>
    <t>MOUSE SEM FIO GLITTER DEIXAR ROLAR</t>
  </si>
  <si>
    <r>
      <rPr>
        <rFont val="Trebuchet MS"/>
        <b/>
        <color theme="1"/>
        <sz val="9.0"/>
      </rPr>
      <t xml:space="preserve">21/05 - Homologação Anatel finalizada.
</t>
    </r>
    <r>
      <rPr>
        <rFont val="Trebuchet MS"/>
        <color theme="1"/>
        <sz val="9.0"/>
      </rPr>
      <t>23/04 - Processo cadastrado na Anatel.
12/04 - Em análise pela engenharia da OCD - previsão 16/05
24/03 - Entrega dos relatórios prevista para 12/04 e finalização homologação 16/05.
Amostras chegaram no laboratório em 17/09. Nº de Registro já recebido e encaminhado para fornecedor incluir no produto 14600-20-13387</t>
    </r>
  </si>
  <si>
    <t>MT-5057/2020</t>
  </si>
  <si>
    <t>14600-20-13387</t>
  </si>
  <si>
    <t>Produto homologado pela Anatel: Nº Homologação 14600-20-13387</t>
  </si>
  <si>
    <t>PI4630Y</t>
  </si>
  <si>
    <t>MOUSE SEM FIO GLITTER AMEI</t>
  </si>
  <si>
    <r>
      <rPr>
        <rFont val="Trebuchet MS"/>
        <b/>
        <color theme="1"/>
        <sz val="9.0"/>
      </rPr>
      <t xml:space="preserve">21/05 - Homologação Anatel finalizada.
</t>
    </r>
    <r>
      <rPr>
        <rFont val="Trebuchet MS"/>
        <color theme="1"/>
        <sz val="9.0"/>
      </rPr>
      <t xml:space="preserve">23/04 - Processo cadastrado na Anatel.
12/04 - Em análise pela engenharia da OCD - previsão 16/05
24/03 - Entrega dos relatórios prevista para 12/04 e finalização homologação 16/05.
</t>
    </r>
    <r>
      <rPr>
        <rFont val="Trebuchet MS"/>
        <b/>
        <color theme="1"/>
        <sz val="9.0"/>
      </rPr>
      <t xml:space="preserve">
</t>
    </r>
    <r>
      <rPr>
        <rFont val="Trebuchet MS"/>
        <color theme="1"/>
        <sz val="9.0"/>
      </rPr>
      <t>Amostras chegaram no laboratório em 17/09. Nº de Registro já recebido e encaminhado para fornecedor incluir no produto 14600-20-13387</t>
    </r>
  </si>
  <si>
    <t>PI1172Y
PI1183Y
PI3716Y</t>
  </si>
  <si>
    <t>NIHAO</t>
  </si>
  <si>
    <t>Nihao Familia 1 - Manutenção dos produtos</t>
  </si>
  <si>
    <r>
      <rPr>
        <rFont val="Trebuchet MS"/>
        <color theme="1"/>
        <sz val="9.0"/>
      </rPr>
      <t xml:space="preserve">Transfererência do Certificado do INNAC para a Brics concluída, avançando para envio das amostras para teste
</t>
    </r>
    <r>
      <rPr>
        <rFont val="Trebuchet MS"/>
        <b/>
        <color theme="1"/>
        <sz val="9.0"/>
      </rPr>
      <t>LI Prévia deferida pelo INMETRO</t>
    </r>
  </si>
  <si>
    <t>000910/2015</t>
  </si>
  <si>
    <t>IP-AESC-3847/2019-01
IP-AESC-3847/2019-02</t>
  </si>
  <si>
    <t>PI4642Y</t>
  </si>
  <si>
    <t>JYK</t>
  </si>
  <si>
    <t>VITROLA DE MALA BLUETOOTH AMARELA</t>
  </si>
  <si>
    <r>
      <rPr>
        <rFont val="Trebuchet MS"/>
        <b/>
        <color theme="1"/>
        <sz val="9.0"/>
      </rPr>
      <t xml:space="preserve">10/01/23 - Planejamento informou que não deseja renovar o certificado.
</t>
    </r>
    <r>
      <rPr>
        <rFont val="Trebuchet MS"/>
        <color theme="1"/>
        <sz val="9.0"/>
      </rPr>
      <t xml:space="preserve">-
Amostra chegou em 28/09 em SP, foi enviada para ensaios laboratoriais em 30/09. Número de registro recebido em 29/10.
</t>
    </r>
    <r>
      <rPr>
        <rFont val="Trebuchet MS"/>
        <b/>
        <color theme="1"/>
        <sz val="9.0"/>
      </rPr>
      <t>ANATEL: 15743-20-13462</t>
    </r>
  </si>
  <si>
    <t>MT-5084/2020</t>
  </si>
  <si>
    <t>15743-20-13462</t>
  </si>
  <si>
    <t>Este produto contém a placa ST226A código de homologação ANATEL 15743-20-13462</t>
  </si>
  <si>
    <t>PI4669Y</t>
  </si>
  <si>
    <t>2021 - FAT10</t>
  </si>
  <si>
    <t>Wallesun</t>
  </si>
  <si>
    <t>AROMATIZADOR E UMIDIFICADOR NO AR</t>
  </si>
  <si>
    <t>INMETRO Eletrodomésticos</t>
  </si>
  <si>
    <t>2 amostras para ensaios na China</t>
  </si>
  <si>
    <r>
      <rPr>
        <rFont val="Trebuchet MS"/>
        <color theme="1"/>
        <sz val="9.0"/>
      </rPr>
      <t xml:space="preserve">Documentação recebida e encaminhada para análise do OCP. Aguardando confirmação do laboratório para envio das amostras e confirmação do OCP quanto a etiqueta de Certificação para alinhamento com o time de criação. Amostras Chegaram no </t>
    </r>
    <r>
      <rPr>
        <rFont val="Trebuchet MS"/>
        <b/>
        <color theme="1"/>
        <sz val="9.0"/>
      </rPr>
      <t xml:space="preserve">FEDEX 772035901130 
</t>
    </r>
    <r>
      <rPr>
        <rFont val="Trebuchet MS"/>
        <color theme="1"/>
        <sz val="9.0"/>
      </rPr>
      <t>Aprovação da Etiqueta concedida pelo OCP. Relatório preliminar do laboratório agendado para dia 18/12. Tipo de certificação alterada para Lote em função do fornecedor não conseguir cumprir com os requisitos minímos cobrados pelo laboratório. Embarque será agendado após a conclusão dos ensaios preliminares.</t>
    </r>
    <r>
      <rPr>
        <rFont val="Trebuchet MS"/>
        <b/>
        <color theme="1"/>
        <sz val="9.0"/>
      </rPr>
      <t xml:space="preserve">
</t>
    </r>
    <r>
      <rPr>
        <rFont val="Trebuchet MS"/>
        <color theme="1"/>
        <sz val="9.0"/>
      </rPr>
      <t>Ensaios preliminares concluídos e instrução de embarque encaminhada para o time da China
Previsão da emissão do certificado 22/01
21/01 - Recebemos o Draft do Certificado e demos ok para emissão, devemos receber o certificado assinado amanhã dia 22/01</t>
    </r>
    <r>
      <rPr>
        <rFont val="Trebuchet MS"/>
        <b/>
        <color theme="1"/>
        <sz val="9.0"/>
      </rPr>
      <t xml:space="preserve">
28/01 - Certificado emitido. Processo liberado pela RFB.</t>
    </r>
  </si>
  <si>
    <t>Sem auditoria - lote</t>
  </si>
  <si>
    <t>6926/2021-ELE-1</t>
  </si>
  <si>
    <t>Certificação INMETRO:Produto certificado por BRICS OCP 0098 Nº Certificado 6356/2020-ELE</t>
  </si>
  <si>
    <t>PI4732Y</t>
  </si>
  <si>
    <t>2021 - FAT03</t>
  </si>
  <si>
    <t>Iceberg</t>
  </si>
  <si>
    <t>MINI GELADEIRA PARA COSMETICOS LILAS</t>
  </si>
  <si>
    <r>
      <rPr>
        <rFont val="Trebuchet MS"/>
        <b/>
        <color theme="1"/>
        <sz val="9.0"/>
      </rPr>
      <t xml:space="preserve">10/11 - Certificado encerrado: Informado pela empresa que o prazo para que estes produtos sejam comercializados é de 15 meses contados da data de 10/11/2021, para Cooler Elétrico modelo PI4732Y possui 461 unidades em estoque .
--
05/02 - Certificado emitido - validade: 04/02/2024. etiquetagem ok
</t>
    </r>
    <r>
      <rPr>
        <rFont val="Trebuchet MS"/>
        <color theme="1"/>
        <sz val="9.0"/>
      </rPr>
      <t>Documentação recebida e encaminhada para análise do OCP. Aguardando confirmação do laboratório para envio das amostras e confirmação do OCP quanto a etiqueta de Certificação para alinhamento com o time de criação
Aprovação da Etiqueta concedida pelo OCP. Ensaios com previsão de término em 04/01, produção em massa irá seguir após a conclusão dos ensaios.</t>
    </r>
    <r>
      <rPr>
        <rFont val="Trebuchet MS"/>
        <b/>
        <color theme="1"/>
        <sz val="9.0"/>
      </rPr>
      <t xml:space="preserve">
</t>
    </r>
    <r>
      <rPr>
        <rFont val="Trebuchet MS"/>
        <color theme="1"/>
        <sz val="9.0"/>
      </rPr>
      <t>Draft de Ensaios recebido em 06/01 e aprovados na mesma data, aguardando finalização da análise pelo time técnico do OCP para confirmamos a conformidade dos ensaios e seguir com a produção do produto.
08/01 - Recebemos a confirmação dos ensaios e o relatório final já seguiu para emissão, asim que tivermos o mesmo vamos seguir para obter o Certificado de Conformidade
20/01 - Validação de documentos realizada, aguardando envio do draft do certificado.</t>
    </r>
    <r>
      <rPr>
        <rFont val="Trebuchet MS"/>
        <b/>
        <color theme="1"/>
        <sz val="9.0"/>
      </rPr>
      <t xml:space="preserve">
</t>
    </r>
    <r>
      <rPr>
        <rFont val="Trebuchet MS"/>
        <color theme="1"/>
        <sz val="9.0"/>
      </rPr>
      <t>26/01 - Certificado cobrado novamente
03/02 - Draft do Certificado recebido
04/02 - Draft aprovado.</t>
    </r>
  </si>
  <si>
    <t>6364/2020-ELE-1</t>
  </si>
  <si>
    <t>Certificação INMETRO:Produto certificado por BRICS OCP 0098 Nº Certificado 6364/2020-ELE-1</t>
  </si>
  <si>
    <t>PI4368Y</t>
  </si>
  <si>
    <t>2020 - FAT08</t>
  </si>
  <si>
    <t>ALMOFADA SONORA HP CHAPEU SELETOR</t>
  </si>
  <si>
    <t xml:space="preserve">Amostras enviadas para laboratório, aguardando finalização dos ensaios laboratoriais </t>
  </si>
  <si>
    <r>
      <rPr>
        <rFont val="Trebuchet MS"/>
        <b/>
        <color theme="1"/>
        <sz val="9.0"/>
      </rPr>
      <t xml:space="preserve">09/03 - Certificado emitido. Aguardando estar disponível no Orquestra para anuência da LI (10 dias - 30/03, chega dia 02/04 no Brasil).
</t>
    </r>
    <r>
      <rPr>
        <rFont val="Trebuchet MS"/>
        <color theme="1"/>
        <sz val="9.0"/>
      </rPr>
      <t>Novo processo de certificação de lote, já aberto com a Brics Certificações, data de conclusão da produção em massa solicitada para a China para averiguarmos a data para amostragem das peças a serem ensaiadas  
11/01 - Confirmação da conclusão da Mass Production em 29/01, verificar se é possível pegar amostras do lote antes, quantas deverão ser produzidas, e qual a data de embarque para ver se o prazo está de acordo
21/01 - Combinado com o OCP a coleta antecipada, aguardando retorno da antecipação de amostras. Embarque agendado para o dia 06/02 no processo 1739_SH
05/02 - Amostra coletada, já está no Cobo. Proposta ensaio aprovada. Previsão de relatório 26/02.</t>
    </r>
  </si>
  <si>
    <t>6544/2021-BRI</t>
  </si>
  <si>
    <t>PI4461Y</t>
  </si>
  <si>
    <t>KYC</t>
  </si>
  <si>
    <t>CARREGADOR SEM FIO HP PLATAFORMA 9 3/4</t>
  </si>
  <si>
    <r>
      <rPr>
        <rFont val="Trebuchet MS"/>
        <b/>
        <color theme="1"/>
        <sz val="9.0"/>
      </rPr>
      <t xml:space="preserve">27/10/23 - O certificado não será renovado.
</t>
    </r>
    <r>
      <rPr>
        <rFont val="Trebuchet MS"/>
        <color theme="1"/>
        <sz val="9.0"/>
      </rPr>
      <t>07/03/22 - Manutenção do Certificado realizada.</t>
    </r>
    <r>
      <rPr>
        <rFont val="Trebuchet MS"/>
        <b/>
        <color theme="1"/>
        <sz val="9.0"/>
      </rPr>
      <t xml:space="preserve">
--
</t>
    </r>
    <r>
      <rPr>
        <rFont val="Trebuchet MS"/>
        <color theme="1"/>
        <sz val="9.0"/>
      </rPr>
      <t xml:space="preserve">12/03 - Certificado de homologação emitido pela ANATEL. Precisamos etiquetar 10 unidades deste lote.
Documentos submetidos para a ANATEL. Previsão homologação repassada pela OCP: 15/03.
Recompra de produto, solicitação de compras de etiquetas realizada, previsão de envio para 28/12. Assim que recebidas serão encaminhadas via FedEx para time na China.
Código de homologação emitido: 09318-20-12562 - Compra das etiquetas realizadas e recebidas pelo Guilherme em 04/01/2021, encaminhadas para China via FedEx em 05/01/2021 - Tracking: 772527892413
12/01 - Confirmação de FAT 04 recebida
</t>
    </r>
  </si>
  <si>
    <t>Shenzhen Kaiyue Century Techonology Co. LTD</t>
  </si>
  <si>
    <t>MT-4968/2020</t>
  </si>
  <si>
    <t>09318-20-12562</t>
  </si>
  <si>
    <t>Produto homologado pela Anatel: Nº Homologação 09318-20-1256</t>
  </si>
  <si>
    <t>PI4717Y</t>
  </si>
  <si>
    <t>Pic value</t>
  </si>
  <si>
    <t>CESTA DE PICNIC COM AMPLIFICADOR CESTOU</t>
  </si>
  <si>
    <t>ANATEL MÓDULO BLUETOOTH</t>
  </si>
  <si>
    <r>
      <rPr>
        <rFont val="Trebuchet MS"/>
        <b/>
        <color theme="1"/>
        <sz val="9.0"/>
      </rPr>
      <t xml:space="preserve">10/01/23 - Certificado não será renovado.
</t>
    </r>
    <r>
      <rPr>
        <rFont val="Trebuchet MS"/>
        <color theme="1"/>
        <sz val="9.0"/>
      </rPr>
      <t xml:space="preserve">-
19/05 - Homologação finalizada.
07/05 - Processo cadastrado na Anatel.
07/04 - Nova amostra está no laboratório, entrega dos relatórios prevista para 28/04 e finalização homologação 30/05.
Nova amostra enviada por Fedex tracking number: 773271403014 - nova data de finalização estimada 30/05
17/03 - Cobramos novamente a equipe da China resposta sobre o firmware. Os testes estão marcados para 22/03, entrega laudos 26/03 e homologação prevista para estar ok em 01/05.
Amostra retirada do Laboratório, está na Eagle Tech para configuração.  Previsão de finalização de relatórios dos testes: 26/03 e homologação: 01/05.
Documentos recebidos, encaminhados para o OCD confirmar se podemos reutilizar o módulo anterior. Confirmação recebida, poderemos reutilizar o código ANATEL 05882-19-04646
</t>
    </r>
  </si>
  <si>
    <t>MT-5258/2021</t>
  </si>
  <si>
    <t>03460-21-13781</t>
  </si>
  <si>
    <t>Este produto contém a placa SL-272 código de homologação ANATEL 03460-21-13781</t>
  </si>
  <si>
    <t>PI4225Y</t>
  </si>
  <si>
    <t>Wantong</t>
  </si>
  <si>
    <t>FONDUE ELETRICO COM JOGO VAI ESQUENTAR</t>
  </si>
  <si>
    <t>2 amostras para ensaios no Brasil</t>
  </si>
  <si>
    <r>
      <rPr>
        <rFont val="Trebuchet MS"/>
        <b/>
        <color theme="1"/>
        <sz val="9.0"/>
      </rPr>
      <t xml:space="preserve">Seguindo com o encerramento da certificação
01/02 - CANCELAMENTO DA MANUNTEÇÃO SOLICITADO (sem recompras posteriores a esta para justificar) - chegou no CD hoje.
</t>
    </r>
    <r>
      <rPr>
        <rFont val="Trebuchet MS"/>
        <color theme="1"/>
        <sz val="9.0"/>
      </rPr>
      <t xml:space="preserve">Renovação de Certificado, projeto já iniciado com certificador, amostras para testes compradas pelo Danilo, serão encaminhadas para o Laboratório no retorno após o recesso de final de ano em 04/01/2021. </t>
    </r>
    <r>
      <rPr>
        <rFont val="Trebuchet MS"/>
        <b/>
        <color theme="1"/>
        <sz val="9.0"/>
      </rPr>
      <t xml:space="preserve">
</t>
    </r>
    <r>
      <rPr>
        <rFont val="Trebuchet MS"/>
        <color theme="1"/>
        <sz val="9.0"/>
      </rPr>
      <t>08/01 - Recebemos ok para envio das amostras e as mesmas já foram encaminhadas para o lab
21/01 - Datas para auditoria da Manuntenção agendadas, produto já encaminhado para embarque no dia 25/01</t>
    </r>
  </si>
  <si>
    <t>Selo de certificação na embalagem e no produto</t>
  </si>
  <si>
    <t>5319/2020-ELE-1</t>
  </si>
  <si>
    <t>Certificação INMETRO:Produto certificado por BRICS OCP 0098 Nº Certificado 5319/2020-ELE</t>
  </si>
  <si>
    <t>PI4750Y</t>
  </si>
  <si>
    <t>Kingstar</t>
  </si>
  <si>
    <t>GARRAFA COM AMPLIFICADOR SENTE A BATIDA</t>
  </si>
  <si>
    <r>
      <rPr>
        <rFont val="Trebuchet MS"/>
        <b/>
        <color theme="1"/>
        <sz val="9.0"/>
      </rPr>
      <t xml:space="preserve">22/12 - Não teremos venda sell-in e nem recompra desses itens. Certificado não será renovado.
-
</t>
    </r>
    <r>
      <rPr>
        <rFont val="Trebuchet MS"/>
        <color theme="1"/>
        <sz val="9.0"/>
      </rPr>
      <t>12/04 - Homologação Anatel finalizada.
01/04 - Processo submetido a Anatel.
15/03 - Amostra encaminhada ao lab.  Previsão de finalização de relatórios dos testes: 26/03 e homologação: 02/05.
Primeira documentação reecbida em 10/12 após a confirmação de compra. Fora do prazo normal e FAT em risco.
Amostra foi enviada para o Brasil da China no dia 18/12, Rastreio 772413404017, encaminhada para o laboratório em 06/01/2021. Previsão para recebermos o código ANATEL em 15/01.</t>
    </r>
    <r>
      <rPr>
        <rFont val="Trebuchet MS"/>
        <b/>
        <color theme="1"/>
        <sz val="9.0"/>
      </rPr>
      <t xml:space="preserve">
</t>
    </r>
    <r>
      <rPr>
        <rFont val="Trebuchet MS"/>
        <color theme="1"/>
        <sz val="9.0"/>
      </rPr>
      <t>15/01 - Número ANATEL emitido e artes encaminhadas para o time da China - ANATEL: 00427-21-13647
21/01 - Questionamento se o produto vai pegar FAT 04 encaminhado
22/01 - Produto confirmado para FAT 04
03/02 - Por problemas de produção o produto vai para FAT 05</t>
    </r>
    <r>
      <rPr>
        <rFont val="Trebuchet MS"/>
        <b/>
        <color theme="1"/>
        <sz val="9.0"/>
      </rPr>
      <t xml:space="preserve">
</t>
    </r>
    <r>
      <rPr>
        <rFont val="Trebuchet MS"/>
        <color theme="1"/>
        <sz val="9.0"/>
      </rPr>
      <t xml:space="preserve">17/02 - Amostra recebida pelo laboratório. Relatório deve estar pronto dia 26/02 (aguardando confirmação de agenda do Lab);
</t>
    </r>
    <r>
      <rPr>
        <rFont val="Trebuchet MS"/>
        <b/>
        <color theme="1"/>
        <sz val="9.0"/>
      </rPr>
      <t xml:space="preserve">
</t>
    </r>
  </si>
  <si>
    <t>MT-5157/2021</t>
  </si>
  <si>
    <t>00427-21-13647</t>
  </si>
  <si>
    <t>Este produto contém a placa PI4750Y código de homologação ANATEL 00427-21-13647</t>
  </si>
  <si>
    <t>PI4764Y</t>
  </si>
  <si>
    <t>freesun</t>
  </si>
  <si>
    <t>PROJETOR PORTATIL TRAGO IMAGENS</t>
  </si>
  <si>
    <r>
      <rPr>
        <rFont val="Trebuchet MS"/>
        <b/>
        <color theme="1"/>
        <sz val="9.0"/>
      </rPr>
      <t xml:space="preserve">19/01/23 - Projetores estão sem estoque no CD, certificado não será renovado.
</t>
    </r>
    <r>
      <rPr>
        <rFont val="Trebuchet MS"/>
        <color theme="1"/>
        <sz val="9.0"/>
      </rPr>
      <t xml:space="preserve">-
21/05 - Homologação Anatel finalizada.
12/05 - Processo submetido a Anatel - previsão homologação 12/06.
07/05 - Recebidos os laudos, em análise da Engenharia da Master.
12/04 - Amostra recebida e em preparo, início dos testes: 26/04 e entrega dos laudos 07/05. Finalização homologação prevista para 12/06.
Vamos enviar a placa do produto final para configuração - nova data de finalização estimada 30/05
Tracking OM946335005BR
</t>
    </r>
    <r>
      <rPr>
        <rFont val="Trebuchet MS"/>
        <b/>
        <color theme="1"/>
        <sz val="9.0"/>
      </rPr>
      <t xml:space="preserve">
</t>
    </r>
    <r>
      <rPr>
        <rFont val="Trebuchet MS"/>
        <color theme="1"/>
        <sz val="9.0"/>
      </rPr>
      <t>17/03 - Empresa que está configurando a placa solicitou algumas informações para o fornecedor (e-mail enviado ontem 16/03). Precisamos de retorno para os testes que serão realizados em 26/03. Previsão homologação 07/05. -atende namorados?
12/03 - Projetor da qualidade não é o mesmo. Vamos homologar a placa. Ensaios agendados no Laboratório, relatórios estarão prontos em 01/04. Homologação: 07/05.
09/03 - Amostra está na Eagle Tech para configuração, Bruno informou que a placa está danificada (queimada). Temos que enviar o projetor que está na qualidade para SP.
Documentos Recebidos em 04/11 e encaminhados para o OCD
Amostras Chegaram no FEDEX 772035901130.
ANATEL 16942-20-13646
21/01 - Produto pode passar por mudanças e perder funcionalidade BT, solicitação da nova documentação encaminhada para avaliar se manteremos o mesmo número ANATEL
26/01 - Documentação é idêntica ao do modelo anterior, materemos o código</t>
    </r>
  </si>
  <si>
    <t>MT-5268/2021</t>
  </si>
  <si>
    <t>03906-21-13799</t>
  </si>
  <si>
    <t>Este produto contém a placa PI4764Y código de homologação ANATEL 03906-21-13799</t>
  </si>
  <si>
    <t>PI4197Y</t>
  </si>
  <si>
    <t>LUMINARIA CARREGADOR SEM FIO OFFICE</t>
  </si>
  <si>
    <r>
      <rPr>
        <rFont val="Trebuchet MS"/>
        <b/>
        <color theme="1"/>
        <sz val="9.0"/>
      </rPr>
      <t xml:space="preserve">15/02/2023 - Confirmado por e-mail que não seguiremos com a renovação desse certificado.
</t>
    </r>
    <r>
      <rPr>
        <rFont val="Trebuchet MS"/>
        <color theme="1"/>
        <sz val="9.0"/>
      </rPr>
      <t>21/07/2022 - Certificado atualizado, nova data de validade: 21/05/2024.</t>
    </r>
    <r>
      <rPr>
        <rFont val="Trebuchet MS"/>
        <b/>
        <color theme="1"/>
        <sz val="9.0"/>
      </rPr>
      <t xml:space="preserve">
</t>
    </r>
    <r>
      <rPr>
        <rFont val="Trebuchet MS"/>
        <color theme="1"/>
        <sz val="9.0"/>
      </rPr>
      <t xml:space="preserve">07/05 - Homologação Anatel finalizada.
24/05 - Processo cadastrado na Anatel.
21/05 - Recebido o CCT, sistema da Anatel está fora e não conseguimos cadastrar o processo hoje.
10/05 - Em análise pela OCD, previsão homologação 05/06.
26/04 - Item entregue no laboratório. Testes serão iniciados em 30/04, laudos entregues em 11/05. Finalização homologação prevista paa 05/06.
06/04 - Enviamos novas amostras para o laboratório. Estimativa de homologação atualizada para 04/06.
01/04 - Amostra com problema, laboratório tentou repetir o ensaio de Imunidade à ESD em outra amostra, porém ela não está funcionando adequadamente para o ensaio. Não está reconhecendo o touch.
08/03 - Previsão de entrega dos relatórios do laboratório: 31/03.Sem data de embarque definida. Estimativa homologação 04/05.
Recompra de produto, solicitação de compras de etiquetas realizada, previsão de envio para 28/12. Assim que recebidas serão encaminhadas via FedEx para time na China.
Código de homologação emitido: 05161-20-12355 - Compra das etiquetas realizadas e recebidas pelo Guilherme em 04/01/2021, encaminhadas para China via FedEx em 05/01/2021 - Tracking: 772527892413
06/01 - Produto confirmado para FAT 05
</t>
    </r>
  </si>
  <si>
    <t>Shenzhen Huazeng Technology Co., Ltd</t>
  </si>
  <si>
    <t>MT-5341/2021</t>
  </si>
  <si>
    <t>06105-21-12851</t>
  </si>
  <si>
    <t>MASTER</t>
  </si>
  <si>
    <t>Produto homologado pela Anatel: Nº Homologação 06105-21-12851</t>
  </si>
  <si>
    <t>PI4800Y</t>
  </si>
  <si>
    <t>Lexinda</t>
  </si>
  <si>
    <t>LUMINARIA LED SPEAKER FESTA POR ONDE VOU</t>
  </si>
  <si>
    <r>
      <rPr>
        <rFont val="Trebuchet MS"/>
        <b/>
        <color theme="1"/>
        <sz val="9.0"/>
      </rPr>
      <t xml:space="preserve">22/12 - Não teremos venda sell-in e nem recompra desses itens. Certificado não será renovado.
-
</t>
    </r>
    <r>
      <rPr>
        <rFont val="Trebuchet MS"/>
        <color theme="1"/>
        <sz val="9.0"/>
      </rPr>
      <t>12/04 - Homologação Anatel finalizada.
01/04 - Processo cadastrado na Anatel. Em análise.
Amostra está no laboratorio aguardando os ensaios, previsão de liberação dos relatórios 29/03 e homologação 02/05. Sem processo. Etiqueta ok</t>
    </r>
    <r>
      <rPr>
        <rFont val="Trebuchet MS"/>
        <b/>
        <color theme="1"/>
        <sz val="9.0"/>
      </rPr>
      <t xml:space="preserve">
</t>
    </r>
    <r>
      <rPr>
        <rFont val="Trebuchet MS"/>
        <color theme="1"/>
        <sz val="9.0"/>
      </rPr>
      <t xml:space="preserve">17/02 - Amostra recebida pelo laboratório. Relatório deve estar pronto dia 26/02 (aguardando confirmação de agenda do Lab);
05/01 - Recebemos a documentação para homologação
08/01-  Estamos aguardando as amostras que estão sendo enviadas no próximo FEDEX, tracking no conjunto a seguir (772570214662, 772570215176, 772570214673)
21/01 - Remessa FEDEX retornou para a China e nova previsão de entrega está para a próxima semana (carga se encontra em memphis de acordo com a ultima atualização do FUP), previsão de emissão do código de homologação para dia 29/01 - Questionei o Vincent se está ok para FAT 05 (está ok)
26/01 - Amostras recebidas e encaminhadas para o laboratório e Nº ANATEL cobrado.
01/02 - Recebido o código de homologação ANATEL: 01372-21-04646. - Alinhamento passado com o time da criação.
</t>
    </r>
  </si>
  <si>
    <t>MT-5177/2021</t>
  </si>
  <si>
    <t>01372-21-04646</t>
  </si>
  <si>
    <t>Este produto contém a placa PI4800Y código de homologação ANATEL 01372-21-04646</t>
  </si>
  <si>
    <t>PI4779Y</t>
  </si>
  <si>
    <t>Kayuan</t>
  </si>
  <si>
    <t>HEADPHONE BLUETOOTH IDAS E OUVIDAS</t>
  </si>
  <si>
    <r>
      <rPr>
        <rFont val="Trebuchet MS"/>
        <b/>
        <color theme="1"/>
        <sz val="9.0"/>
      </rPr>
      <t xml:space="preserve">14/03/23 - Certificado não será renovado.
-
</t>
    </r>
    <r>
      <rPr>
        <rFont val="Trebuchet MS"/>
        <color theme="1"/>
        <sz val="9.0"/>
      </rPr>
      <t>05/07 - Homologação Anatel finalizada.
18/06 - Processo cadastrado na Anatel.
08/06 - Em análise pelo OC, produção autorizada em 01/06 -- será LATE FAT 08.
18/05 - Bruno deve entregar amostra configurada até sexta, novo agendamento de ensaios para 25/05 e envio de relatórios em 01/06 e finalização da homologação 05/07.
29/04 - Nos ensaios de RF, após o lab montar o plano de ensaio  o cabo escapou da placa e o shield do cristal foi desconectado da placa, e a placa não ficou funcional. Vamos esperar  finalizarem os ensaios de EMC para usarmos a mesma amostra no ensaio de RF.
07/04 - Amostras no laboratório, entrega dos relatórios prevista para 06/05 e finalização da homologação 11/06.
26/03 - Amostra entregue na Eagle Tech, será configurada semana que vem.
17/03 - Aguardando o envio das amostras, cobramos o Vincent e pedimos para segurar a produção. -- Vincent havia informado que enviaria na sexta, cobrei tracking nr. Para pegarmos o cronograma de FAT 05 precisamos enviar esta semana (homologação 04/05).
08/03 - OCP confirmou que as placas dos headphones são diferentes do modelo PI4240Y. Vicent informou que consegue enviar as amostras sexta-feira. O item pode ter atraso, pois considerando relatório finalizado no final de abril  e seguindo os demais cronogramas a homologação estaria ok em 05/06.  should we ask supplier to hold the production to wait for the certifiction process?
Aguardando documentação e amostras do produto
07/01 - Documentação Recebida e encaminhada para Análise do OCD, prazo de resposta até 12/01
21/01 - Recebemos na segunda-feira (18/01) a confirmação de que podemos reutilizar a mesma numeração ANATEL para os headphones, alinhamento repassado para o time de Criação - ANATEL: 05767-19-11617</t>
    </r>
  </si>
  <si>
    <t>MT-5295/2021</t>
  </si>
  <si>
    <t>04730-21-11617</t>
  </si>
  <si>
    <t>Produto homologado pela Anatel: Nº Homologação 04730-21-11617</t>
  </si>
  <si>
    <t>PI4828Y</t>
  </si>
  <si>
    <t>HEADPHONE BLUETOOTH TUMDUM BOM</t>
  </si>
  <si>
    <r>
      <rPr>
        <rFont val="Trebuchet MS"/>
        <b/>
        <color theme="1"/>
        <sz val="9.0"/>
      </rPr>
      <t xml:space="preserve">14/03/23 - Certificado não será renovado.
</t>
    </r>
    <r>
      <rPr>
        <rFont val="Trebuchet MS"/>
        <color theme="1"/>
        <sz val="9.0"/>
      </rPr>
      <t>-
05/07 - Homologação Anatel finalizada.
18/06 - Processo cadastrado na Anatel.
08/06 - Em análise pelo OC, produção autorizada em 01/06 -- será LATE FAT 08.
18/05 - Bruno deve entregar amostra configurada até sexta, novo agendamento de ensaios para 25/05 e envio de relatórios em 01/06 e finalização da homologação 05/07.
29/04 - Nos ensaios de RF, após o lab montar o plano de ensaio  o cabo escapou da placa e o shield do cristal foi desconectado da placa, e a placa não ficou funcional. Vamos esperar  finalizarem os ensaios de EMC para usarmos a mesma amostra no ensaio de RF.
07/04 - Amostras no laboratório, entrega dos relatórios prevista para 06/05 e finalização da homologação 11/06.
26/03 - Amostra entregue na Eagle Tech, será configurada semana que vem.
17/03 - Aguardando o envio das amostras, cobramos o Vincent e pedimos para segurar a produção. -- Vincent havia informado que enviaria na sexta, cobrei tracking nr. Para pegarmos o cronograma de FAT 05 precisamos enviar esta semana (homologação 04/05).
08/03 - OCP confirmou que as placas dos headphones são diferentes do modelo PI4240Y. Vicent informou que consegue enviar as amostras sexta-feira. O item pode ter atraso, pois considerando relatório finalizado no final de abril  e seguindo os demais cronogramas a homologação estaria ok em 05/06.  should we ask supplier to hold the production to wait for the certifiction process?
Aguardando documentação e amostras do produto
07/01 - Documentação Recebida e encaminhada para Análise do OCD, prazo de resposta até 12/01
21/01 - Recebemos na segunda-feira (18/01) a confirmação de que podemos reutilizar a mesma numeração ANATEL para os headphones, alinhamento repassado para o time de Criação - ANATEL: 05767-19-11617</t>
    </r>
  </si>
  <si>
    <t>PI4791Y</t>
  </si>
  <si>
    <t>HEADPHONE BLUETOOTH HP HOGWARTS</t>
  </si>
  <si>
    <r>
      <rPr>
        <rFont val="Trebuchet MS"/>
        <b/>
        <color theme="1"/>
        <sz val="9.0"/>
      </rPr>
      <t xml:space="preserve">14/03/23 - Certificado não será renovado.
</t>
    </r>
    <r>
      <rPr>
        <rFont val="Trebuchet MS"/>
        <color theme="1"/>
        <sz val="9.0"/>
      </rPr>
      <t>-
05/07 - Homologação Anatel finalizada.
18/06 - Processo cadastrado na Anatel.
08/06 - Em análise pelo OC, produção autorizada em 01/06 -- será LATE FAT 08.
18/05 - Bruno deve entregar amostra configurada até sexta, novo agendamento de ensaios para 25/05 e envio de relatórios em 01/06 e finalização da homologação 05/07.
29/04 - Nos ensaios de RF, após o lab montar o plano de ensaio  o cabo escapou da placa e o shield do cristal foi desconectado da placa, e a placa não ficou funcional. Vamos esperar  finalizarem os ensaios de EMC para usarmos a mesma amostra no ensaio de RF.
07/04 - Amostras no laboratório, entrega dos relatórios prevista para 06/05 e finalização da homologação 11/06.
26/03 - Amostra entregue na Eagle Tech, será configurada semana que vem.
17/03 - Aguardando o envio das amostras, cobramos o Vincent e pedimos para segurar a produção. -- Vincent havia informado que enviaria na sexta, cobrei tracking nr. Para pegarmos o cronograma de FAT 05 precisamos enviar esta semana (homologação 04/05).
08/03 - OCP confirmou que as placas dos headphones são diferentes do modelo PI4240Y. Vicent informou que consegue enviar as amostras sexta-feira. O item pode ter atraso, pois considerando relatório finalizado no final de abril  e seguindo os demais cronogramas a homologação estaria ok em 05/06.  should we ask supplier to hold the production to wait for the certifiction process?
Aguardando documentação e amostras do produto
07/01 - Documentação Recebida e encaminhada para Análise do OCD, prazo de resposta até 12/01
21/01 - Recebemos na segunda-feira (18/01) a confirmação de que podemos reutilizar a mesma numeração ANATEL para os headphones, alinhamento repassado para o time de Criação - ANATEL: 05767-19-11617</t>
    </r>
  </si>
  <si>
    <t>PI4765Y</t>
  </si>
  <si>
    <t>Eastar</t>
  </si>
  <si>
    <t>RACLETTE GRILL VAI ESQUENTAR 110V</t>
  </si>
  <si>
    <r>
      <rPr>
        <rFont val="Trebuchet MS"/>
        <b/>
        <color theme="1"/>
        <sz val="9.0"/>
      </rPr>
      <t xml:space="preserve">20/01/22 - Certificado encerrado (Inmetro).
</t>
    </r>
    <r>
      <rPr>
        <rFont val="Trebuchet MS"/>
        <color theme="1"/>
        <sz val="9.0"/>
      </rPr>
      <t xml:space="preserve">-
09/04 - Certificado de conformidade emitido.
06/04 - Cobrei lista de componentes que está faltando para a emissão do certificado -- deve ser emitido esta semana.
16/03 - Testes foram finalizados, vamos dar seguimento a produção. Artes alinhadas com a Criação
26/02 - OCP informou que os testes devem estar ok em 18/03. Com esta data conseguimos manter o produto para FAT 06.
18/02 - Auditoria da fábrica está ok, amostras estão no laboratório aguardando a volta do feriado chinês para dar início nos testes.
Só tivemos a confirmação da comtra no e-mail da Serena em 10/12 só tivemos a, documentação recebida em 15/12 e já encaminhada para o OCP.
Processo iniciado junto com a BRICS, aguardando trâmites técnicos para agendamento da auditoria junto ao fornecedor, data estimada para auditoria para 14/01.
</t>
    </r>
    <r>
      <rPr>
        <rFont val="Trebuchet MS"/>
        <b/>
        <color theme="1"/>
        <sz val="9.0"/>
      </rPr>
      <t xml:space="preserve">
</t>
    </r>
    <r>
      <rPr>
        <rFont val="Trebuchet MS"/>
        <color theme="1"/>
        <sz val="9.0"/>
      </rPr>
      <t>21/01 - Auditoria marcada para o dia 25/01 em função da agenda do fornecedor e do OCP</t>
    </r>
    <r>
      <rPr>
        <rFont val="Trebuchet MS"/>
        <b/>
        <color theme="1"/>
        <sz val="9.0"/>
      </rPr>
      <t xml:space="preserve">
</t>
    </r>
    <r>
      <rPr>
        <rFont val="Trebuchet MS"/>
        <color theme="1"/>
        <sz val="9.0"/>
      </rPr>
      <t>01/02 - Ensaios laboratoriais aprovados, ensaios irão iniciar após ano novo chinês</t>
    </r>
  </si>
  <si>
    <t>Manual e Produto</t>
  </si>
  <si>
    <t>6504/2021-ELE-1</t>
  </si>
  <si>
    <t>Certificação INMETRO:Produto certificado por BRICS OCP 0098 Nº Certificado 6504/2021-ELE-1</t>
  </si>
  <si>
    <t>PI4766Y</t>
  </si>
  <si>
    <t>RACLETTE GRILL VAI ESQUENTAR 220V</t>
  </si>
  <si>
    <r>
      <rPr>
        <rFont val="Trebuchet MS"/>
        <b/>
        <color theme="1"/>
        <sz val="9.0"/>
      </rPr>
      <t xml:space="preserve">20/01/22 - Certificado encerrado (Inmetro).
</t>
    </r>
    <r>
      <rPr>
        <rFont val="Trebuchet MS"/>
        <color theme="1"/>
        <sz val="9.0"/>
      </rPr>
      <t xml:space="preserve">-
09/04 - Certificado de conformidade emitido.
06/04 - Cobrei lista de componentes que está faltando para a emissão do certificado -- deve ser emitido esta semana.
16/03 - Testes foram finalizados, vamos dar seguimento a produção. Artes alinhadas com a Criação
26/02 - OCP informou que os testes devem estar ok em 18/03. Com esta data conseguimos manter o produto para FAT 06.
18/02 - Auditoria da fábrica está ok, amostras estão no laboratório aguardando a volta do feriado chinês para dar início nos testes.
Só tivemos a confirmação da comtra no e-mail da Serena em 10/12 só tivemos a, documentação recebida em 15/12 e já encaminhada para o OCP.
Processo iniciado junto com a BRICS, aguardando trâmites técnicos para agendamento da auditoria junto ao fornecedor, data estimada para auditoria para 14/01.
</t>
    </r>
    <r>
      <rPr>
        <rFont val="Trebuchet MS"/>
        <b/>
        <color theme="1"/>
        <sz val="9.0"/>
      </rPr>
      <t xml:space="preserve">
</t>
    </r>
    <r>
      <rPr>
        <rFont val="Trebuchet MS"/>
        <color theme="1"/>
        <sz val="9.0"/>
      </rPr>
      <t>21/01 - Auditoria marcada para o dia 25/01 em função da agenda do fornecedor e do OCP</t>
    </r>
    <r>
      <rPr>
        <rFont val="Trebuchet MS"/>
        <b/>
        <color theme="1"/>
        <sz val="9.0"/>
      </rPr>
      <t xml:space="preserve">
</t>
    </r>
    <r>
      <rPr>
        <rFont val="Trebuchet MS"/>
        <color theme="1"/>
        <sz val="9.0"/>
      </rPr>
      <t>01/02 - Ensaios laboratoriais aprovados, ensaios irão iniciar após ano novo chinês</t>
    </r>
  </si>
  <si>
    <t>PI4810Y</t>
  </si>
  <si>
    <t>3rd Eye</t>
  </si>
  <si>
    <t>LUMINARIA COM SPEAKER HP CALDEIRAO</t>
  </si>
  <si>
    <r>
      <rPr>
        <rFont val="Trebuchet MS"/>
        <b/>
        <color theme="1"/>
        <sz val="9.0"/>
      </rPr>
      <t xml:space="preserve">05/05/25 - Time de produto decidiu não seguir com a manutenção.
</t>
    </r>
    <r>
      <rPr>
        <rFont val="Trebuchet MS"/>
        <color theme="1"/>
        <sz val="9.0"/>
      </rPr>
      <t>12/06/23 - Manutenção finalizada. Certificado de Homologação emitido.
-</t>
    </r>
    <r>
      <rPr>
        <rFont val="Trebuchet MS"/>
        <b/>
        <color theme="1"/>
        <sz val="9.0"/>
      </rPr>
      <t xml:space="preserve">
</t>
    </r>
    <r>
      <rPr>
        <rFont val="Trebuchet MS"/>
        <color theme="1"/>
        <sz val="9.0"/>
      </rPr>
      <t>16/08 - Homologação Anatel finalizada.
16/07 - Processo cadastrado na Anatel. Estimate ready date 30/07, ETA CD 22/09 - Late FAT 09.
08/07 - Laudos dos testes enviados nesta data.
22/06 - Produção antes da finalização dos testes - ready date final de Julho. Avaliar FAT.
09/06 - Laboratórios nos enviou a agenda - 09/07 testes serão finalizados (antecipamos uma semana em relação ao schedule inicial). 
08/06 - Amostra chegou hoje no Brasil.
25/05 - Amostra deve ser recebida no escritório em 31/05. Se considerar início da produção após testes e análise, atrasa para FAT 10
21/05 - Amostra deve chegar em 25/05 no escritório.
20/05 - FAT atualizado para 09. Considerando chegada das amostras no Brasil até o final de maio, a homologação estaria pronta em 30/07. Podemos liberar a amostra após os ensaios, por volta da metade de Julho, para não atrasar para FAT 10.
27/04 - Vincent informou que as amostras devem ser recebidas em 20/05 - estaria homologado por volta de 07/08 mas já estaria embarcado - atraso FAT
29/03 - Amostra e documentos devem estar ok em 20/04. -- confirmado que deve ser o shape final.
16/03 - Amanda informou que a amostra vai demorar 30 dias para ficar pronta.  Amostra deve chegar dia 01/05 para atendermos cronograma.
Fornecedor mudou para 3rd Eye. Mesmo módulo do PI4861Y. - Confirmando com Vincent se poderemos utilizá-lo.
Fat alterado para 08. 
Documentos Recebidos em 17/11 e encaminhados para o OCD.
ANATEL 17002-20-14193</t>
    </r>
  </si>
  <si>
    <t>Shenzhen Chenruixin Technology Co., Ltd</t>
  </si>
  <si>
    <t>MODERNA-1131/23</t>
  </si>
  <si>
    <t>07480-21-10468</t>
  </si>
  <si>
    <t>MODERNA</t>
  </si>
  <si>
    <t>Produto homologado pela Anatel: Nº Homologação 07480-21-10468</t>
  </si>
  <si>
    <t>PI4709Y</t>
  </si>
  <si>
    <t>RELOGIO SPEAKER LUZ GRADUAL BEATLES SUN</t>
  </si>
  <si>
    <r>
      <rPr>
        <rFont val="Trebuchet MS"/>
        <b/>
        <color theme="1"/>
        <sz val="9.0"/>
      </rPr>
      <t xml:space="preserve">02/03/23 - Certificado não será renovado.
</t>
    </r>
    <r>
      <rPr>
        <rFont val="Trebuchet MS"/>
        <color theme="1"/>
        <sz val="9.0"/>
      </rPr>
      <t xml:space="preserve">-
13/08 - Homologação Anatel finalizada.
14/07 - Processo cadastrado na Anatel. Estimate ready date 30/07, ETA CD 22/09 - late FAT 09.
22/06 - Produção antes da finalização dos testes - ready date final de Julho. Avaliar FAT.
09/06 - Teste complementar agendado, será finalizado dia 30/06.
07/06 - Amostra coletada no laboratório para ajustes.
31/05 - Amostra falhou no teste de descarga eletrostática, vamos enviar para Eagle Tech fazer os ajustes necessários.
18/05 - Amostra entregue no laboratório. Testes serão iniciados em 24/05, laudos entregues em 31/05 e homologação finalizada em 04/07.
10/05 - Amostras sendo configuradas, previsão de entrega no lab 14/05. Finalização homologação: 28/06.
27/04 - Amostra enviada, tracking nr 773581911600.
13/04 - Recebimento de amostra atualizado para 16/04.
07/04 - Documentos e amostras serão recebidas em 13/04.
16/03 -  Amanda: Amostras já solicitadas semana passada, Vincent está checando previsão de recebimento e irá enviar via ERP.  Será nova certificação (novo módulo).  Amostra deve chegar dia 01/06 para atendermos cronograma.
04/02 - Solicitada a nova amostra, questionei sobre o módulo BT. 02/04
Documentos recebidos, amostras recebidas em 16/10, encaminhadas para o laboratório em 19/10. Número de registro recebido em 28/10
</t>
    </r>
    <r>
      <rPr>
        <rFont val="Trebuchet MS"/>
        <strike/>
        <color theme="1"/>
        <sz val="9.0"/>
      </rPr>
      <t>ANATEL: 15720-20-12851</t>
    </r>
    <r>
      <rPr>
        <rFont val="Trebuchet MS"/>
        <color theme="1"/>
        <sz val="9.0"/>
      </rPr>
      <t xml:space="preserve"> Número cancelado, amostra trocada.
Produto rejeitado pela qualidade, fornecedor não conseguiu ajustar os pedidos da qualidade. Avaliar se o módulo poderá ser usado em outro produto. PI4709Y
FAT alterado para 09
2ª Amostra foi cancelada, aguardando retorno da China com atualizações sobre o produto</t>
    </r>
  </si>
  <si>
    <t>MT-5486/2021</t>
  </si>
  <si>
    <t>08317-21-12851</t>
  </si>
  <si>
    <t>Produto homologado pela Anatel: Nº Homologação 08317-21-12851</t>
  </si>
  <si>
    <t>PI4848Y</t>
  </si>
  <si>
    <t>RELOGIO INTELIGENTE TODAS AS HORAS</t>
  </si>
  <si>
    <r>
      <rPr>
        <rFont val="Trebuchet MS"/>
        <b/>
        <color theme="1"/>
        <sz val="9.0"/>
      </rPr>
      <t xml:space="preserve">29/11/22 - Estoque zerado CD, não teremos mais venda sell-in e recompra. Certificado não será renovado.
-
</t>
    </r>
    <r>
      <rPr>
        <rFont val="Trebuchet MS"/>
        <color theme="1"/>
        <sz val="9.0"/>
      </rPr>
      <t xml:space="preserve">22/04 - Homologação Anatel finalizada.
25/03 - Processo cadastrado na Anatel. Em análise.
16/03 - Amostras já foram verificadas e estão configuradas, de acordo com as instruções enviadas, para a realização dos ensaios. Etiquetas ok
05/03 - Amostras preparadas e aguardando ensaios no laboratório, previsão de finalização dos relatórios: 19/03 e finalização da homologação: 24/04.
Amostra enviada para qualidade Brasil, após conclusão dos ensaios verificar possibilidade de utilizar a mesma para ensaios
04/01 - Documentação recepcionada no ERP.
08/01-  Estamos aguardando as amostras que estão sendo enviadas no próximo FEDEX, tracking no conjunto a seguir (772570214662, 772570215176, 772570214673)
21/01 - Remessa FEDEX retornou para a China e nova previsão de entrega está para a próxima semana (carga se encontra em memphis de acordo com a ultima atualização do FUP), previsão de emissão do código de homologação para dia 29/01
26/01 - Amostras recebidas e encaminhadas para o laboratório e Nº ANATEL cobrado.
01/02 - Recebido o código de homologação ANATEL: 01374-21-12851. Alinhamento passado com o time da criação.
17/02 - Amostra recebida pelo laboratório. Relatório deve estar pronto dia 26/02 (aguardando confirmação de agenda do Lab);
</t>
    </r>
  </si>
  <si>
    <t>MT-5179/2021</t>
  </si>
  <si>
    <t>01374-21-12851</t>
  </si>
  <si>
    <t>Produto homologado pela Anatel: Nº Homologação 01374-21-12851</t>
  </si>
  <si>
    <t>PI4908Y</t>
  </si>
  <si>
    <t>RELOGIO INTELIGENTE SEM TEMPO RUIM</t>
  </si>
  <si>
    <r>
      <rPr>
        <rFont val="Trebuchet MS"/>
        <b/>
        <color theme="1"/>
        <sz val="9.0"/>
      </rPr>
      <t xml:space="preserve">29/11/22 - Estoque zerado CD, não teremos mais venda sell-in e recompra. Certificado não será renovado.
-
</t>
    </r>
    <r>
      <rPr>
        <rFont val="Trebuchet MS"/>
        <color theme="1"/>
        <sz val="9.0"/>
      </rPr>
      <t xml:space="preserve">22/04 - Homologação Anatel finalizada.
25/03 - Processo cadastrado na Anatel. Em análise.
16/03 - Amostras já foram verificadas e estão configuradas, de acordo com as instruções enviadas, para a realização dos ensaios. Etiquetas ok
05/03 - Amostras preparadas e aguardando ensaios no laboratório, previsão de finalização dos relatórios: 19/03 e finalização da homologação: 24/04.
Amostra enviada para qualidade Brasil, após conclusão dos ensaios verificar possibilidade de utilizar a mesma para ensaios
04/01 - Documentação recepcionada no ERP.
08/01-  Estamos aguardando as amostras que estão sendo enviadas no próximo FEDEX, tracking no conjunto a seguir (772570214662, 772570215176, 772570214673)
21/01 - Remessa FEDEX retornou para a China e nova previsão de entrega está para a próxima semana (carga se encontra em memphis de acordo com a ultima atualização do FUP), previsão de emissão do código de homologação para dia 29/01
26/01 - Amostras recebidas e encaminhadas para o laboratório e Nº ANATEL cobrado.
01/02 - Recebido o código de homologação ANATEL: 01374-21-12851. Alinhamento passado com o time da criação.
17/02 - Amostra recebida pelo laboratório. Relatório deve estar pronto dia 26/02 (aguardando confirmação de agenda do Lab);
</t>
    </r>
  </si>
  <si>
    <t>PI4861Y</t>
  </si>
  <si>
    <t>AMPLIFICADOR BLUETOOTH RETRO MEU TEMPO</t>
  </si>
  <si>
    <r>
      <rPr>
        <rFont val="Trebuchet MS"/>
        <b/>
        <color theme="1"/>
        <sz val="9.0"/>
      </rPr>
      <t xml:space="preserve">01/09/23 - Previsão de finalizar estoque em novembro 202. Certificado não será renovado.
-
</t>
    </r>
    <r>
      <rPr>
        <rFont val="Trebuchet MS"/>
        <b val="0"/>
        <color theme="1"/>
        <sz val="9.0"/>
      </rPr>
      <t>19/03 - Homologação Anatel finalizada nesta data.
17/03 - O certificado da OCP foi emitido. Agora vamos aguardar a homologação, previsão: 13/04. Etiquetas ok
08/03 - Realizada a conectorização no laboratório e modelo foi encaminhado para ensaios. Relatório de testes: 10/03 e homologação: 13/04.
19/02 - Código de homologação Anatel: 02232-21-13731. Repassado ao time de Criação.
17/02 - Amostra recebida pelo laboratório e sexta 19/02 teremos o código ANATEL para repasse ao time da Criação. Relatório deve estar pronto dia 26/02 (aguardando confirmação de agenda do Lab);
05/01 - Recebemos a documentação para homologação previsão de envio das amostras para dia 15/01
21/01 - Ainda não recebemos as amostras nem confirmação do envio, código de homologação pode ser antecipado porém vamos aguardar a confirmação do envio/tracking
26/01 - Amostras a caminho no Fedex 772727344940
01/02 - Amostras recebidas.
02/02 - Amostras encaminhadas para o certificador preparar o lote para os ensaios laboratoriais.
Aguardando documentação e amostras do produto</t>
    </r>
  </si>
  <si>
    <t>MT-5204/2021</t>
  </si>
  <si>
    <t>02232-21-13731</t>
  </si>
  <si>
    <t>Este produto contém a placa PI4861Y código de homologação ANATEL 02232-21-13731</t>
  </si>
  <si>
    <t>PI4860Y</t>
  </si>
  <si>
    <t>AMPLIFICADOR BLUETOOTH MADEIRA</t>
  </si>
  <si>
    <r>
      <rPr>
        <rFont val="Trebuchet MS"/>
        <b/>
        <color theme="1"/>
        <sz val="9.0"/>
      </rPr>
      <t xml:space="preserve">22/12 - Não teremos venda sell-in e nem recompra desses itens. Certificado não será renovado.
-
</t>
    </r>
    <r>
      <rPr>
        <rFont val="Trebuchet MS"/>
        <color theme="1"/>
        <sz val="9.0"/>
      </rPr>
      <t>12/04 - Homologação Anatel finalizada.
05/04 - Processo cadastrado na Anatel. Em análise.
08/03 - Amostra preparada pela Eagle Tech e está no laboratório aguardando os ensaios. Entrega de relatórios prevista para 30/03 e homologação 12/04.
05/01 - Recebemos a documentação para homologação
08/01-  Estamos aguardando as amostras que estão sendo enviadas no próximo FEDEX, tracking no conjunto a seguir (772570214662, 772570215176, 772570214673)
21/01 - Remessa FEDEX retornou para a China e nova previsão de entrega está para a próxima semana (carga se encontra em memphis de acordo com a ultima atualização do FUP), previsão de emissão do código de homologação para dia 29/01
26/01 - Amostras recebidas e encaminhadas para o laboratório e Nº ANATEL cobrado.
01/02 - Recebido o código de homologação ANATEL: 01373-21-12851. Alinhamento passado com o time da criação.</t>
    </r>
  </si>
  <si>
    <t>MT-5178/2021</t>
  </si>
  <si>
    <t>01373-21-12851</t>
  </si>
  <si>
    <t>Este produto contém a placa PI4860Y código de homologação ANATEL 01373-21-12851</t>
  </si>
  <si>
    <t>PI4872Y</t>
  </si>
  <si>
    <t>JONTER</t>
  </si>
  <si>
    <t>AMPLIFICADOR RADIO RELOGIO SOLTA O SONO</t>
  </si>
  <si>
    <r>
      <rPr>
        <rFont val="Trebuchet MS"/>
        <b/>
        <color theme="1"/>
        <sz val="9.0"/>
      </rPr>
      <t xml:space="preserve">19/01/23 - Não vamos renovar o certificado, Entraremos com alguma ação para finalizar o estoque que existe hoje no CD.
</t>
    </r>
    <r>
      <rPr>
        <rFont val="Trebuchet MS"/>
        <color theme="1"/>
        <sz val="9.0"/>
      </rPr>
      <t>-
06/05 - Homologação Anatel finalizada.
27/04 - Processo cadastrado na Anatel. Em análise.
13/04 - Em avaliação pela engenharia da OCD - finalização 15/05.
23/03 - Amostra configurada,  relatórios de testes devem sair dia 09/04 e finalização homologação 15/05.
15/03 - Amostra está sendo configurada. Sem agendamento no lab ainda, mas considerando prazos normais, relatórios devem estar ok em 25/04, e previsão de homologação para o final de maio. etiquetas ok
08/03 - Eldorado: não conseguimos realizar a configuração para o modelo em questão. Estamos retirando a amostra para configuração na Eagle Tech. (Cronograma anterior: relatórios 09/03 e homologação 12/04 - comprometido).
19/02 - Código de homologação Anatel: 02234-21-09538. Repassado ao time de Criação.
17/02 - Amostra recebida pelo laboratório e sexta 19/02 teremos o código ANATEL para repasse ao time da Criação. Relatório deve estar pronto dia 26/02 (aguardando confirmação de agenda do Lab);
08/01 - Documentos seguem pendentes
12/01 - Produto aguardando aprovação da qualidade.
21/01 - Cobrei informações sobre o projeto, ainda estamos aguardando o envio da documentação
26/01 - Amostras a caminho no Fedex 772727344940
01/02 - Documentos pendentes solicitados, amostras recebidas.
02/02 - Amostras encaminhadas para o certificador preparar o lote para os ensaios laboratoriais.</t>
    </r>
  </si>
  <si>
    <t>MT-5205/2021</t>
  </si>
  <si>
    <t>02234-21-09538</t>
  </si>
  <si>
    <t>Este produto contém a placa M46-AMP código de homologação ANATEL 02234-21-09538</t>
  </si>
  <si>
    <t>PI4838Y</t>
  </si>
  <si>
    <t>LOCALIZADOR DE CHAVE HP ACCIO</t>
  </si>
  <si>
    <r>
      <rPr>
        <rFont val="Trebuchet MS"/>
        <b/>
        <color theme="1"/>
        <sz val="9.0"/>
      </rPr>
      <t xml:space="preserve">22/12/22 - Não teremos venda sell-in e nem recompra desses itens. Certificado não será renovado.
-
</t>
    </r>
    <r>
      <rPr>
        <rFont val="Trebuchet MS"/>
        <color theme="1"/>
        <sz val="9.0"/>
      </rPr>
      <t>14/04 - Homologação Anatel finalizada.
07/04 - Processo cadastrado na Anatel. Em análise. Previsão de homologação: 02/05.
17/03 - Código de Homologação atualizado e encaminhado para a Criação (16/03). Cronograma homologação: 17/04.
08/03 - Os relatórios já estavam emitidos (localizador preto). Estão pendentes o documento de similaridade assinado (tratando com Vincent), Cronograma homologação: 17/04.</t>
    </r>
    <r>
      <rPr>
        <rFont val="Trebuchet MS"/>
        <b/>
        <color theme="1"/>
        <sz val="9.0"/>
      </rPr>
      <t xml:space="preserve">
</t>
    </r>
    <r>
      <rPr>
        <rFont val="Trebuchet MS"/>
        <color theme="1"/>
        <sz val="9.0"/>
      </rPr>
      <t xml:space="preserve">31/12 - Vincent confirmou que o modelo do módulo bluetooth é diferente e vamos precisar fazer uma nova certificação, alterar o cronograma e enviar na tarefa. Amostras já solicitadas pela Renata
08/01 - Documentos do modelo do produto recebidas, validando com o OCD, previsão de confirmação para 12/01
</t>
    </r>
    <r>
      <rPr>
        <rFont val="Trebuchet MS"/>
        <b/>
        <color theme="1"/>
        <sz val="9.0"/>
      </rPr>
      <t>21/01 - Recebemos na segunda-feira (18/01) a confirmação de que podemos reutilizar a mesma numeração ANATEL para os headphones, alinhamento repassado para o time de Criação - ANATEL: 02461-20-12855</t>
    </r>
  </si>
  <si>
    <t>PI4878Y</t>
  </si>
  <si>
    <t>2021 - FAT07</t>
  </si>
  <si>
    <t>BALDE DE GELO COM SPEAKER E LED OPEN BAR</t>
  </si>
  <si>
    <r>
      <rPr>
        <rFont val="Trebuchet MS"/>
        <b/>
        <color theme="1"/>
        <sz val="9.0"/>
      </rPr>
      <t xml:space="preserve">10/01/23 - Certificado não será renovado.
</t>
    </r>
    <r>
      <rPr>
        <rFont val="Trebuchet MS"/>
        <color theme="1"/>
        <sz val="9.0"/>
      </rPr>
      <t>-
26/04 - Homologação Anatel finalizada.
13/04 - Em avaliação pela engenharia da OCD - finalização 15/05.
23/03 - Amostra configurada,  relatórios de testes devem sair dia 09/04 e finalização homologação 15/05.
17/03 - Amostras estão sendo configuradas. Sem agendamento no lab ainda, mas considerando entrega dos relatórios no final de abril  (previsão), homologação deve estar ok no início de Junho. etiquetas ok
08/03 - Pendência no laboratório - Não conseguimos realizar a configuração para o modelo em questão. Vamos enviar para preparação na Eagle Tech. (Cronograma anterior: relatórios 11/03, homologação 16/04).
19/02 - Código de homologação Anatel: 02235-21-13731. Repassado ao time de Criação.
17/02 - Amostra recebida pelo laboratório e sexta 19/02 teremos o código ANATEL para repasse ao time da Criação. Relatório deve estar pronto dia 26/02 (aguardando confirmação de agenda do Lab);
Preço confirmado, (módulo novo da 3rd Eye), qualidade ok. Balde de gelo é desmontável e vão mandar sem o balde. Avaliar pelo tamanho do FedEx
08/01 - Documentos seguem pendentes</t>
    </r>
    <r>
      <rPr>
        <rFont val="Trebuchet MS"/>
        <b/>
        <color theme="1"/>
        <sz val="9.0"/>
      </rPr>
      <t xml:space="preserve">
</t>
    </r>
    <r>
      <rPr>
        <rFont val="Trebuchet MS"/>
        <color theme="1"/>
        <sz val="9.0"/>
      </rPr>
      <t>11/01 - Documentos ainda sendo preparados, devem ficar prontos nos próximos dias, amostras de certificação ficarão prontas próximas ao dia 20/01</t>
    </r>
    <r>
      <rPr>
        <rFont val="Trebuchet MS"/>
        <b/>
        <color theme="1"/>
        <sz val="9.0"/>
      </rPr>
      <t xml:space="preserve">
</t>
    </r>
    <r>
      <rPr>
        <rFont val="Trebuchet MS"/>
        <color theme="1"/>
        <sz val="9.0"/>
      </rPr>
      <t>19/01 - Documentos recebidos, estamos no aguardo da prepação das amostras para envio.</t>
    </r>
    <r>
      <rPr>
        <rFont val="Trebuchet MS"/>
        <b/>
        <color theme="1"/>
        <sz val="9.0"/>
      </rPr>
      <t xml:space="preserve">
</t>
    </r>
    <r>
      <rPr>
        <rFont val="Trebuchet MS"/>
        <color theme="1"/>
        <sz val="9.0"/>
      </rPr>
      <t>21/01 - Amostras cobradas via ERP
26/01 - Amostras a caminho no Fedex 772727344940
01/02 - Amostras recebidas.
02/02 - Amostras encaminhadas para o certificador preparar o lote para os ensaios laboratoriais.</t>
    </r>
  </si>
  <si>
    <t>MT-5206/2021</t>
  </si>
  <si>
    <t>02235-21-13731</t>
  </si>
  <si>
    <t>Este produto contém a placa PI4878Y código de homologação ANATEL 02235-21-13731</t>
  </si>
  <si>
    <t>PI4882Y</t>
  </si>
  <si>
    <t>New tech</t>
  </si>
  <si>
    <t>KARAOKE PORTATIL SEGUE O BAILE</t>
  </si>
  <si>
    <r>
      <rPr>
        <rFont val="Trebuchet MS"/>
        <b/>
        <color theme="1"/>
        <sz val="9.0"/>
      </rPr>
      <t xml:space="preserve">22/12 - Não teremos venda sell-in e nem recompra desses itens. Certificado não será renovado.
-
</t>
    </r>
    <r>
      <rPr>
        <rFont val="Trebuchet MS"/>
        <color theme="1"/>
        <sz val="9.0"/>
      </rPr>
      <t>12/04 - Homologação Anatel finalizada.
05/04 - Processo cadastrado na Anatel. Em análise.
17/03 - Placa está no laboratório aguardando ensaios, previsão de entrega de relatórios 30/03, e homologação 03/05. Enviado hoje as instruções de manual e etiqueta
17/02 - Placa PCB encaminhada ao Laboratório para darmos sequência nos testes.
12/02 - Microfone encaminhado para a Qualidade -  Sedex QB218864869BR.
03/02 - Amostra pendente de ser encaminhada para a Qualidade</t>
    </r>
  </si>
  <si>
    <t>MT-5259/2021</t>
  </si>
  <si>
    <t>03474-21-13782</t>
  </si>
  <si>
    <t>Este produto contém a placa PI4882Y código de homologação ANATEL 03474-21-13782</t>
  </si>
  <si>
    <t>PI4899Y</t>
  </si>
  <si>
    <t xml:space="preserve">	JYK</t>
  </si>
  <si>
    <t>VITROLA BLUETOOTH TAMPA ACRILICO VERDE</t>
  </si>
  <si>
    <r>
      <rPr>
        <rFont val="Trebuchet MS"/>
        <b/>
        <color theme="1"/>
        <sz val="9.0"/>
      </rPr>
      <t xml:space="preserve">20/03/23 - O certificado não será renovado.
</t>
    </r>
    <r>
      <rPr>
        <rFont val="Trebuchet MS"/>
        <color theme="1"/>
        <sz val="9.0"/>
      </rPr>
      <t xml:space="preserve">-
09/09 - Homologação Anatel finalizada.
03/09 - Previsão de chegada no CD atualizada: 29/10.
16/08 - Processo cadastrado na Anatel. Previsão de finalização homologação: 10/09. Chegada no CD: 04/11.
02/08 - Aguardando o envio do relatório revisado - schedule ok para FAT 11.
26/07 - Solicitado o envio do relatório com as alterações para certificação RF. 
20/07 - Ensaios estão em andamento e previsão de finalização é 23/07.
17/05 - Amostra de RF configurada e liberada para ensaios.
</t>
    </r>
    <r>
      <rPr>
        <rFont val="Trebuchet MS"/>
        <i/>
        <color theme="1"/>
        <sz val="9.0"/>
      </rPr>
      <t xml:space="preserve">15/07 - Produto apresentou ocorrência no ensaio de Imunidade a RF Conduzida - Terminais de Energia Elétrica, do Ato 1120 da Anatel. Bruno não considera falha, verificando com Ademir.
</t>
    </r>
    <r>
      <rPr>
        <rFont val="Trebuchet MS"/>
        <color theme="1"/>
        <sz val="9.0"/>
      </rPr>
      <t xml:space="preserve">12/07 - Amostra de RF e instruçõoes enviados ao laboratório. 
08/07 - Finalização testes: 22/07.
22/06 - Vincent enviou a amostra test mode - 774060074627. Formalizei sobre MP antes da finalização dos testes - permanece FAT 11.
</t>
    </r>
    <r>
      <rPr>
        <rFont val="Trebuchet MS"/>
        <color rgb="FFFF0000"/>
        <sz val="9.0"/>
      </rPr>
      <t>14/06 - Início dos testes agendados para 28/06 e previsão de finalização para 12/07.</t>
    </r>
    <r>
      <rPr>
        <rFont val="Trebuchet MS"/>
        <b/>
        <color rgb="FFFF0000"/>
        <sz val="9.0"/>
      </rPr>
      <t xml:space="preserve">
</t>
    </r>
    <r>
      <rPr>
        <rFont val="Trebuchet MS"/>
        <color theme="1"/>
        <sz val="9.0"/>
      </rPr>
      <t>12/06 - Não recebemos a amostra test mode, questionando Vincent.
09/06 - Amostra será recebida hoje.
21/05 - Amostra enviada FEDEX 773786818334 / 773786818595 - produção deve ser iniciada no começo de Julho para manter FAT 10
27/04 - Vincent irá enviar os documentos ainda esta semana e confirmou que as amostras estarão prontas em 15/05. - amostras já chegaram
20/04 - Vincent informou que poderá enviar os documentos ainda esta semana e sobre a amostra não tinha confirmação.
12/04 - Sem informação exata quanto a amostra e documentos do fornecedor, Vincent ficou de enviar esta quarta.
17/03 - Fat alterado pra 10, aguardando detalhes quanto a amostra - Amostra deve chegar dia 14/08 para seguir o cronograma. 10 a 15 dias (amostra)
Verificar se é o mesmo módulo da ultima vitrola, produto muito grande para ser enviado via FEDEX
08/01 - Documentos seguem pendentes, porém o FAT foi alterado para 10</t>
    </r>
  </si>
  <si>
    <t>MT-5502/2021</t>
  </si>
  <si>
    <t>09132-21-06091</t>
  </si>
  <si>
    <t>Este produto contém a placa PI4899Y código de homologação ANATEL: 09132-21-06091.</t>
  </si>
  <si>
    <t>PI4993Y</t>
  </si>
  <si>
    <t>2021 - FAT09</t>
  </si>
  <si>
    <t>MUV</t>
  </si>
  <si>
    <t>MOUSEPAD WITH WIRELESS CHARGER GAME OVER</t>
  </si>
  <si>
    <r>
      <rPr>
        <rFont val="Trebuchet MS"/>
        <b/>
        <color rgb="FF000000"/>
        <sz val="9.0"/>
      </rPr>
      <t xml:space="preserve">14/07/23 - Homologação finalizada.
</t>
    </r>
    <r>
      <rPr>
        <rFont val="Trebuchet MS"/>
        <color rgb="FF000000"/>
        <sz val="9.0"/>
      </rPr>
      <t xml:space="preserve">26/04/23 - Manutenção do certificado em andamento.
</t>
    </r>
    <r>
      <rPr>
        <rFont val="Trebuchet MS"/>
        <b/>
        <color rgb="FF000000"/>
        <sz val="9.0"/>
      </rPr>
      <t xml:space="preserve">-
29/06 - Homologação Anatel finalizada.
</t>
    </r>
    <r>
      <rPr>
        <rFont val="Trebuchet MS"/>
        <color rgb="FF000000"/>
        <sz val="9.0"/>
      </rPr>
      <t>21/06 - Processo cadastrado na Anatel.
01/06 - Laudos verificados, autorizamos a produção. Estimado para LATE FAT 08. 
29/04 - Ensaios serão iniciados em 24/05, laudos entregues em 01/06 e finalização da homologação prevista para 24/06.
28/04 - Enviamos a amostra para identificação e envio ao laboratório.
13/04 - Amostra enviada via FEDEX 773424649294.
07/06 - Amostras serão enviadas em 13/04.
16/03 - Produto com pendência de qualidade, e teremos o retorno do fornecedor à respeito até amanhã. Após a confirmação, Vincent irá checar a ready date e enviará via ERP, mas a previsão é que leve em média 1-2 semanas para recebermos as amostras de certificação.   Amostra deve chegar dia 01/05 para atendermos cronograma. amostra e docs: 02/04
09/03 - Cobrei amostras 
28/01 - Solicitação de documentos enviada no ERP</t>
    </r>
  </si>
  <si>
    <t>Shenzhen Botech Technology Co., Ltd</t>
  </si>
  <si>
    <t>MODERNA-1132/23</t>
  </si>
  <si>
    <t>06516-21-13892</t>
  </si>
  <si>
    <t>Produto homologado pela Anatel: Nº homologação 06516-21-13892</t>
  </si>
  <si>
    <t>PI4995Y</t>
  </si>
  <si>
    <t>VITROLA BLUETOOTH BEATLES TWIST &amp; SHOUT</t>
  </si>
  <si>
    <r>
      <rPr>
        <rFont val="Trebuchet MS"/>
        <b/>
        <color theme="1"/>
        <sz val="9.0"/>
      </rPr>
      <t xml:space="preserve">09/07 - Seguindo com a inclusão no certificado da Vitrola, Anatel ID 15743-20-13462 - solicitado etiqueta para a Criação
</t>
    </r>
    <r>
      <rPr>
        <rFont val="Trebuchet MS"/>
        <b val="0"/>
        <color theme="1"/>
        <sz val="9.0"/>
      </rPr>
      <t>17/03 - Avaliando com a OCP as fotos das placas enviadas pelo Vincent ontem, para checar se podemos incluir na mesma família do PI4642Y
09/03 - Solicitei ao Vincent fotos da placa desta Vitrola para checar se conseguimos incluir na família do PI4642Y.
28/01 - Solicitação de documentos enviada no ERP</t>
    </r>
  </si>
  <si>
    <t>PI4943Y</t>
  </si>
  <si>
    <t>2021 - FAT08</t>
  </si>
  <si>
    <t>Kyc</t>
  </si>
  <si>
    <t>CARREGADOR POR INDUCAO BEATLES HELP</t>
  </si>
  <si>
    <r>
      <rPr>
        <rFont val="Trebuchet MS"/>
        <b/>
        <color theme="1"/>
        <sz val="9.0"/>
      </rPr>
      <t xml:space="preserve">05/05/25 - Time de produto decidiu não seguir com a manutenção.
</t>
    </r>
    <r>
      <rPr>
        <rFont val="Trebuchet MS"/>
        <color theme="1"/>
        <sz val="9.0"/>
      </rPr>
      <t>22/06/23 - Homologação emitida.</t>
    </r>
    <r>
      <rPr>
        <rFont val="Trebuchet MS"/>
        <b/>
        <color theme="1"/>
        <sz val="9.0"/>
      </rPr>
      <t xml:space="preserve">
</t>
    </r>
    <r>
      <rPr>
        <rFont val="Trebuchet MS"/>
        <color theme="1"/>
        <sz val="9.0"/>
      </rPr>
      <t xml:space="preserve">26/04/23 - Manutenção do certificado em andamento.
</t>
    </r>
    <r>
      <rPr>
        <rFont val="Trebuchet MS"/>
        <b/>
        <color theme="1"/>
        <sz val="9.0"/>
      </rPr>
      <t xml:space="preserve">-
04/08 - Homologação Anatel finalizada.
</t>
    </r>
    <r>
      <rPr>
        <rFont val="Trebuchet MS"/>
        <color theme="1"/>
        <sz val="9.0"/>
      </rPr>
      <t>28/07 - Vincent informou que a MP atrasou e item será postergado para FAT 10.
14/07 - Processo cadastrado na Anatel. Estimate ready date 30/07, ETA CD 22/09 - Late FAT 09.</t>
    </r>
    <r>
      <rPr>
        <rFont val="Trebuchet MS"/>
        <b/>
        <color theme="1"/>
        <sz val="9.0"/>
      </rPr>
      <t xml:space="preserve">
</t>
    </r>
    <r>
      <rPr>
        <rFont val="Trebuchet MS"/>
        <color theme="1"/>
        <sz val="9.0"/>
      </rPr>
      <t xml:space="preserve">29/06 - Ready date 25/07, questionei sobre o FAT:  </t>
    </r>
    <r>
      <rPr>
        <rFont val="Trebuchet MS"/>
        <i/>
        <color theme="1"/>
        <sz val="9.0"/>
      </rPr>
      <t>But if some specific item I think we could try to fast it . Arrange it as urgent and make some time? But if we don’t need to try to catch FAT09. Then of course is better to moved to FAT10.</t>
    </r>
    <r>
      <rPr>
        <rFont val="Trebuchet MS"/>
        <color theme="1"/>
        <sz val="9.0"/>
      </rPr>
      <t xml:space="preserve"> Será etiquetado aqui.
22/06 - Formalizei sobre produção antes do teste. Prazo para entregar as etiquetas na China: 10/07.
21/06 - Solicitada cotação das etiquetas para Compras.
17/06 - Amostra (Friends) recebida no laboratório, data de finalização dos testes: 30/06.
08/06 - Amostra de Friends chegou ontem em SP, enviada com as demais amostras para a Eagle Tech para identificação e envio ao Lab -- será a mesma família de certificação. Recebemos a agenda do Lab, testes irão finalizar dia 30/06 conforme schedule inicial. 
26/05 - Amostra chegou hoje no escritório. Foi alterada para mesma placa do carregador Friends, verificar se podemos fazer a mesma certificação
20/05 - Data estimada para chegada do carregador alterou para 24/05.
12/05 - Amostras chegam no escritório semana que vem, avaliar atraso.
07/04 - Aguardando retorno do fornecedor para confirmar envio das amostras e documentos. +2 semanas
09/03 - Cobrei amostras (verificando com Vincent sobre a placa ser igual para incluirmos no certificado do HP) - aguardando update do ready date. Amostra deve chegar dia 01/06 para atendermos cronograma.
28/01 - Solicitação de do28/01 - Solicitação de documentos enviada no ERP</t>
    </r>
  </si>
  <si>
    <t>Shenzhen Kaiyue Century Technology Co., Ltd</t>
  </si>
  <si>
    <t>MODERNA-1130/23</t>
  </si>
  <si>
    <t>08886-21-12562</t>
  </si>
  <si>
    <t>Produto homologado pela Anatel: Nº homologação 08886-21-12562</t>
  </si>
  <si>
    <t>PI4916Y</t>
  </si>
  <si>
    <t>ABRIDOR DE GARRAFA ONCA</t>
  </si>
  <si>
    <r>
      <rPr>
        <rFont val="Trebuchet MS"/>
        <b/>
        <color theme="1"/>
        <sz val="9.0"/>
      </rPr>
      <t xml:space="preserve">01/06/23 - Certificado suspenso.
03/04/23 - O certificado não será renovado.
</t>
    </r>
    <r>
      <rPr>
        <rFont val="Trebuchet MS"/>
        <b val="0"/>
        <color theme="1"/>
        <sz val="9.0"/>
      </rPr>
      <t>-
25/06 - Homologação Anatel finalizada.
01/06 - Processo cadastrado na Anatel - irá para FAT 09.
25/05 - Confirmei que os testes estão ok e liberamos a MP, o ready date estimado é início de Julho então este item será Late FAT 8
26/04 - Início dos testes agendados para 04/05, entrega dos laudos 13/05 e finalização da homologação 07/06.
06/04 - Amostra na Eagle Tech para configuração. Data prevista: 01/06.
23/03 - Amostras enviadas via FEDEX, tracking number: 773271403014 (entrega prevista 05/04)
16/03 -  Mesmo produto que o modelo anterior PI4587Y. Estão iniciando a amostra com base no nosso projeto, e trabalhando nas melhorias do microfone. Fornecedor confirmou que não precisarão alterar a placa PCB com a melhoria do microfone, mas pedimos fotos para ter certeza que a placa será a mesma. Vincent enviará no ERP assim que recebermos essa foto (previsão início da semana que vem).     Amostra deve chegar dia 01/05 para atendermos cronograma.
09/03 - Cobrei amostras e ISO (fornecedor placa).
28/01 - Solicitação de documentos enviada no ERP</t>
    </r>
  </si>
  <si>
    <t>PI4917Y</t>
  </si>
  <si>
    <t>CARREGADOR POR INDUCAO FRIENDS SOFA</t>
  </si>
  <si>
    <r>
      <rPr>
        <rFont val="Trebuchet MS"/>
        <b/>
        <color theme="1"/>
        <sz val="9.0"/>
      </rPr>
      <t xml:space="preserve">05/05/25 - Time de produto decidiu não seguir com a manutenção.
</t>
    </r>
    <r>
      <rPr>
        <rFont val="Trebuchet MS"/>
        <color theme="1"/>
        <sz val="9.0"/>
      </rPr>
      <t>22/06/23 - Homologação emitida.</t>
    </r>
    <r>
      <rPr>
        <rFont val="Trebuchet MS"/>
        <b/>
        <color theme="1"/>
        <sz val="9.0"/>
      </rPr>
      <t xml:space="preserve">
</t>
    </r>
    <r>
      <rPr>
        <rFont val="Trebuchet MS"/>
        <color theme="1"/>
        <sz val="9.0"/>
      </rPr>
      <t xml:space="preserve">26/04/23 - Manutenção do certificado em andamento.
</t>
    </r>
    <r>
      <rPr>
        <rFont val="Trebuchet MS"/>
        <b/>
        <color theme="1"/>
        <sz val="9.0"/>
      </rPr>
      <t xml:space="preserve">-
04/08 - Homologação Anatel finalizada.
</t>
    </r>
    <r>
      <rPr>
        <rFont val="Trebuchet MS"/>
        <color theme="1"/>
        <sz val="9.0"/>
      </rPr>
      <t>14/07 - Processo cadastrado na Anatel. Estimate ready date 30/07, ETA CD 22/09 - Late FAT 09.
29/06 - Ready date 25/07, questionei sobre o FAT:  But if some specific item I think we could try to fast it . Arrange it as urgent and make some time? But if we don’t need to try to catch FAT09. Then of course is better to moved to FAT10. Será etiquetado aqui.
22/06 - Formalizei sobre produção antes do teste. Prazo para entregar as etiquetas na China: 10/07.
21/06 - Solicitada cotação das etiquetas para Compras.
17/06 - Amostra (Friends) recebida no laboratório, data de finalização dos testes: 30/06.
08/06 - Amostra de Friends chegou ontem em SP, enviada com as demais amostras para a Eagle Tech para identificação e envio ao Lab -- será a mesma família de certificação. Recebemos a agenda do Lab, testes irão finalizar dia 30/06 conforme schedule inicial. 
26/05 - Amostra chegou hoje no escritório. Foi alterada para mesma placa do carregador Friends, verificar se podemos fazer a mesma certificação
20/05 - Data estimada para chegada do carregador alterou para 24/05.
12/05 - Amostras chegam no escritório semana que vem, avaliar atraso.
07/04 - Aguardando retorno do fornecedor para confirmar envio das amostras e documentos. +2 semanas
09/03 - Cobrei amostras (verificando com Vincent sobre a placa ser igual para incluirmos no certificado do HP) - aguardando update do ready date. Amostra deve chegar dia 01/06 para atendermos cronograma.
28/01 - Solicitação de do28/01 - Solicitação de documentos enviada no ERP"
29/06 - Ready date estimado: 20/07. Dentro do FAT. Será etiquetado aqui.
22/06 - Formalizei sobre produção antes do teste. Prazo para entregar as etiquetas na China: 10/07.
21/06 - Solicitada cotação das etiquetas para Compras.
17/06 - Amostra recebida no laboratório, data de finalização dos testes: 30/06.
08/06 - Amostra chegou ontem em SP, enviada com as demais amostras para a Eagle Tech para identificação e envio ao Lab. Recebemos a agenda do Lab, testes irão finalizar dia 30/06 conforme schedule inicial. 
12/05 - Item vai atrasar pra FAT 9 pois a homologação finalizará em Julho.
07/04 - Aguardando retorno do fornecedor para confirmar envio das amostras e documentos.  +2 semanas
18/03 - Vincent confirmou que não será a mesma placa. Ainda não conseguiu passar data estimada de envio de amostras.
16/03 - Projeto recebido 5 dias atrás e estamos aguardando o layout 3D do fornecedor. Estão checando se por conta da estrutura interna, conseguiremos manter a mesma placa PCB dos SKUs anteriores da KYC, vamos ter esse ok até amanhã e Vincent atualizará no ERP. De qualquer forma, esse produto levará em torno de 20 dias para abrir o molde, então só teremos a amostra completa em mãos início de abril.  Amostra deve chegar dia 01/05 para atendermos cronograma.
10/03 - Vincent: OK，right now supplier not sure if they need to adjust something , we quoted with similar design of the PI3876Y , if the shape and design not affect something(which will confirm after receiving artwork ) , then we will follow the PCB board as the same with PI3876Y.
09/03 - Cobrei amostras (verificando com Vincent sobre a placa ser igual para incluirmos no certificado do HP)
28/01 - Solicitação de documentos enviada no ERP</t>
    </r>
  </si>
  <si>
    <t>PI4934Y</t>
  </si>
  <si>
    <t>BASE HEADSET E CARREGADOR SEM FIO GAMER</t>
  </si>
  <si>
    <r>
      <rPr>
        <rFont val="Trebuchet MS"/>
        <b/>
        <color rgb="FF000000"/>
        <sz val="9.0"/>
      </rPr>
      <t xml:space="preserve">14/07/23 - Homologação finalizada.
</t>
    </r>
    <r>
      <rPr>
        <rFont val="Trebuchet MS"/>
        <color rgb="FF000000"/>
        <sz val="9.0"/>
      </rPr>
      <t xml:space="preserve">26/04/23 - Manutenção do certificado em andamento.
</t>
    </r>
    <r>
      <rPr>
        <rFont val="Trebuchet MS"/>
        <b/>
        <color rgb="FF000000"/>
        <sz val="9.0"/>
      </rPr>
      <t xml:space="preserve">-
29/06 - Homologação Anatel finalizada.
</t>
    </r>
    <r>
      <rPr>
        <rFont val="Trebuchet MS"/>
        <color rgb="FF000000"/>
        <sz val="9.0"/>
      </rPr>
      <t>21/06 - Processo cadastrado na Anatel.
01/06 - Laudos verificados, autorizamos a produção. Estimado para LATE FAT 08. Verificar sobre etiquetagem.
01/06 - Laudos verificados, autorizamos a produção. Verificar sobre etiquetagem.
29/04 - Ensaios serão iniciados em 24/05, laudos entregues em 01/06 e finalização da homologação prevista para 24/06.
28/04 - Enviamos a amostra para identificação e envio ao laboratório.
13/04 - Amostra enviada via FEDEX 773424649294.
07/04 - Amostras serão enviadas dia 13/04.
16/03 - Amanda cobrou o Vincent sobre a solicitação das 2 amostras, ele está checando a ready date e enviará via ERP, mas a previsão é que leve 1-2 semanas para recebermos as amostras de certificação.    Amostra deve chegar dia 01/05 para atendermos cronograma. prev. recebimento 02/04
10/03 - Amanda: For this product, we are still pending a reply from pricing regarding the quotation. As soon as we have the price approval and the confirmation of the model, we can request the samples and documents to start the certification process.
09/03 - Cobrei amostras 
03/02 - Verificação ISO
28/01 - Solicitação de documentos enviada no ERP</t>
    </r>
  </si>
  <si>
    <t>MODERNA-1133/23</t>
  </si>
  <si>
    <t>06517-21-13892</t>
  </si>
  <si>
    <t>Produto homologado pela Anatel: Nº Homologação 06517-21-13892</t>
  </si>
  <si>
    <t>PI4939Y</t>
  </si>
  <si>
    <t>CANETA DOG</t>
  </si>
  <si>
    <t>INMETRO ARTIGOS ESCOLARES SISTEMA 5 - PORTARIA 481</t>
  </si>
  <si>
    <t>Inclusão</t>
  </si>
  <si>
    <r>
      <rPr>
        <rFont val="Trebuchet MS"/>
        <b/>
        <color theme="1"/>
        <sz val="9.0"/>
      </rPr>
      <t xml:space="preserve">21/08/23 - Certificado encerrado.
-
</t>
    </r>
    <r>
      <rPr>
        <rFont val="Trebuchet MS"/>
        <color theme="1"/>
        <sz val="9.0"/>
      </rPr>
      <t>23/03 - Certificado de conformidade emitido
OCP informou que não precisará ser realizado os ensaios neste caso. Estou aguardando a confirmação. - número de registro é o mesmo utilizado para as canetas que ja compramos Muda frases HP.</t>
    </r>
  </si>
  <si>
    <t>PI4940Y</t>
  </si>
  <si>
    <t>2022 - FAT09</t>
  </si>
  <si>
    <t>CANETA GATINHO</t>
  </si>
  <si>
    <r>
      <rPr>
        <rFont val="Trebuchet MS"/>
        <b/>
        <color theme="1"/>
        <sz val="9.0"/>
      </rPr>
      <t xml:space="preserve">21/08/23 - Certificado encerrado.
-
</t>
    </r>
    <r>
      <rPr>
        <rFont val="Trebuchet MS"/>
        <color theme="1"/>
        <sz val="9.0"/>
      </rPr>
      <t>23/03 - Certificado de conformidade emitido
OCP informou que não precisará ser realizado os ensaios neste caso. Estou aguardando a confirmação. - número de registro é o mesmo utilizado para as canetas que ja compramos Muda frases HP.</t>
    </r>
  </si>
  <si>
    <t>PI4990Y</t>
  </si>
  <si>
    <t>CANETA MUDA FRASES SORTE DO DIA</t>
  </si>
  <si>
    <r>
      <rPr>
        <rFont val="Trebuchet MS"/>
        <b/>
        <color theme="1"/>
        <sz val="9.0"/>
      </rPr>
      <t xml:space="preserve">21/08/23 - Certificado encerrado.
-
</t>
    </r>
    <r>
      <rPr>
        <rFont val="Trebuchet MS"/>
        <b val="0"/>
        <color theme="1"/>
        <sz val="9.0"/>
      </rPr>
      <t>23/03 - Certificado de conformidade emitido
OCP informou que não precisará ser realizado os ensaios neste caso. Estou aguardando a confirmação. - número de registro é o mesmo utilizado para as canetas que ja compramos Muda frases HP.</t>
    </r>
  </si>
  <si>
    <t>PI4771Y</t>
  </si>
  <si>
    <t>AMPLIFICADOR PARA CHUVEIRO SO PRA DANCAR</t>
  </si>
  <si>
    <r>
      <rPr>
        <rFont val="Trebuchet MS"/>
        <b/>
        <color theme="1"/>
        <sz val="9.0"/>
      </rPr>
      <t xml:space="preserve">24/01 - Não iremos renovar o certificado, uma vez que o estoque no CD já está zerado e não pretendemos recomprar o item
</t>
    </r>
    <r>
      <rPr>
        <rFont val="Trebuchet MS"/>
        <color theme="1"/>
        <sz val="9.0"/>
      </rPr>
      <t xml:space="preserve">-
08/06 - Homologação Anatel finalizada.
24/05 - Processo cadastrado na Anatel. Por conta do retrabalho o FAT foi alterado para 8.
28/04 - Amostra entregue no laboratório - homologação prevista para 21/06.
</t>
    </r>
    <r>
      <rPr>
        <rFont val="Trebuchet MS"/>
        <color rgb="FFFF0000"/>
        <sz val="9.0"/>
      </rPr>
      <t>27/04 - Produto está sendo retrabalhado e será late FAT 7. Testes serão iniciados em 10/05, laudos entregues em 18/05 e previsão de homologação está para 21/06.</t>
    </r>
  </si>
  <si>
    <t>MT-5423/2021</t>
  </si>
  <si>
    <t xml:space="preserve"> 07145-21-13801</t>
  </si>
  <si>
    <t>Este produto contém a placa PI4771Y código de homologação ANATEL 07145-21-13801</t>
  </si>
  <si>
    <t>PI5059Y</t>
  </si>
  <si>
    <t>3Rd Eye</t>
  </si>
  <si>
    <t>AMPLIFICADOR BLUETOOTH COM LED LUA CHEIA</t>
  </si>
  <si>
    <r>
      <rPr>
        <rFont val="Trebuchet MS"/>
        <b/>
        <color theme="1"/>
        <sz val="9.0"/>
      </rPr>
      <t xml:space="preserve">18/09/23 - Certificado suspenso.
</t>
    </r>
    <r>
      <rPr>
        <rFont val="Trebuchet MS"/>
        <color theme="1"/>
        <sz val="9.0"/>
      </rPr>
      <t xml:space="preserve">07/10 - Homologação Anatel finalizada. </t>
    </r>
    <r>
      <rPr>
        <rFont val="Trebuchet MS"/>
        <b/>
        <color theme="1"/>
        <sz val="9.0"/>
      </rPr>
      <t xml:space="preserve">
</t>
    </r>
    <r>
      <rPr>
        <rFont val="Trebuchet MS"/>
        <color theme="1"/>
        <sz val="9.0"/>
      </rPr>
      <t>20/09 - Processo cadastrado na Anatel. Em análise.
14/09 - Laudos recebidos, em análise pela Master. Deve ser cadastrado na Anatel até sexta-feira. Previsão de finalização da homologação: 17/10, previsão de chegada no CD: 16/11.
10/09 - Ensaios finalizados, previsão de envio de relatório: 15/09.
03/09 - Chegada no CD atualizada para 16/11. Item alterado para FAT 11. Previsão de finalização de homologação: 31/10.
31/08 - Amostra entregue hoje no laboratório. Previsão de finalização dos ensaios: 10/09 e entrega do relatório: 17/09. Previsão de finalização homologação: 26/10 (produto chega dia 27/10 no CD).
26/08 - Amostra enviada para configuração. Previsão de entrega no laboratório: 31/08.
19/08 - Amostra enviada, AWB 774575803482.
11/08 - Solicitada nova amostra para a China - amostra com o Bruno não está emitindo continuamente o sinal BT. Será enviada na sexta-feira, com isso a nova previsão de finalização da homologação fica para 30/10.
02/08 - Ensaios finalizam dia 10/08 e relatórios serão emitidos dia 16/08.
30/07 - Chega no CD 12/10 - Certificação estará finalizada por volta de 16/09.</t>
    </r>
    <r>
      <rPr>
        <rFont val="Trebuchet MS"/>
        <b/>
        <color theme="1"/>
        <sz val="9.0"/>
      </rPr>
      <t xml:space="preserve">
</t>
    </r>
    <r>
      <rPr>
        <rFont val="Trebuchet MS"/>
        <color theme="1"/>
        <sz val="9.0"/>
      </rPr>
      <t xml:space="preserve">02/07 - Amostra enviada para configuração. Previsão finalização dos testes: 11/08. Ready date: 20/08.
22/06 - Nova previsão de envio amostra: 25/06. Formalizado sobre a produção antes da finalização do teste - avaliar FAT.
03/06 - Chegada da amostra atualizada para 10/06. Com nosso schedule o ETA no CD seria 10/11. Fred pediu para liberar a MP 30/06 para pegar FAT 10.
26/05 - Sem notícias sobre as amostras e documentos de certificação, cobrei novamente. -- </t>
    </r>
    <r>
      <rPr>
        <rFont val="Trebuchet MS"/>
        <i/>
        <color rgb="FFFF0000"/>
        <sz val="9.0"/>
      </rPr>
      <t>AMOSTRA NEXT MONDAY FRED</t>
    </r>
    <r>
      <rPr>
        <rFont val="Trebuchet MS"/>
        <color theme="1"/>
        <sz val="9.0"/>
      </rPr>
      <t xml:space="preserve">
23/04 - Enviadas as instruções no ERP quanto a certificação. Cobrei a ISO. Para estar finalizado no embarque as amostras precisam ser enviadas até final de Maio - não recebi retorno</t>
    </r>
  </si>
  <si>
    <t>MT-5549/2021</t>
  </si>
  <si>
    <t>10134-21-10468</t>
  </si>
  <si>
    <t>Este produto contém a placa 644563A_Y13 código de homologação ANATEL: 10134-21-10468</t>
  </si>
  <si>
    <t>PI5048Y</t>
  </si>
  <si>
    <t>Aiosa</t>
  </si>
  <si>
    <t>CAFETEIRA ELETRICA COM COPO 127V FRIENDS</t>
  </si>
  <si>
    <r>
      <rPr>
        <rFont val="Trebuchet MS"/>
        <b/>
        <color theme="1"/>
        <sz val="9.0"/>
      </rPr>
      <t xml:space="preserve">10/11/22 - Certificado encerrado.
</t>
    </r>
    <r>
      <rPr>
        <rFont val="Trebuchet MS"/>
        <color theme="1"/>
        <sz val="9.0"/>
      </rPr>
      <t xml:space="preserve">-
16/08 - Certificado de conformidade emitido.
21/07 - A correção solicitada pelo laboratório foi feita e foi recebido o draft dos laudos pelo OCP, vamos liberar a produção hoje. Informação Fred: ready date final de setembro, late FAT 11.
16/07 - O laboratório solicitou ao fabricante uma correção no PCB.
22/06 - Testes estão em andamento, previsão de finalização e análise: 19/07. Finalização produção: 30/09 </t>
    </r>
    <r>
      <rPr>
        <rFont val="Trebuchet MS"/>
        <color rgb="FFFF0000"/>
        <sz val="9.0"/>
      </rPr>
      <t xml:space="preserve">
</t>
    </r>
    <r>
      <rPr>
        <rFont val="Trebuchet MS"/>
        <color theme="1"/>
        <sz val="9.0"/>
      </rPr>
      <t>06/06 - Auditoria feita e amostras coletas, considerando tudo pronto em 24/07. Posição Fred:  If we start production 25/07, ready date is end of Sept, estimated DC ETA will be end of Nov(due to Oct holiday in China, ETD might be mid of Oct). So better if we can anticipate start production around 2 weeks;
25/05 - Previsão de recebermos a amostra final: 05/06. Seguindo com o agendamento da auditoria.
24/05 - Solicitado as demais informações técnicas. Questionei a Serena sobre a amostra final (agora só temos a amostra preta).
11/05 - Recebidos os documentos
Considerar embarque 10/08 e certificado - 120 dias de cronograma, início se daria em 12/04</t>
    </r>
  </si>
  <si>
    <t>6829/2021-ELE-1</t>
  </si>
  <si>
    <t>Certificação INMETRO:Produto certificado por BRICS OCP 0098 Nº Certificado 6829/2021-ELE-1</t>
  </si>
  <si>
    <t>PI5049Y</t>
  </si>
  <si>
    <t>CAFETEIRA ELETRICA COM COPO 220V FRIENDS</t>
  </si>
  <si>
    <r>
      <rPr>
        <rFont val="Trebuchet MS"/>
        <b/>
        <color theme="1"/>
        <sz val="9.0"/>
      </rPr>
      <t xml:space="preserve">10/11/22 - Certificado encerrado.
</t>
    </r>
    <r>
      <rPr>
        <rFont val="Trebuchet MS"/>
        <color theme="1"/>
        <sz val="9.0"/>
      </rPr>
      <t xml:space="preserve">-
16/08 - Certificado de conformidade emitido.
21/07 - A correção solicitada pelo laboratório foi feita e foi recebido o draft dos laudos pelo OCP, vamos liberar a produção hoje. Informação Fred: ready date final de setembro, late FAT 11.
16/07 - O laboratório solicitou ao fabricante uma correção no PCB.
22/06 - Testes estão em andamento, previsão de finalização e análise: 19/07. Finalização produção: 30/09 </t>
    </r>
    <r>
      <rPr>
        <rFont val="Trebuchet MS"/>
        <color rgb="FFFF0000"/>
        <sz val="9.0"/>
      </rPr>
      <t xml:space="preserve">
</t>
    </r>
    <r>
      <rPr>
        <rFont val="Trebuchet MS"/>
        <color theme="1"/>
        <sz val="9.0"/>
      </rPr>
      <t>06/06 - Auditoria feita e amostras coletas, considerando tudo pronto em 24/07. Posição Fred:  If we start production 25/07, ready date is end of Sept, estimated DC ETA will be end of Nov(due to Oct holiday in China, ETD might be mid of Oct). So better if we can anticipate start production around 2 weeks;
25/05 - Previsão de recebermos a amostra final: 05/06. Seguindo com o agendamento da auditoria.
24/05 - Solicitado as demais informações técnicas. Questionei a Serena sobre a amostra final (agora só temos a amostra preta).
11/05 - Recebidos os documentos
Considerar embarque 10/08 e certificado - 120 dias de cronograma, início se daria em 12/04</t>
    </r>
  </si>
  <si>
    <t>PI5081Y</t>
  </si>
  <si>
    <t>2021 - FAT11</t>
  </si>
  <si>
    <t>Qikang</t>
  </si>
  <si>
    <t>KIT MIXER COM COPOS 127V AMARELO</t>
  </si>
  <si>
    <t>5 amostras para ensaios na China</t>
  </si>
  <si>
    <r>
      <rPr>
        <rFont val="Trebuchet MS"/>
        <b/>
        <color theme="1"/>
        <sz val="9.0"/>
      </rPr>
      <t xml:space="preserve">11/08/22 - Certificado encerrado.
-
</t>
    </r>
    <r>
      <rPr>
        <rFont val="Trebuchet MS"/>
        <color theme="1"/>
        <sz val="9.0"/>
      </rPr>
      <t xml:space="preserve">10/09 - Certificado de conformidade emitido.
08/09 - Solicitadas alterações no draft.
03/09 - Relatório oficial recebido.
30/08 - Laudo do teste recebido e está ok, informei para seguir com a MP. Brics está fechando o relatório de auditoria ara finalizar o processo. Aguardando confirmação de ready date, previsão de chegada atual: 17/01.
11/08 - Data estimada para finalização dos testes + análise dos laudos: 06/09. Ready date estimado: 10/11, item será FAT 01 por enquanto.
06/08 - Amostras entregues novamente ao laboratório, verificando schedule.
02/08 - Produto aprovado, verificando com o laboratório a situação dos primeiros testes, muito provavelmente Late FAT 1.
07/07 - ITEM CANCELADO - Problemas com Qualidade.
07/07 - Testes iniciaram hoje, previsão de finalização 02/08 - dentro do FAT.
23/06 - Auditoria agendada para o dia 2/7.
08/06 - Serena informou que a amostra final estará pronta em 30/06.
26/05 - Cobrei algumas informações sobre a fábrica para agendar a auditoria. Produto entrando na pauta da Criação hoje.
20/05 - Enviados os documentos para a BRICS, aguardando retorno.
10/05 - Cobrado documentos - sem retorno
Considerar embarque 10/09 e certificado - 120 dias cronograma, início em Maio
</t>
    </r>
  </si>
  <si>
    <t>6851/2021-ELE-1</t>
  </si>
  <si>
    <t>Certificação INMETRO:Produto certificado por BRICS OCP 0098 Nº Certificado 6851/2021-ELE-1</t>
  </si>
  <si>
    <t>PI5082Y</t>
  </si>
  <si>
    <t>KIT MIXER COM COPOS 220V AMARELO</t>
  </si>
  <si>
    <r>
      <rPr>
        <rFont val="Trebuchet MS"/>
        <b/>
        <color theme="1"/>
        <sz val="9.0"/>
      </rPr>
      <t xml:space="preserve">11/08/22 - Certificado encerrado.
-
</t>
    </r>
    <r>
      <rPr>
        <rFont val="Trebuchet MS"/>
        <color theme="1"/>
        <sz val="9.0"/>
      </rPr>
      <t xml:space="preserve">10/09 - Certificado de conformidade emitido.
08/09 - Solicitadas alterações no draft.
03/09 - Relatório oficial recebido.
30/08 - Laudo do teste recebido e está ok, informei para seguir com a MP. Brics está fechando o relatório de auditoria ara finalizar o processo. Aguardando confirmação de ready date, previsão de chegada atual: 17/01.
11/08 - Data estimada para finalização dos testes + análise dos laudos: 06/09. Ready date estimado: 10/11, item será FAT 01 por enquanto.
06/08 - Amostras entregues novamente ao laboratório, verificando schedule.
02/08 - Produto aprovado, verificando com o laboratório a situação dos primeiros testes, muito provavelmente Late FAT 1.
07/07 - ITEM CANCELADO - Problemas com Qualidade.
07/07 - Testes iniciaram hoje, previsão de finalização 02/08 - dentro do FAT.
23/06 - Auditoria agendada para o dia 2/7.
08/06 - Serena informou que a amostra final estará pronta em 30/06.
26/05 - Cobrei algumas informações sobre a fábrica para agendar a auditoria. Produto entrando na pauta da Criação hoje.
20/05 - Enviados os documentos para a BRICS, aguardando retorno.
10/05 - Cobrado documentos - sem retorno
Considerar embarque 10/09 e certificado - 120 dias cronograma, início em Maio
</t>
    </r>
  </si>
  <si>
    <t>PI5097Y</t>
  </si>
  <si>
    <t>Audmic</t>
  </si>
  <si>
    <t>MESA SPEAKER E CARREGADOR SEM FIO CINZA</t>
  </si>
  <si>
    <r>
      <rPr>
        <rFont val="Trebuchet MS"/>
        <b/>
        <color theme="1"/>
        <sz val="9.0"/>
      </rPr>
      <t xml:space="preserve">11/09/25 - Decidiram não fazer a manutenção desse certificado e farão ações para acabar com o estoque antes de 30/11/2025.
</t>
    </r>
    <r>
      <rPr>
        <rFont val="Trebuchet MS"/>
        <color theme="1"/>
        <sz val="9.0"/>
      </rPr>
      <t>10/01/24 - Recebemos o certificado de homologação ANATEL, processo finalizado.</t>
    </r>
    <r>
      <rPr>
        <rFont val="Trebuchet MS"/>
        <b/>
        <color theme="1"/>
        <sz val="9.0"/>
      </rPr>
      <t xml:space="preserve">
</t>
    </r>
    <r>
      <rPr>
        <rFont val="Trebuchet MS"/>
        <color theme="1"/>
        <sz val="9.0"/>
      </rPr>
      <t>27/11/23 - Manutenção finalizada, aguardamos submissão no sistema da Anatel.</t>
    </r>
    <r>
      <rPr>
        <rFont val="Trebuchet MS"/>
        <b/>
        <color theme="1"/>
        <sz val="9.0"/>
      </rPr>
      <t xml:space="preserve">
</t>
    </r>
    <r>
      <rPr>
        <rFont val="Trebuchet MS"/>
        <color theme="1"/>
        <sz val="9.0"/>
      </rPr>
      <t>27/10/23 - Foi decidido que vamos fazer a manutenção desse certificado.</t>
    </r>
    <r>
      <rPr>
        <rFont val="Trebuchet MS"/>
        <b/>
        <color theme="1"/>
        <sz val="9.0"/>
      </rPr>
      <t xml:space="preserve">
</t>
    </r>
    <r>
      <rPr>
        <rFont val="Trebuchet MS"/>
        <color theme="1"/>
        <sz val="9.0"/>
      </rPr>
      <t>03/01 - Homologação Anatel finalizada.</t>
    </r>
    <r>
      <rPr>
        <rFont val="Trebuchet MS"/>
        <b/>
        <color theme="1"/>
        <sz val="9.0"/>
      </rPr>
      <t xml:space="preserve">
</t>
    </r>
    <r>
      <rPr>
        <rFont val="Trebuchet MS"/>
        <color theme="1"/>
        <sz val="9.0"/>
      </rPr>
      <t xml:space="preserve">30/11 - Processo cadastrado na Anatel. Em análise.
08/11 - Demos o ok dos ensaios para a China. Aguardamos as fotos para enviar ao OCD verificar se ocorreu alteração no circuito de alimentação (caso sim, precisará ser testado novamente).
05/11 - Laudo dos ensaios recebidos.
21/10 - Iniciando MP em 03/11, ready date seria 23/12. Previsão FAT02~03.
18/10 - Teste de compatibilidade eletrogmagnética ok, aguardando data para finalização dos testes de RF (bluetooth) para recebimento dos laudos completos.
06/10 - Nova amostra está no laboratório, previsão de entrega dos laudos: 18/10. Pelo schedule seria FAT 3.
14/09 - Nova amostra será enviada na sexta-feira via FedEx. Previsão de chegada no CD: 16/03. 
30/08 - Previsão do fornecedor de envio de nova amostra: 10/09. Com esta data a previsão de finalização dos testes é 26/10 e o item seria FAT 2.
17/08 - Item apresentou falha novamente, Bruno irá retirar a amostra para análise e configuração, e verificar se vamos precisar de uma nova amostra da China.
04/08 - Modelo apresentou ocorrência no teste de Emissão Radiada. Solicitamos teste em câmara 3m, finalização 12/08.
</t>
    </r>
    <r>
      <rPr>
        <rFont val="Trebuchet MS"/>
        <i/>
        <color theme="1"/>
        <sz val="9.0"/>
      </rPr>
      <t xml:space="preserve">29/07 - According to the new certification schedule, MP estimated finished 25/9, will be able to catch late FAT11.
</t>
    </r>
    <r>
      <rPr>
        <rFont val="Trebuchet MS"/>
        <color theme="1"/>
        <sz val="9.0"/>
      </rPr>
      <t>28/07 - Reteste será feito até dia 30/07, Bruno coletará a amostra para configurar para os testes de RF, que tem previsão de ficarem prontos em 10/08. Verificando com Vincent quanto a MP / schedule.</t>
    </r>
    <r>
      <rPr>
        <rFont val="Trebuchet MS"/>
        <b/>
        <color theme="1"/>
        <sz val="9.0"/>
      </rPr>
      <t xml:space="preserve">
</t>
    </r>
    <r>
      <rPr>
        <rFont val="Trebuchet MS"/>
        <color theme="1"/>
        <sz val="9.0"/>
      </rPr>
      <t>23/07 - O laboratório não deveria ter sido exercitada a função "carregamento indutivo" durante o ensaio de Emissão Radiada. Solicitamos um reteste com a reprodução de músicas somente através da tecnologia Bluetooth, sem estar carregando indutivamente em aparelho celular (configuração solicitada no RT).
15/07 - Eldorado: Em uma segunda tentativa de solda, a amostra parou de funcionar e não respondeu a mais nenhum comando. Precisamos esperar a finalização dos testes (22/07) para coletar e preparar novamente a amostra de RF.
24/06 - Amostra será entregue na quarta-feira no Lab. Agenda: início  13/07, finalização e entrega dos laudos:  20/07.
18/06 - Amostra enviada: 774035122117. Previsão de finalização dos testes: 01/08+40 dias leadtime: 19/11 Br.</t>
    </r>
    <r>
      <rPr>
        <rFont val="Trebuchet MS"/>
        <b/>
        <color theme="1"/>
        <sz val="9.0"/>
      </rPr>
      <t xml:space="preserve">
</t>
    </r>
    <r>
      <rPr>
        <rFont val="Trebuchet MS"/>
        <color theme="1"/>
        <sz val="9.0"/>
      </rPr>
      <t>08/06 - Solicitado ao Vincent update sobre o item - sem info
25/05 -</t>
    </r>
    <r>
      <rPr>
        <rFont val="Trebuchet MS"/>
        <i/>
        <color theme="1"/>
        <sz val="9.0"/>
      </rPr>
      <t xml:space="preserve">Paulo:Com o cronograma que temos, caso não seja possível encontrar rapidamente um fornecedor pronto para nos fornecer, precisamos considerar que o item terá seu lançamento POSTERGADO para uma coleção futura. 
</t>
    </r>
    <r>
      <rPr>
        <rFont val="Trebuchet MS"/>
        <color theme="1"/>
        <sz val="9.0"/>
      </rPr>
      <t xml:space="preserve">24/05 - Cobrei novamente sobre informações e a amostra da qualidade. </t>
    </r>
    <r>
      <rPr>
        <rFont val="Trebuchet MS"/>
        <i/>
        <color theme="1"/>
        <sz val="9.0"/>
      </rPr>
      <t>Vi: sorry for lack of reply on this task about this item, 
for this item , we are still not sure about which supplier is the best option we could go on  . 
we also haven't choose the model yet .
the certication process would be on hold for now once we have further news would let you know.</t>
    </r>
    <r>
      <rPr>
        <rFont val="Trebuchet MS"/>
        <b/>
        <color theme="1"/>
        <sz val="9.0"/>
      </rPr>
      <t xml:space="preserve">
</t>
    </r>
    <r>
      <rPr>
        <rFont val="Trebuchet MS"/>
        <color theme="1"/>
        <sz val="9.0"/>
      </rPr>
      <t>10/05 - Cobrado sobre a ISO novamente - ainda não tive retorno.
23/04 - Enviada as instruções no ERP quanto a certificação. Cobrei a ISO. Para estar finalizado no embarque as amostras precisam ser enviadas até final de Junho.</t>
    </r>
  </si>
  <si>
    <t>Shenzhen Ao Lai De Electronic Co., Ltd</t>
  </si>
  <si>
    <t>MODERNA-2323/23</t>
  </si>
  <si>
    <t>11136-21-14089</t>
  </si>
  <si>
    <t>Produto homologado pela Anatel: Nº Homologação 11136-21-14089</t>
  </si>
  <si>
    <t>PI5103Y</t>
  </si>
  <si>
    <t>Freesun</t>
  </si>
  <si>
    <t>PROJETOR PORTATIL NETFLIX VERMELHO</t>
  </si>
  <si>
    <r>
      <rPr>
        <rFont val="Trebuchet MS"/>
        <b/>
        <color theme="1"/>
        <sz val="9.0"/>
      </rPr>
      <t xml:space="preserve">19/01/23 - Projetores estão sem estoque no CD, certificado não será renovado.
</t>
    </r>
    <r>
      <rPr>
        <rFont val="Trebuchet MS"/>
        <b val="0"/>
        <color theme="1"/>
        <sz val="9.0"/>
      </rPr>
      <t>-
07/06 - Vamos seguir com a certificação do módulo do projetor anterior.
23/04 - Verificando se vamos utilizar a mesma placa do projetor anterior. Feeling informou que o projeto está parado até os problemas do projetor serem ajustados - Paulo está ciente.</t>
    </r>
  </si>
  <si>
    <t>PI5118Y</t>
  </si>
  <si>
    <t>Ed Origin</t>
  </si>
  <si>
    <t>AROMATIZADOR SPEAKER INSPIRASOM</t>
  </si>
  <si>
    <t>INMETRO Eletrodomésticos + ANATEL CATEGORIA 2 - MÓDULO BLUETOOTH</t>
  </si>
  <si>
    <t>2 amostras para ensaios na China + 2 Amostras completas + 1 Amostra teste lab (Placa PCB com entradas de cabo de RF e Software)</t>
  </si>
  <si>
    <r>
      <rPr>
        <rFont val="Trebuchet MS"/>
        <b/>
        <color theme="1"/>
        <sz val="9.0"/>
      </rPr>
      <t xml:space="preserve">10/08/22 - Certificado encerrado.
</t>
    </r>
    <r>
      <rPr>
        <rFont val="Trebuchet MS"/>
        <color theme="1"/>
        <sz val="9.0"/>
      </rPr>
      <t>-
06/09 - Homologação Anatel finalizada.
26/08 - Emitido o certificado de conformidade do Inmetro. Anatel em análise, previsão era 30/08 mas está levando mais tempo que o normal. Chegada estimada no CD: 09/11.
05/08 - Processo cadastrado na Anatel, previsão de homologação: 30/08. Certificado final do Inmetro será recebido semana que vem.
02/08 - Processo será cadastrado na Anatel esta semana. Aguardnado resultado Inmetro.
19/07 - Ensaios ANATEL finalizados hoje, emissão dos laudos prevista para 21/07.
13/07 - Previsão de finalização dos ensaios Inmetro: 05/08.</t>
    </r>
    <r>
      <rPr>
        <rFont val="Trebuchet MS"/>
        <b/>
        <color theme="1"/>
        <sz val="9.0"/>
      </rPr>
      <t xml:space="preserve">
</t>
    </r>
    <r>
      <rPr>
        <rFont val="Trebuchet MS"/>
        <color theme="1"/>
        <sz val="9.0"/>
      </rPr>
      <t xml:space="preserve">28/06 - Auditoria (Inmetro) agendada para 08/07. Finalização dos testes Anatel: 21/07. Finalização produção 10/09.
22/06 - Considerando a data de análise do relatório Inmetro 09/08, ready date estimado seria 10/09.
18/06 - Amostra Anatel está na Eagle Tech para configuração -- verificando agenda. / Inmetro: BRICS está aguardando ok da fábrica para seguir com a auditoria. Atualização FAT p/ 11.
31/05 - Anatel tests should be ready around 01/08/2021 (with sample arrival by mid June), Inmetro tests, around 22/07. If we start production by 01/08, ready date around Sept.10th. Estimated DC ETA end of Oct, beginning of Nov. So please check if we could anticipate the start production around 2 weeks.
24/05 - Cobrei novamente os documentos e amostras. </t>
    </r>
    <r>
      <rPr>
        <rFont val="Trebuchet MS"/>
        <i/>
        <color theme="1"/>
        <sz val="9.0"/>
      </rPr>
      <t xml:space="preserve">Vi: got it , supplier is preparing , due to the lack of chip and component problem on this product , they do a confirmation on every material first before taking our order , it took around 1-2 week delay on this documents and sample .
now base on the feedback they gave me yesterday , the schedule for received the samples and the docs will be within this week . </t>
    </r>
    <r>
      <rPr>
        <rFont val="Trebuchet MS"/>
        <b/>
        <color theme="1"/>
        <sz val="9.0"/>
      </rPr>
      <t xml:space="preserve">
</t>
    </r>
    <r>
      <rPr>
        <rFont val="Trebuchet MS"/>
        <color theme="1"/>
        <sz val="9.0"/>
      </rPr>
      <t>10/05 - Cobrei documentos e amostras - não tive retorno.
28/04 - Confirmado função BT, enviada a instrução de certificação no ERP. Para eletro, considerar embarque 10/08 e certificado - 120 dias de cronograma, início em Maio o e para Anatel as amostras pecisam ser enviadas até o final de Maio.</t>
    </r>
  </si>
  <si>
    <t>25/08/2022
04/08/2023</t>
  </si>
  <si>
    <t>6906-2021-ELE-1
 MT-5590/2021</t>
  </si>
  <si>
    <t>11135-21-12612</t>
  </si>
  <si>
    <t>Certificação INMETRO:Produto certificado por BRICS OCP 0098 Nº Certificado 6906-2021-ELE-1
 Este produto contém a placa PI5118Y código de homologação ANATEL 11135-21-12612</t>
  </si>
  <si>
    <t>PI5112Y</t>
  </si>
  <si>
    <t>AMPLIFICADOR PORTA CELULAR NETFLIX TV</t>
  </si>
  <si>
    <r>
      <rPr>
        <rFont val="Trebuchet MS"/>
        <b/>
        <color theme="1"/>
        <sz val="9.0"/>
      </rPr>
      <t xml:space="preserve">27/10/23 - O certificado não será renovado.
-
</t>
    </r>
    <r>
      <rPr>
        <rFont val="Trebuchet MS"/>
        <color theme="1"/>
        <sz val="9.0"/>
      </rPr>
      <t xml:space="preserve">02/12 - Homologação Anatel finalizada.
04/11 - Processo cadastrado na Anatel.
29/10 - Laudos recebidos. Testes ok.
05/10 - Agenda recebida, previsão de entrega dos relatórios: 20/10. Previsão de finalização: 17/12 (FAT 01).
14/09 - A bateria compatível será enviada sexta-feira, junto com a amostra do PI5097Y. Previsão de finalização da homologação: 19/11. Previsão de chegada no CD: 05/11 (produto não será liberado para venda antes de FAT 01).
10/09 - A nova amostra não funcionou, e a fábrica informou que talvez seja necessário alimentar a placa através de uma bateria, porém, não enviaram uma bateria compatível.
30/08 - Previsão do início dos testes: 13/09, entrega dos relatórios 23/09. Previsão de finalização da homologação: 12/11. Processo foi antecipado, previsão de chegada no CD: 29/10.
26/08 - Amostra enviada para configuração. Previsão de entrega no laboratório: 31/08.
19/08 - Amostra enviada, AWB 774575803482.
16/08 - Nova amostra será enviada na sexta-feira, já que a amostra coletada no laboratório para testes de RF não está funcionando devidamente. Produção em paralelo e certificação deve estar finalizada para FAT 11.
02/08 - Solicitada nova amostra de RF, previsão de finalização: 30/09.
19/07 - Finalização dos testes prevista para 22/07.
14/07 - Eldorado: Informo que o André Favaron, do meu Comercial, autorizou a repetir o ensaio de Emissão Radiada alimentando o produto com um Notebook.
02/07 - Laboratório informou que o equipamento  apresentou ocorrência no ensaio de Emissão Radiada do Ato Anatel 1120. Solicitamos ao laboratório, de acordo com orientações do Bruno, reteste do equipamento com alimentação via laptop utilizando a câmara de 3 metros.
22/06 - MP pode ser iniciada antes da finalização dos ensaios (01/07).
08/07 - Amostra chegou ontem em SP, enviadas para a Eagle Tech seguir com a configuração -- Agenda recebida, testes finalizados em 01/07 (antecipado 2 semanas em relação ao schedule inicial). Verificar schedule com Fred.
24/05 - Documentos recebidos - FAT postergado para 11.
21/05 - Enviada nova amostra + test mode, FEDEX 773786818334 / 773786818595 -
11/05 - Paulo aprovou a amostra ontem, Vincent nos atualizará sobre envio estimado amanhã.
10/05 - Cobrei documentos e amostras.
23/04 - Vincent informou que o fabricante da placa não tem ISO, apenas a Huazeng. Para estar finalizado no embarque as amostras precisam ser enviadas até final de Maio.
</t>
    </r>
  </si>
  <si>
    <t>MT-5494/2021</t>
  </si>
  <si>
    <t>08885-21-12851</t>
  </si>
  <si>
    <t>Este produto contém a placa PI5112Ycódigo de homologação ANATEL 08885-21-12851</t>
  </si>
  <si>
    <t>PI5101Y</t>
  </si>
  <si>
    <t>MICROFONE KARAOKE BLUETOOTH DANDO SHOW</t>
  </si>
  <si>
    <t>INMETRO SISTEMA 7 (LOTE) - PORTARIA 321 + ANATEL CATEGORIA 2 - MÓDULO BLUETOOTH</t>
  </si>
  <si>
    <t>2 Amostras completas + 1 Amostra teste lab (Placa PCB com entradas de cabo de RF e Software) + RAM</t>
  </si>
  <si>
    <r>
      <rPr>
        <rFont val="Trebuchet MS"/>
        <b/>
        <color theme="1"/>
        <sz val="9.0"/>
      </rPr>
      <t xml:space="preserve">20/03/23 - O certificado não será renovado.
-
</t>
    </r>
    <r>
      <rPr>
        <rFont val="Trebuchet MS"/>
        <color theme="1"/>
        <sz val="9.0"/>
      </rPr>
      <t>07/10 - LI deferida.
04/10 - Certificado de Conformidade emitido (revisado). Aguardando o certificado estar ativo no Orquestra para solicitar a anuência da LI.
13/09 - Testes em andamento. Previsão de chegada no CD: 05/11.
03/09 - Coleta agendada para 08/09. Previsão de emissão do certificado: 07/10. Previsão de chegada no CD: 29/10.
26/08 - Coleta agendada para 02/09. Previsão de finalização: 13/10, chegada no CD prevista para 21/10.
24/08 - Coleta da Brics estava agendada para amanhã, porém foram informados que o lote ainda não está pronto (retrabalhos do cabo).
19/08 - Processo cadastrado na Anatel. Em análise</t>
    </r>
    <r>
      <rPr>
        <rFont val="Trebuchet MS"/>
        <b/>
        <color theme="1"/>
        <sz val="9.0"/>
      </rPr>
      <t>.</t>
    </r>
    <r>
      <rPr>
        <rFont val="Trebuchet MS"/>
        <color theme="1"/>
        <sz val="9.0"/>
      </rPr>
      <t xml:space="preserve">
16/08 - Emitido laudo Anatel, sob análise da Engenharia da Master. Devido a retrabalho realizado no cabo do microfone, lote estará pronto no dia 25/08, será coletado neste dia para testes do Inmetro.
11/08 - Relatório foi postergado, mas testes Anatel foram finalizados sem ocorrência. Coleta das amostras do Inmetro serão no dia 18/08 (dia que o lote estará pronto).
21/07 - Vamos dar sequência com os testes que faltam em outro laboratório, encaminhamos a amostra hoje. Finalização dos ensaios: 05/08. Data envio relatório: 11/08.
02/07 - Ocorrem duas falhas no teste: emissões espúrias e ESD. 
22/06 - MP pode ser iniciada antes da finalização dos ensaios (01/07), finalização do lote prevista para 10/08.
08/07 - Amostra chegou ontem em SP, enviadas para a Eagle Tech seguir com a configuração -- Recebemos a agenda, testes estarão finalizados em 1/07 (foi antecipada aprox. 2 semanas). Checar com Fred novamente o schedule.
21/05 - Enviada nova amostra + test mode, a enviada em 14/05 não está com a placa correta. FEDEX 773786818334 / 773786818595
11/05 - Paulo: amostra aprovada com restrição, por conta de instabilidade na conexão Bluetooth. Será enviada amostra para aprovação do time da Qualidade.
10/05 - Cobrei documentos e amostras.
23/04 - Enviada as instruções no ERP quanto a certificação.  Considerando embarque 10/08 e certificado - 100 dias de cronograma, dar início ao processo em Maio o e para Anatel as amostras pecisam ser enviadas até o final de Maio.</t>
    </r>
  </si>
  <si>
    <t>6916-2021-BRI-1
MT-5493/2021</t>
  </si>
  <si>
    <t>08884-21-12851</t>
  </si>
  <si>
    <t>Certificação INMETRO:Produto certificado por BRICS OCP 0098 CE-BRI/BRICS 001180-20.
 Produto homologado pela Anatel: Nº Homologação 08884-21-12851</t>
  </si>
  <si>
    <t>PI5040Y</t>
  </si>
  <si>
    <t>Yongkang Aining</t>
  </si>
  <si>
    <t>MAQUINA DE DONUTS 127V VERDE MENTA</t>
  </si>
  <si>
    <r>
      <rPr>
        <rFont val="Trebuchet MS"/>
        <b/>
        <color theme="1"/>
        <sz val="9.0"/>
      </rPr>
      <t xml:space="preserve">10/08/22 - Certificado encerrado.
</t>
    </r>
    <r>
      <rPr>
        <rFont val="Trebuchet MS"/>
        <color theme="1"/>
        <sz val="9.0"/>
      </rPr>
      <t>-
26/08 - Certificado de Conformidade emitido.
18/08 - Serena: Após negociação, fornecedor concordou em finalizar a produção antes do dia 20/10, então pegaremos Lafe FAT 12.</t>
    </r>
    <r>
      <rPr>
        <rFont val="Trebuchet MS"/>
        <b/>
        <color theme="1"/>
        <sz val="9.0"/>
      </rPr>
      <t xml:space="preserve">
</t>
    </r>
    <r>
      <rPr>
        <rFont val="Trebuchet MS"/>
        <color theme="1"/>
        <sz val="9.0"/>
      </rPr>
      <t xml:space="preserve">11/08 - Serena informou que a produção deve finalizar no final de Outubro. Questionei pois considerando este schedule, produto viraria FAT 01.
10/08 - Draft dos laudos recebido e aprovado pela BRICS.
02/08 - Solicitei os drafts dos laudos para a Brics, com o ok do OCP damos andamento na mass production.
07/07 - Laboratório passou a previsão de finalização dos testes: 02/08. Contando que a BRICS analise os drafts e nos de o ok, ficamos dentro do schedule.
30/06 - Auditoria e coleta das amostras agendadas para 03/07.
18/06 - Serena informou que a amostra deve estar ok 28/06, considerando leadtime 60 dias, Br: 22/12.
08/06 - Serena informou que amostra deve estar ok 24/06.
</t>
    </r>
    <r>
      <rPr>
        <rFont val="Trebuchet MS"/>
        <i/>
        <color theme="1"/>
        <sz val="9.0"/>
      </rPr>
      <t xml:space="preserve">Serena: We changed supplier and shape of product. Today I received the sample to test quality, and will send the docs to creation team to do artwork.  We need to receive the artwork soon.
</t>
    </r>
    <r>
      <rPr>
        <rFont val="Trebuchet MS"/>
        <color theme="1"/>
        <sz val="9.0"/>
      </rPr>
      <t xml:space="preserve">24/05 - Amostra está atrasada, deve chegar no escritório 30/05.
18/05 - Cobrei update.
11/05 - Serena: Não foi confirmado qual item irão comprar, receberemos os documentos apenas após esta confirmação. O Paulo ia testar hoje a amostra que o fornecedor envia antes de fecharmos a compra e depois vão enviar para a Qualidade.
10/05 - Cobrei documentos e amostras.
</t>
    </r>
    <r>
      <rPr>
        <rFont val="Trebuchet MS"/>
        <i/>
        <color theme="1"/>
        <sz val="9.0"/>
      </rPr>
      <t>Considerar embarque 10/09 e certificado - 120 dias cronograma, início em Maio</t>
    </r>
  </si>
  <si>
    <t xml:space="preserve">Selo de certificação na embalagem e no produto </t>
  </si>
  <si>
    <t>6927/2021-ELE-1</t>
  </si>
  <si>
    <t>Certificação INMETRO:Produto certificado por BRICS OCP 0098 Nº Certificado 6927-2021-ELE-1</t>
  </si>
  <si>
    <t>PI5041Y</t>
  </si>
  <si>
    <t>MAQUINA DE DONUTS 220V VERDE MENTA</t>
  </si>
  <si>
    <r>
      <rPr>
        <rFont val="Trebuchet MS"/>
        <b/>
        <color theme="1"/>
        <sz val="9.0"/>
      </rPr>
      <t xml:space="preserve">10/08/22 - Certificado encerrado.
</t>
    </r>
    <r>
      <rPr>
        <rFont val="Trebuchet MS"/>
        <color theme="1"/>
        <sz val="9.0"/>
      </rPr>
      <t>-
26/08 - Certificado de Conformidade emitido.
18/08 - Serena: Após negociação, fornecedor concordou em finalizar a produção antes do dia 20/10, então pegaremos Lafe FAT 12.</t>
    </r>
    <r>
      <rPr>
        <rFont val="Trebuchet MS"/>
        <b/>
        <color theme="1"/>
        <sz val="9.0"/>
      </rPr>
      <t xml:space="preserve">
</t>
    </r>
    <r>
      <rPr>
        <rFont val="Trebuchet MS"/>
        <color theme="1"/>
        <sz val="9.0"/>
      </rPr>
      <t xml:space="preserve">11/08 - Serena informou que a produção deve finalizar no final de Outubro. Questionei pois considerando este schedule, produto viraria FAT 01.
10/08 - Draft dos laudos recebido e aprovado pela BRICS.
02/08 - Solicitei os drafts dos laudos para a Brics, com o ok do OCP damos andamento na mass production.
07/07 - Laboratório passou a previsão de finalização dos testes: 02/08. Contando que a BRICS analise os drafts e nos de o ok, ficamos dentro do schedule.
30/06 - Auditoria e coleta das amostras agendadas para 03/07.
18/06 - Serena informou que a amostra deve estar ok 28/06, considerando leadtime 60 dias, Br: 22/12.
08/06 - Serena informou que amostra deve estar ok 24/06.
</t>
    </r>
    <r>
      <rPr>
        <rFont val="Trebuchet MS"/>
        <i/>
        <color theme="1"/>
        <sz val="9.0"/>
      </rPr>
      <t xml:space="preserve">Serena: We changed supplier and shape of product. Today I received the sample to test quality, and will send the docs to creation team to do artwork.  We need to receive the artwork soon.
</t>
    </r>
    <r>
      <rPr>
        <rFont val="Trebuchet MS"/>
        <color theme="1"/>
        <sz val="9.0"/>
      </rPr>
      <t xml:space="preserve">24/05 - Amostra está atrasada, deve chegar no escritório 30/05.
18/05 - Cobrei update.
11/05 - Serena: Não foi confirmado qual item irão comprar, receberemos os documentos apenas após esta confirmação. O Paulo ia testar hoje a amostra que o fornecedor envia antes de fecharmos a compra e depois vão enviar para a Qualidade.
10/05 - Cobrei documentos e amostras.
</t>
    </r>
    <r>
      <rPr>
        <rFont val="Trebuchet MS"/>
        <i/>
        <color theme="1"/>
        <sz val="9.0"/>
      </rPr>
      <t>Considerar embarque 10/09 e certificado - 120 dias cronograma, início em Maio</t>
    </r>
  </si>
  <si>
    <t>PI5046Y</t>
  </si>
  <si>
    <t>Aubadi</t>
  </si>
  <si>
    <t>MOUSE SEM FIO GLITTER MANDA JOBS</t>
  </si>
  <si>
    <r>
      <rPr>
        <rFont val="Trebuchet MS"/>
        <b/>
        <color theme="1"/>
        <sz val="9.0"/>
      </rPr>
      <t xml:space="preserve">20/03/23 - O certificado não será renovado.
</t>
    </r>
    <r>
      <rPr>
        <rFont val="Trebuchet MS"/>
        <b val="0"/>
        <color theme="1"/>
        <sz val="9.0"/>
      </rPr>
      <t xml:space="preserve">-
14/03 - Aguardando retorno do Planejamento sobre manutenção (custo adicional).
07/03 - Aguardando retorno do Planejamento sobre manutenção (custo adicional).
13/02 - Cobramos atualização.
08/02 - Enviado documento da auditoria solicitado pelo fabricante.
06/02 - Verificando quanto à realização da auditoria remota.
31/01 - Cobramos os documentos do OCD.
10/01 - Vamos fazer a manutenção do certificado.
</t>
    </r>
    <r>
      <rPr>
        <rFont val="Trebuchet MS"/>
        <b/>
        <color theme="1"/>
        <sz val="9.0"/>
      </rPr>
      <t xml:space="preserve">-
08/06 - Homologação Anatel finalizada.
</t>
    </r>
    <r>
      <rPr>
        <rFont val="Trebuchet MS"/>
        <b val="0"/>
        <color theme="1"/>
        <sz val="9.0"/>
      </rPr>
      <t>Homologação finalizada, aguardando confirmação da cor do novo modelo para submeter novamente
Aguardando finalização da homologação dos mouses antigos para incusão de cor
27/04 - Vincent confirmou que o item possui a mesma placa dos mouses anteriores. Precisamos das fotos para fazer a validação com a OCP da inclusão na mesma família até dia 30/05 (certificado dos demais mouses deve sair dia 15/05 - Fornecedor não possui ISO)</t>
    </r>
  </si>
  <si>
    <r>
      <rPr>
        <rFont val="Trebuchet MS"/>
        <b/>
        <color theme="1"/>
        <sz val="9.0"/>
      </rPr>
      <t xml:space="preserve">26/07 - LI deferida.
</t>
    </r>
    <r>
      <rPr>
        <rFont val="Trebuchet MS"/>
        <color theme="1"/>
        <sz val="9.0"/>
      </rPr>
      <t>06/07 - Recebemos o certificado de conformidade. Itens já estão com as marcações necessárias na embalagem. Processo chega no Brasil 06/08.
06/06 - MP vai ser finalizada 10/06, coleta das amostras agendadas para 11/06. Finalização prevista para 06/07, chega 31/07 no Br.
02/06 - Coleta agendada para 15/06.
21/05 - A coleta das amostras para teste seria feita em 22/05 mas ocorreu um problema na produção e estamos aguardando o desfecho para seguir.</t>
    </r>
  </si>
  <si>
    <t xml:space="preserve"> 6788/2021-BRI</t>
  </si>
  <si>
    <t>3 amostras para ensaios no Brasil</t>
  </si>
  <si>
    <r>
      <rPr>
        <rFont val="Trebuchet MS"/>
        <b/>
        <color theme="1"/>
        <sz val="9.0"/>
      </rPr>
      <t xml:space="preserve">14/10 - Certificado de conformidade emitido.
</t>
    </r>
    <r>
      <rPr>
        <rFont val="Trebuchet MS"/>
        <color theme="1"/>
        <sz val="9.0"/>
      </rPr>
      <t>20/09 - Draft do certificado emitido, aguardando assinatura.
14/09 - Item embarcou dia 09/09, previsão de chegada no CD: 18/10. Aguardando revisão do relatório de testes oficial para emissão do certificado.
31/08 - Previsão de chegada no CD atualizada para 21/10.
11/08 - LI emitida, aguardando embarque para emissão do certificado final. Produto chega no CD 08/10.
30/07 - Produto chega no CD em 01/10 - aguardando emissão dos laudos.
20/07 - Pré-teste realizado: concluímos que o produto atende aos requisitos de segurança especificados por norma.
07/07 - Amostras enviadas para o responsável no laboratório - Tracking 774190128887.
29/06 - Ficou acordado com a BRICS que os testes preliminares não serão cobrados. Informado endereço de destino das amostras ao Vincent, aguardando informação de produção e leadtime.
18/06 - Amostra aprovada. Vamos seguir com a certificação de lote, pois a Wallesun não tem os requisitos para atender a uma auditoria de fábrica. Solicitei ao Vincent sobre as amostras a serem enviadas para o BR (precisamos de 3, 2 para os testes + 1 para o relatório preliminar) e questionei sobre a previsão de finalização da MP.
Aguardando definição</t>
    </r>
  </si>
  <si>
    <t>PI5080Y</t>
  </si>
  <si>
    <t>LUMINARIA COM SPEAKER BLUETOOTH SORVETE</t>
  </si>
  <si>
    <r>
      <rPr>
        <rFont val="Trebuchet MS"/>
        <b/>
        <color theme="1"/>
        <sz val="9.0"/>
      </rPr>
      <t>18/09/23 - Certificado suspenso.</t>
    </r>
    <r>
      <rPr>
        <rFont val="Trebuchet MS"/>
        <color theme="1"/>
        <sz val="9.0"/>
      </rPr>
      <t xml:space="preserve">
25/05/23 - O certificado não será renovado.</t>
    </r>
    <r>
      <rPr>
        <rFont val="Trebuchet MS"/>
        <b/>
        <color theme="1"/>
        <sz val="9.0"/>
      </rPr>
      <t xml:space="preserve">
-
</t>
    </r>
    <r>
      <rPr>
        <rFont val="Trebuchet MS"/>
        <color theme="1"/>
        <sz val="9.0"/>
      </rPr>
      <t>08/10 - Certificado de homologação Anatel emitido.
20/09 - Processo cadastrado na Anatel.
10/09 - Recebidos o laudo dos ensaios. Previsão de finalização da homologação: 17/10. Chegada CD: 12/11
02/09 - Ensaios finalizados sem ocorrências, aguardando laudo para finalização do processo. Previsão de finalização da homologação: 23/10. Previsão de chegada no CD: 08/11.
23/08 - Segundo Ibec, ensaios serão finalizados até 02/09, e relatório está previsto para 08/09. Previsão de finalização da homologação: 20/10.
18/08 - Amostra enviada para configuração, verificando agenda com os laboratórios. Previsão de finalização da homologação: 30/10. Produção em paralelo.
09/08 - Amostra enviada, AWB 774478000032.
02/08 - Solicitado amostras (previsão prontidão final de Julho). Previsão de finalização 30/09.</t>
    </r>
  </si>
  <si>
    <t>MT-5613/2021</t>
  </si>
  <si>
    <t>12071-21-10468</t>
  </si>
  <si>
    <t>Este produto contém a placa AZ-F12 código de homologação ANATEL: 12071-21-10468</t>
  </si>
  <si>
    <t>PI5143Y</t>
  </si>
  <si>
    <t>2022 - FAT01</t>
  </si>
  <si>
    <t>Gain Belong</t>
  </si>
  <si>
    <t>MAQUINA DE WAFFLE 127V STRANGER THINGS</t>
  </si>
  <si>
    <r>
      <rPr>
        <rFont val="Trebuchet MS"/>
        <b/>
        <color theme="1"/>
        <sz val="9.0"/>
      </rPr>
      <t xml:space="preserve">10/08/22 - Certificado encerrado.
-
</t>
    </r>
    <r>
      <rPr>
        <rFont val="Trebuchet MS"/>
        <color theme="1"/>
        <sz val="9.0"/>
      </rPr>
      <t>20/09 - Certificado Inmetro emitido.
14/09 - Certificado está para assinatura.
18/08 - Finalização dos testes atualizada para 13/09 - Late FAT 01.
10/08 - Auditoria realizada em 03/08, relatório sob análise. Amostras chegaram ao laboratório no dia 06/08 e a previsão de finalização dos testes é 01/09.
28/07 - Serena informou que amostra deve estar ok para coleta dia 03/08.
05/07 - Recebidos os documentos, aguardando retorno da BRICS referente a data de auditoria. Serena informou que o item será Late FAT 01.
18/06 - Amostra deve estar pronta em 28/07
17/06 - Aguardando retorno do fornecedor sobre prontidão da amostra até 18/06</t>
    </r>
  </si>
  <si>
    <t>6994/2021-ELE-1</t>
  </si>
  <si>
    <t>Certificação INMETRO:Produto certificado por BRICS OCP 0098 Nº Certificado 6994/2021-ELE-1</t>
  </si>
  <si>
    <t>PI5144Y</t>
  </si>
  <si>
    <t>MAQUINA DE WAFFLE 220V STRANGER THINGS</t>
  </si>
  <si>
    <r>
      <rPr>
        <rFont val="Trebuchet MS"/>
        <b/>
        <color theme="1"/>
        <sz val="9.0"/>
      </rPr>
      <t xml:space="preserve">10/08/22 - Certificado encerrado.
-
</t>
    </r>
    <r>
      <rPr>
        <rFont val="Trebuchet MS"/>
        <color theme="1"/>
        <sz val="9.0"/>
      </rPr>
      <t>20/09 - Certificado Inmetro emitido.
14/09 - Certificado está para assinatura.
18/08 - Finalização dos testes atualizada para 13/09 - Late FAT 01.
10/08 - Auditoria realizada em 03/08, relatório sob análise. Amostras chegaram ao laboratório no dia 06/08 e a previsão de finalização dos testes é 01/09.
28/07 - Serena informou que amostra deve estar ok para coleta dia 03/08.
05/07 - Recebidos os documentos, aguardando retorno da BRICS referente a data de auditoria. Serena informou que o item será Late FAT 01.
18/06 - Amostra deve estar pronta em 28/07
17/06 - Aguardando retorno do fornecedor sobre prontidão da amostra até 18/06</t>
    </r>
  </si>
  <si>
    <t>PI5133Y</t>
  </si>
  <si>
    <t>2021 - FAT12</t>
  </si>
  <si>
    <t>FAIXA SPEAKER BLUETOOTH FITDANCE PRETA</t>
  </si>
  <si>
    <r>
      <rPr>
        <rFont val="Trebuchet MS"/>
        <b/>
        <color theme="1"/>
        <sz val="9.0"/>
      </rPr>
      <t xml:space="preserve">11/09/23 - Certificado suspenso.
20/03/23 - O certificado não será renovado.
</t>
    </r>
    <r>
      <rPr>
        <rFont val="Trebuchet MS"/>
        <b val="0"/>
        <color theme="1"/>
        <sz val="9.0"/>
      </rPr>
      <t>-</t>
    </r>
    <r>
      <rPr>
        <rFont val="Trebuchet MS"/>
        <b/>
        <color theme="1"/>
        <sz val="9.0"/>
      </rPr>
      <t xml:space="preserve">
</t>
    </r>
    <r>
      <rPr>
        <rFont val="Trebuchet MS"/>
        <b val="0"/>
        <color theme="1"/>
        <sz val="9.0"/>
      </rPr>
      <t xml:space="preserve">01/10 - Certificado de homologação Anatel emitido.
08/09 - Processo cadastrado na Anatel.
03/09 - Documentos completos enviados hoje (faltava o manual), previsão de finalização da homologação: 08/10.
18/08 - Recebemos os laudos do laboratório, estão sob análise. Previsão finalização: 23/10.
05/08 - Amostra entregue no laboratório.
02/08 - Amostra recebida semana passada, sendo configurada e verificando cotação com laboratórios. Previsão finalização 30/09.
</t>
    </r>
    <r>
      <rPr>
        <rFont val="Trebuchet MS"/>
        <b val="0"/>
        <i/>
        <color theme="1"/>
        <sz val="9.0"/>
      </rPr>
      <t xml:space="preserve">12/06 - Previsão de envio das amostras: 16/07 - ainda não recebemos update.
</t>
    </r>
    <r>
      <rPr>
        <rFont val="Trebuchet MS"/>
        <b val="0"/>
        <color theme="1"/>
        <sz val="9.0"/>
      </rPr>
      <t>17/06 - Previsão de envio das amostras: 30/06.</t>
    </r>
  </si>
  <si>
    <t>Shenzhen Aita Technology Co., Ltd</t>
  </si>
  <si>
    <t>MT-5624/2021</t>
  </si>
  <si>
    <t>12413-21-11617</t>
  </si>
  <si>
    <t>Produto homologado pela Anatel: Nº Homologação 12413-21-11617</t>
  </si>
  <si>
    <t>PI5134Y</t>
  </si>
  <si>
    <t>GARRAFA COM AMPLIFICADOR FITDANCE PRETA</t>
  </si>
  <si>
    <r>
      <rPr>
        <rFont val="Trebuchet MS"/>
        <b/>
        <color theme="1"/>
        <sz val="9.0"/>
      </rPr>
      <t xml:space="preserve">20/03/23 - O certificado não será renovado.
</t>
    </r>
    <r>
      <rPr>
        <rFont val="Trebuchet MS"/>
        <color theme="1"/>
        <sz val="9.0"/>
      </rPr>
      <t>-
01/10 - Certificado de homologação Anatel emitido.
27/08 - Processo cadastrado na Anatel. Em análise. Previsão de finalização da homologação: 26/09.
09/08 - Relatório recebido, sem ocorrências. Previsão de finalização: 15/09.
21/07 - Amostra configurada enviada ao laboratório hoje, ensaios serão finalizados dia 04/08, relatórios prontos dia 10/08, previsão finalização homologação: 15/09.
29/06 - Amostras recebidas (774060074627) e encaminhadas para configuração. Cotando com os laboratórios.
23/06 - Previsão de envio das amostras: 28/06.</t>
    </r>
  </si>
  <si>
    <t>MT-5625/2021</t>
  </si>
  <si>
    <t>12464-21-10468</t>
  </si>
  <si>
    <t>Este produto contém a placa PI5134Y código de homologação ANATEL: 12464-21-10468</t>
  </si>
  <si>
    <t>PI5135Y</t>
  </si>
  <si>
    <t>Winwend</t>
  </si>
  <si>
    <t>SUPORTE INTELIGENTE PRA CELULAR FITDANCE</t>
  </si>
  <si>
    <r>
      <rPr>
        <rFont val="Trebuchet MS"/>
        <b/>
        <color theme="1"/>
        <sz val="9.0"/>
      </rPr>
      <t>20/03/23 - O certificado não será renovado.</t>
    </r>
    <r>
      <rPr>
        <rFont val="Trebuchet MS"/>
        <b val="0"/>
        <color theme="1"/>
        <sz val="9.0"/>
      </rPr>
      <t xml:space="preserve">
-
01/10 - Certificado de homologação Anatel emitido.
09/09 - Processo cadastrado na Anatel. Em análise.
31/08 - Relatório recebido hoje. Previsão de finalização homologação: 08/10. Ready date estimado: 30/09, item chegaria no CD em 17/12 aprox.
11/08 - Finalização dos testes atrasou e está prevista para 23/08, sem impacto no schedule. Finalização da homologação: 28/09.
03/08 - Leadtime é de 35 dias, finalizando dia 16/08 item fica ok para FAT 12.
02/08 - Finalização dos ensaios: 10/08, entrega dos laudos: 16/08. Passei a data para a China, verificando sobre leadtime e schedule.
19/07 - Amostras sendo configuradas, previsão de finalização dos testes 12/08 e finalização da homologação: 22/09.</t>
    </r>
    <r>
      <rPr>
        <rFont val="Trebuchet MS"/>
        <b/>
        <color theme="1"/>
        <sz val="9.0"/>
      </rPr>
      <t xml:space="preserve">
</t>
    </r>
    <r>
      <rPr>
        <rFont val="Trebuchet MS"/>
        <b val="0"/>
        <color theme="1"/>
        <sz val="9.0"/>
      </rPr>
      <t>06/07 - Amostras enviadas via FEDEX 774177531052, previsão de chegada 13/07.</t>
    </r>
  </si>
  <si>
    <t>Sunking Circuits Electronics Co., Ltd</t>
  </si>
  <si>
    <t>MT-5639/2021</t>
  </si>
  <si>
    <t>12805-21-14180</t>
  </si>
  <si>
    <t>Este produto contém a placa PI5135Y código de homologação ANATEL: 12412-21-10468</t>
  </si>
  <si>
    <t>PI5147Y</t>
  </si>
  <si>
    <t>HEADPHONE BT STRANGER THINGS DUSTIN</t>
  </si>
  <si>
    <r>
      <rPr>
        <rFont val="Trebuchet MS"/>
        <b/>
        <color theme="1"/>
        <sz val="9.0"/>
      </rPr>
      <t>14/03/23 - Certificado não será renovado.</t>
    </r>
    <r>
      <rPr>
        <rFont val="Trebuchet MS"/>
        <color theme="1"/>
        <sz val="9.0"/>
      </rPr>
      <t xml:space="preserve">
-
19/10 - Certificado de homologação Anatel emitido.
18/10 - Processo cadastrado na Anatel.
Valor para inclusão acordado: R$ 900,00.
Será o mesmo modelo dos headphones hogwarts. Vamos incluir na mesma família.
16/07 - Ainda sem atualização sobre as amostras.
24/06 - Envio das amostras: 10/07
17/06 - Previsão de envio das amostras: 30/06</t>
    </r>
  </si>
  <si>
    <t>PI5139Y</t>
  </si>
  <si>
    <t>universe sound</t>
  </si>
  <si>
    <t>FONE DE OUVIDO SEM FIO BORA</t>
  </si>
  <si>
    <r>
      <rPr>
        <rFont val="Trebuchet MS"/>
        <b/>
        <color theme="1"/>
        <sz val="9.0"/>
      </rPr>
      <t xml:space="preserve">01/06/2023 - Certificado suspenso.
-
03/11 - Certificado de homologação Anatel emitido.
</t>
    </r>
    <r>
      <rPr>
        <rFont val="Trebuchet MS"/>
        <b val="0"/>
        <color theme="1"/>
        <sz val="9.0"/>
      </rPr>
      <t>19/10 - Processo cadastrado na Anatel.
Valor para inclusão acordado: R$ 900,00.
Será utilizada a mesma certificação do earphone passado - mesmo formato, não precisa enviar amostra</t>
    </r>
  </si>
  <si>
    <t>PI5063Y</t>
  </si>
  <si>
    <t>CARREGADOR PORTATIL CAPIVARA</t>
  </si>
  <si>
    <t>40 Amostras</t>
  </si>
  <si>
    <r>
      <rPr>
        <rFont val="Trebuchet MS"/>
        <b/>
        <color theme="1"/>
        <sz val="9.0"/>
      </rPr>
      <t>27/10/23 - O certificado não será renovado.</t>
    </r>
    <r>
      <rPr>
        <rFont val="Trebuchet MS"/>
        <b val="0"/>
        <color theme="1"/>
        <sz val="9.0"/>
      </rPr>
      <t xml:space="preserve">
-
09/03 - Certificado de homologação emitido.
15/02 - Certificado cadastrado na Anatel, aguardando emissão do certificado de Homologação.
06/01 - Últimos laudos recebidos.
13/12 - Amostras chegaram na Eagle Tech para configuração.
10/12 - Recebida a agenda do Laboratório. Previsão de entrega dos relatórios: 30/12.
06/12 - Amostras chegaram no CD. Seguindo com o envio para São Paulo. Previsão permanece para FAT 6.
Embarque postergado, chegada esperada no CD agora é 05/11. Item será FAT 6.</t>
    </r>
    <r>
      <rPr>
        <rFont val="Trebuchet MS"/>
        <b/>
        <color theme="1"/>
        <sz val="9.0"/>
      </rPr>
      <t xml:space="preserve">
</t>
    </r>
    <r>
      <rPr>
        <rFont val="Trebuchet MS"/>
        <b val="0"/>
        <color theme="1"/>
        <sz val="9.0"/>
      </rPr>
      <t xml:space="preserve">
19/09 - Fred: Oi Isa, for now yes, but if there's any changes or delay, we need to update later because 13/12 is the real deadline to produce and deliver before CNY which is around end of Jan. 
if we missed that , then it'll be end of Mar, which is FAT05~06 already.
</t>
    </r>
    <r>
      <rPr>
        <rFont val="Trebuchet MS"/>
        <b/>
        <color theme="1"/>
        <sz val="9.0"/>
      </rPr>
      <t xml:space="preserve">
</t>
    </r>
    <r>
      <rPr>
        <rFont val="Trebuchet MS"/>
        <b val="0"/>
        <color theme="1"/>
        <sz val="9.0"/>
      </rPr>
      <t>Previsão de finalização dos testes: 13/12.
Item será FAT 04 provavelmente.</t>
    </r>
  </si>
  <si>
    <t>MT-5846/2022</t>
  </si>
  <si>
    <t>00427-22-12562</t>
  </si>
  <si>
    <t>Produto homologado pela Anatel: Nº Homologação 00427-22-12562</t>
  </si>
  <si>
    <t>PI5163Y</t>
  </si>
  <si>
    <t>2022 - FAT02</t>
  </si>
  <si>
    <t>Sinolink</t>
  </si>
  <si>
    <t>MAQUINA DE SORVETE 127V NUMA NICE</t>
  </si>
  <si>
    <r>
      <rPr>
        <rFont val="Trebuchet MS"/>
        <b/>
        <color theme="1"/>
        <sz val="9.0"/>
      </rPr>
      <t xml:space="preserve">20/09/22 - Certificado encerrado.
</t>
    </r>
    <r>
      <rPr>
        <rFont val="Trebuchet MS"/>
        <b val="0"/>
        <color theme="1"/>
        <sz val="9.0"/>
      </rPr>
      <t xml:space="preserve">-
20/09 - Brics: processos finalizados ontem, encaminhados para coordenação, liberação das cartas deve ocorrer entre hoje e amanhã.
</t>
    </r>
    <r>
      <rPr>
        <rFont val="Trebuchet MS"/>
        <b val="0"/>
        <i/>
        <color theme="1"/>
        <sz val="9.0"/>
      </rPr>
      <t xml:space="preserve">06/09/22 - Item não será recomprado, seguiremos com o encerramento.
</t>
    </r>
    <r>
      <rPr>
        <rFont val="Trebuchet MS"/>
        <b val="0"/>
        <color theme="1"/>
        <sz val="9.0"/>
      </rPr>
      <t xml:space="preserve">02/12 - Certificado de conformidade emitido.
30/11 - MP iniciou dia 18, mercadoria ficará pronta no dia 20/01 (uma semana antes do CNY).
10/11 - Fion informou que a fábrica mandou o interruptor revisado hoje. Aguardando confirmação do laboratório, mas considerando 4 dias de ensaios, se tivermos o ok no dia 19, segundo a China, o ready date será antes do CNY (20/01).
05/11 - O teste do interruptor foi realizado ontem e falhou,  a fábrica está em contato com o laboratório e irá revisar a peça e deve enviar na próxima semana para ser testado, por este motivo haverá atraso na emissão do relatório. Os outros testes foram concluídos e aprovados, inclusive do conector.
20/10 - Precisou ser feita correção no conector e o lab está aguardando a fábrica enviar o item corrigido.  
O laboratório informou que consegue terminar dia 04/11, estamos cobrando a Jenny (fábrica) o envio do conector o mais breve possível  e o laboratório para finalização dos testes. </t>
    </r>
    <r>
      <rPr>
        <rFont val="Trebuchet MS"/>
        <b/>
        <color theme="1"/>
        <sz val="9.0"/>
      </rPr>
      <t xml:space="preserve"> 
</t>
    </r>
    <r>
      <rPr>
        <rFont val="Trebuchet MS"/>
        <b val="0"/>
        <color theme="1"/>
        <sz val="9.0"/>
      </rPr>
      <t xml:space="preserve">23/09 - Auditoria e coleta das amostras agendadas para 29/09. Previsão de finalização dos testes 03/11,  chegada CD: 11/03.
24/08 - Amostras finais estarão prontas dia 17/09. Chegada CD: 28/02.
18/08 - Amostra não será enviada para verificação da Qualidade. Artwork enviado em 16/08, considerando 30 dias para produção das amostras + 60 de leadtime chegaria dia 25/02 no CD.
</t>
    </r>
    <r>
      <rPr>
        <rFont val="Trebuchet MS"/>
        <b/>
        <color theme="1"/>
        <sz val="9.0"/>
      </rPr>
      <t xml:space="preserve">
</t>
    </r>
    <r>
      <rPr>
        <rFont val="Trebuchet MS"/>
        <b val="0"/>
        <color theme="1"/>
        <sz val="9.0"/>
      </rPr>
      <t>Verificar quando amostra será enviada ao BR e aprovação da Qualidade.</t>
    </r>
  </si>
  <si>
    <t>7197/2021-ELE-1</t>
  </si>
  <si>
    <t>Certificação INMETRO:Produto certificado por BRICS OCP 0098 Nº Certificado 7197/2021-ELE-1</t>
  </si>
  <si>
    <t>PI5164Y</t>
  </si>
  <si>
    <t>MAQUINA DE SORVETE 220V NUMA NICE</t>
  </si>
  <si>
    <r>
      <rPr>
        <rFont val="Trebuchet MS"/>
        <b/>
        <color theme="1"/>
        <sz val="9.0"/>
      </rPr>
      <t xml:space="preserve">20/09/22 - Certificado encerrado.
</t>
    </r>
    <r>
      <rPr>
        <rFont val="Trebuchet MS"/>
        <b val="0"/>
        <color theme="1"/>
        <sz val="9.0"/>
      </rPr>
      <t xml:space="preserve">-
20/09 - Brics: processos finalizados ontem, encaminhados para coordenação, liberação das cartas deve ocorrer entre hoje e amanhã.
</t>
    </r>
    <r>
      <rPr>
        <rFont val="Trebuchet MS"/>
        <b val="0"/>
        <i/>
        <color theme="1"/>
        <sz val="9.0"/>
      </rPr>
      <t xml:space="preserve">06/09/22 - Item não será recomprado, seguiremos com o encerramento.
</t>
    </r>
    <r>
      <rPr>
        <rFont val="Trebuchet MS"/>
        <b val="0"/>
        <color theme="1"/>
        <sz val="9.0"/>
      </rPr>
      <t xml:space="preserve">02/12 - Certificado de conformidade emitido.
30/11 - MP iniciou dia 18, mercadoria ficará pronta no dia 20/01 (uma semana antes do CNY).
10/11 - Fion informou que a fábrica mandou o interruptor revisado hoje. Aguardando confirmação do laboratório, mas considerando 4 dias de ensaios, se tivermos o ok no dia 19, segundo a China, o ready date será antes do CNY (20/01).
05/11 - O teste do interruptor foi realizado ontem e falhou,  a fábrica está em contato com o laboratório e irá revisar a peça e deve enviar na próxima semana para ser testado, por este motivo haverá atraso na emissão do relatório. Os outros testes foram concluídos e aprovados, inclusive do conector.
20/10 - Precisou ser feita correção no conector e o lab está aguardando a fábrica enviar o item corrigido.  
O laboratório informou que consegue terminar dia 04/11, estamos cobrando a Jenny (fábrica) o envio do conector o mais breve possível  e o laboratório para finalização dos testes. </t>
    </r>
    <r>
      <rPr>
        <rFont val="Trebuchet MS"/>
        <b/>
        <color theme="1"/>
        <sz val="9.0"/>
      </rPr>
      <t xml:space="preserve"> 
</t>
    </r>
    <r>
      <rPr>
        <rFont val="Trebuchet MS"/>
        <b val="0"/>
        <color theme="1"/>
        <sz val="9.0"/>
      </rPr>
      <t xml:space="preserve">23/09 - Auditoria e coleta das amostras agendadas para 29/09. Previsão de finalização dos testes 03/11,  chegada CD: 11/03.
24/08 - Amostras finais estarão prontas dia 17/09. Chegada CD: 28/02.
18/08 - Amostra não será enviada para verificação da Qualidade. Artwork enviado em 16/08, considerando 30 dias para produção das amostras + 60 de leadtime chegaria dia 25/02 no CD.
</t>
    </r>
    <r>
      <rPr>
        <rFont val="Trebuchet MS"/>
        <b/>
        <color theme="1"/>
        <sz val="9.0"/>
      </rPr>
      <t xml:space="preserve">
</t>
    </r>
    <r>
      <rPr>
        <rFont val="Trebuchet MS"/>
        <b val="0"/>
        <color theme="1"/>
        <sz val="9.0"/>
      </rPr>
      <t>Verificar quando amostra será enviada ao BR e aprovação da Qualidade.</t>
    </r>
  </si>
  <si>
    <t>PI5188Y</t>
  </si>
  <si>
    <t>2022 - FAT03</t>
  </si>
  <si>
    <t>CARREGADOR POR INDUCAO BOLACHA MAIZUMA</t>
  </si>
  <si>
    <r>
      <rPr>
        <rFont val="Trebuchet MS"/>
        <b/>
        <color theme="1"/>
        <sz val="9.0"/>
      </rPr>
      <t>20/03/23 - O certificado não será renovado.</t>
    </r>
    <r>
      <rPr>
        <rFont val="Trebuchet MS"/>
        <color theme="1"/>
        <sz val="9.0"/>
      </rPr>
      <t xml:space="preserve">
-
20/12 - Etiquetas entregues no fornecedor na China, tracking FedEx: 815660002845.
22/10 - Certificado de homologação emitido.</t>
    </r>
    <r>
      <rPr>
        <rFont val="Trebuchet MS"/>
        <b/>
        <color theme="1"/>
        <sz val="9.0"/>
      </rPr>
      <t xml:space="preserve">
</t>
    </r>
    <r>
      <rPr>
        <rFont val="Trebuchet MS"/>
        <color theme="1"/>
        <sz val="9.0"/>
      </rPr>
      <t>21/10 - Processo cadastrado na Anatel.
27/09 - Testes foram finalizados, em análise da OCD para submissão a Anatel.
20/09 - Amostra entregue no laboratório nesta data.
03/09 - Amostras chegam dia 08 via Fedex. Agenda do laboratório recebida: previsão de Início dos ensaios: 21/0, previsão de entrega dos relatórios: 27/09. Finalização prevista para 19/11.
31/08 - Amostras enviadas hoje para o Brasil, tracking 774680190808, previsão de chegada 08/09. Previsão de finalização da homologação: 22/11.
18/08 - Previsão de envio das amostras: 03/09. Produção em paralelo. Previsão finalização da homologação: 22/11.
13/08 - Vincent confirmou que não será a mesma placa do PI4461Y. Aguardando informação sobre prontidão das amostras.</t>
    </r>
  </si>
  <si>
    <t>MT-5730/2021</t>
  </si>
  <si>
    <t>14341-21-12562</t>
  </si>
  <si>
    <t>Produto homologado pela Anatel: Nº Homologação 14341-21-12562</t>
  </si>
  <si>
    <t>PI5178Y</t>
  </si>
  <si>
    <t>Smarti-Tech</t>
  </si>
  <si>
    <t>AROMATIZADOR E UMIDIFICADOR MONTANHA</t>
  </si>
  <si>
    <r>
      <rPr>
        <rFont val="Trebuchet MS"/>
        <b/>
        <color theme="1"/>
        <sz val="9.0"/>
      </rPr>
      <t xml:space="preserve">19/08/22 - Certificado encerrado.
</t>
    </r>
    <r>
      <rPr>
        <rFont val="Trebuchet MS"/>
        <b val="0"/>
        <color theme="1"/>
        <sz val="9.0"/>
      </rPr>
      <t xml:space="preserve">-
30/11 - Certificado de conformidade emitido.
28/10 - Vincent informou que a previsão de finalização da MP é 10/12.
27/10 - Testes ok, avisei que MP pode ser iniciada.
09/10 - Previsão de finalização dos testes laboratoriais: 20/10.
22/09 - Testes iniciados em 22/09, previsão de finalização: 25/10. Previsão de entrega no CD: 14/03.
14/09 - Auditoria e coleta agendadas para 17/09. Previsão de finalização da certificação: 19/11. Previsão de chegada no CD: 17/03.
03/09 - Leadtime: 45 dias, finalizando a análise dos testes no dia 15/10 (previsão), estaria no CD por volta de 8/3.
01/09 - Coleta das amostras será feita no dia 08/09. Aguardando confirmação de ready date, mas considerando 60 dias de leadtime, chegaria no CD dia 20/02.
24/08 - Previsão prontidão amostra final: 30/08, previsão de início de MP: 06/10. Questionado ao Vincent o ready date da carga.
18/08 - Amostras estarão prontas em 17/09, solicitei o contato na fábrica para agendarmos a auditoria e coleta dos itens.
16/08 - Fred informou que o fornecedor pode passar pela auditoria, vamos dar sequência na certificação.
</t>
    </r>
    <r>
      <rPr>
        <rFont val="Trebuchet MS"/>
        <b/>
        <color theme="1"/>
        <sz val="9.0"/>
      </rPr>
      <t xml:space="preserve">
Verificar sobre processo de Qualidade do fornecedor</t>
    </r>
  </si>
  <si>
    <t>7141/2021-ELE-1</t>
  </si>
  <si>
    <t>Certificação INMETRO:Produto certificado por BRICS OCP 0098 Nº Certificado 7141/2021-ELE-1</t>
  </si>
  <si>
    <t>PI5132Y</t>
  </si>
  <si>
    <t>HEADPHONE BLUETOOTH FITDANCE HIT E BEAT</t>
  </si>
  <si>
    <r>
      <rPr>
        <rFont val="Trebuchet MS"/>
        <b/>
        <color theme="1"/>
        <sz val="9.0"/>
      </rPr>
      <t>20/03/23 - O certificado não será renovado.</t>
    </r>
    <r>
      <rPr>
        <rFont val="Trebuchet MS"/>
        <color theme="1"/>
        <sz val="9.0"/>
      </rPr>
      <t xml:space="preserve">
-
05/11 - Certificado de Homologação emitido.
13/10 - Processo cadastrado na Anatel.
30/09 - Relatório dos ensaios recebido, sendo analisado pela OCD para submissão a Anatel.
21/09 - Amostra entregue no laboratório.
14/09 - Item será entregue no lab segunda-feira. Previsão de finalização da homologação: 20/11.
31/08 - O envio das amostras foi postergado, pois estavam com problemas de funcionamento. Aguardando previsão da China. Se enviadas semana que vem, previsão de finalização da homologação fica para 26/12.
16/08 - Confirmado que o modelo da placa não é o mesmo utilizado para os fones da Puket, ready date estimado das amostras:30/08. 30/08. Finalização homologação: 11/11. Produção em paralelo.</t>
    </r>
  </si>
  <si>
    <t>MT-5689/2021</t>
  </si>
  <si>
    <t>13472-21-11617</t>
  </si>
  <si>
    <t>Produto homologado pela Anatel: Nº homologação 13472-21-11617</t>
  </si>
  <si>
    <t>PI5229Y</t>
  </si>
  <si>
    <t>2022 - FAT04</t>
  </si>
  <si>
    <t>FONTE DE CHOCOLATE 127V MINHAS FONTES</t>
  </si>
  <si>
    <r>
      <rPr>
        <rFont val="Trebuchet MS"/>
        <b/>
        <color theme="1"/>
        <sz val="9.0"/>
      </rPr>
      <t>20/09/22 - Certificado encerrado.</t>
    </r>
    <r>
      <rPr>
        <rFont val="Trebuchet MS"/>
        <color theme="1"/>
        <sz val="9.0"/>
      </rPr>
      <t xml:space="preserve">
-
17/08 - Planejamento: não teremos recompra do item, previsão finalização estoque rede e CD: maio/2023.
16/12 - Certificado de conformidade emitido.
06/12 - Finalização dos ensaios prevista para 15/12.
19/11 Inicio dos testes lab. 12/11 pagamento fatura STU, porem deu problema no banco com o envio.                                                   
 11/11 - Auditoria e coleta serão feitas amanhã, 12/11. Amostras serão entregues no laboratório em 15/11. Recebemos a Invoice e colocamos para pagamento ainda esta semana.
10/11 - Auditoria e coleta das amostras prevista para dia 10/11. 
04/11 - Amostras estarão ok para coleta dia 08/11. Brics está ciente.
Aguardando documentos - amostras estarão prontas dia 25/10.
Vamos seguir com a produção em paralelo aos testes.
Ready sate SKU Schedule: 28/12
Ready date com certificação: 28/01 - QC Feriado chinês?
Checar com Fred</t>
    </r>
  </si>
  <si>
    <t>7333-2021-ELE-1</t>
  </si>
  <si>
    <t>Certificação INMETRO:Produto certificado por BRICS OCP 0098 Nº Certificado 7333-2021-ELE-1</t>
  </si>
  <si>
    <t>PI5230Y</t>
  </si>
  <si>
    <t>FONTE DE CHOCOLATE 220V MINHAS FONTES</t>
  </si>
  <si>
    <r>
      <rPr>
        <rFont val="Trebuchet MS"/>
        <b/>
        <color theme="1"/>
        <sz val="9.0"/>
      </rPr>
      <t>20/09/22 - Certificado encerrado.</t>
    </r>
    <r>
      <rPr>
        <rFont val="Trebuchet MS"/>
        <color theme="1"/>
        <sz val="9.0"/>
      </rPr>
      <t xml:space="preserve">
-
17/08 - Planejamento: não teremos recompra do item, previsão finalização estoque rede e CD: maio/2023.
16/12 - Certificado de conformidade emitido.
06/12 - Finalização dos ensaios prevista para 15/12.
19/11 Inicio dos testes lab. 12/11 pagamento fatura STU, porem deu problema no banco com o envio.                                                   
11/11 - Auditoria e coleta serão feitas amanhã, 12/11. Amostras serão entregues no laboratório em 15/11. Recebemos a Invoice e colocamos para pagamento ainda esta semana.
10/11 - Auditoria e coleta das amostras prevista para dia 10/11. 
04/11 - Amostras estarão ok para coleta dia 08/11. Brics está ciente.
Aguardando documentos - amostras estarão prontas dia 25/10.
Vamos seguir com a produção em paralelo aos testes.
Ready sate SKU Schedule: 28/12
Ready date com certificação: 28/01 - QC Feriado chinês?
Checar com Fred</t>
    </r>
  </si>
  <si>
    <t>PI5231Y</t>
  </si>
  <si>
    <t>FONDUE ELETRICO COM JOGO SE JOGA</t>
  </si>
  <si>
    <r>
      <rPr>
        <rFont val="Trebuchet MS"/>
        <b/>
        <color theme="1"/>
        <sz val="9.0"/>
      </rPr>
      <t xml:space="preserve">20/09/22 - Certificado encerrado.
</t>
    </r>
    <r>
      <rPr>
        <rFont val="Trebuchet MS"/>
        <color theme="1"/>
        <sz val="9.0"/>
      </rPr>
      <t xml:space="preserve">-
20/09 - Brics: processos finalizados ontem, encaminhados para coordenação, liberação das cartas deve ocorrer entre hoje e amanhã.
</t>
    </r>
    <r>
      <rPr>
        <rFont val="Trebuchet MS"/>
        <i/>
        <color theme="1"/>
        <sz val="9.0"/>
      </rPr>
      <t xml:space="preserve">06/09/22 - Item não será recomprado, seguiremos com o encerramento.
</t>
    </r>
    <r>
      <rPr>
        <rFont val="Trebuchet MS"/>
        <color theme="1"/>
        <sz val="9.0"/>
      </rPr>
      <t xml:space="preserve">16/12 - Certificado de conformidade emitido.
06/12 - Finalização do ensaios prevista para 15/12.
11/11 - Auditoria e coleta serão feitas amanhã, 12/11. Amostras serão entregues no laboratório em 15/11. Recebemos a Invoice e colocamos para pagamento ainda esta semana.
10/11 - Auditoria e coleta das amostras prevista para dia 10/11. 
04/11 - Amostras estarão ok para coleta dia 08/11. Brics está ciente.
</t>
    </r>
    <r>
      <rPr>
        <rFont val="Trebuchet MS"/>
        <b/>
        <color theme="1"/>
        <sz val="9.0"/>
      </rPr>
      <t xml:space="preserve">
</t>
    </r>
    <r>
      <rPr>
        <rFont val="Trebuchet MS"/>
        <color theme="1"/>
        <sz val="9.0"/>
      </rPr>
      <t>Aguardando documentos - amostras estarão prontas dia 25/10.
Vamos seguir com a produção em paralelo aos testes.
Ready sate SKU Schedule: 28/12
Ready date com certificação: 28/01 - QC Feriado chinês?
Checar com Fred</t>
    </r>
  </si>
  <si>
    <t>7333-2021-ELE-2</t>
  </si>
  <si>
    <t>Certificação INMETRO:Produto certificado por BRICS OCP 0098 Nº Certificado 7333-2021-ELE-2</t>
  </si>
  <si>
    <t>PI5269Y</t>
  </si>
  <si>
    <t>TORRADEIRA 127V BEATLES ALL YOU NEED</t>
  </si>
  <si>
    <r>
      <rPr>
        <rFont val="Trebuchet MS"/>
        <b/>
        <color theme="1"/>
        <sz val="9.0"/>
      </rPr>
      <t xml:space="preserve">20/09/22 - Certificado encerrado.
</t>
    </r>
    <r>
      <rPr>
        <rFont val="Trebuchet MS"/>
        <color theme="1"/>
        <sz val="9.0"/>
      </rPr>
      <t xml:space="preserve">-
20/09 - Brics: processos finalizados ontem, encaminhados para coordenação, liberação das cartas deve ocorrer entre hoje e amanhã.
</t>
    </r>
    <r>
      <rPr>
        <rFont val="Trebuchet MS"/>
        <i/>
        <color theme="1"/>
        <sz val="9.0"/>
      </rPr>
      <t xml:space="preserve">06/09/22 - Item não será recomprado, seguiremos com o encerramento.
</t>
    </r>
    <r>
      <rPr>
        <rFont val="Trebuchet MS"/>
        <color theme="1"/>
        <sz val="9.0"/>
      </rPr>
      <t>02/12 - Certificado de conformidade emitido.
09/11 - Brics conversou com o laboratório, e vão finalizar os testes antes do dia 25 (mas não especificaram data).
05/11 - Fion informou que, iniciando os testes no dia 30/11, mp finalizaria em 20/01 no mínimo (e fábrica fecha para CNY no dia 22/01)
04/11 - Testes iniciaram ontem (03/11) e previsão de finalização é 25/11.
29/09 - Auditoria ocorreu bem e as amostras já estão no laboratório. Faremos o pagamento para a STU hoje. Aguardando previsão de finalização.</t>
    </r>
  </si>
  <si>
    <t>7285/2021-ELE-1</t>
  </si>
  <si>
    <t>Certificação INMETRO:Produto certificado por BRICS OCP 0098 Nº Certificado 7285/2021-ELE-1</t>
  </si>
  <si>
    <t>PI5270Y</t>
  </si>
  <si>
    <t>TORRADEIRA 220V BEATLES ALL YOU NEED</t>
  </si>
  <si>
    <r>
      <rPr>
        <rFont val="Trebuchet MS"/>
        <b/>
        <color theme="1"/>
        <sz val="9.0"/>
      </rPr>
      <t xml:space="preserve">20/09/22 - Certificado encerrado.
</t>
    </r>
    <r>
      <rPr>
        <rFont val="Trebuchet MS"/>
        <color theme="1"/>
        <sz val="9.0"/>
      </rPr>
      <t xml:space="preserve">-
20/09 - Brics: processos finalizados ontem, encaminhados para coordenação, liberação das cartas deve ocorrer entre hoje e amanhã.
</t>
    </r>
    <r>
      <rPr>
        <rFont val="Trebuchet MS"/>
        <i/>
        <color theme="1"/>
        <sz val="9.0"/>
      </rPr>
      <t xml:space="preserve">06/09/22 - Item não será recomprado, seguiremos com o encerramento.
</t>
    </r>
    <r>
      <rPr>
        <rFont val="Trebuchet MS"/>
        <color theme="1"/>
        <sz val="9.0"/>
      </rPr>
      <t>02/12 - Certificado de conformidade emitido.
09/11 - Brics conversou com o laboratório, e vão finalizar os testes antes do dia 25 (mas não especificaram data).
05/11 - Fion informou que, iniciando os testes no dia 30/11, mp finalizaria em 20/01 no mínimo (e fábrica fecha para CNY no dia 22/01)
04/11 - Testes iniciaram ontem (03/11) e previsão de finalização é 25/11.
29/09 - Auditoria ocorreu bem e as amostras já estão no laboratório. Faremos o pagamento para a STU hoje. Aguardando previsão de finalização.</t>
    </r>
  </si>
  <si>
    <t>PI4338Y</t>
  </si>
  <si>
    <t>2020 - FAT07</t>
  </si>
  <si>
    <t>CARREGADOR PORTATIL ENERGIA POSITIVA</t>
  </si>
  <si>
    <r>
      <rPr>
        <rFont val="Trebuchet MS"/>
        <b/>
        <color theme="1"/>
        <sz val="9.0"/>
      </rPr>
      <t xml:space="preserve">09/06/23 - O certificado não será renovado.
-
26/10 - Certificado de homologação Anatel emitido.
</t>
    </r>
    <r>
      <rPr>
        <rFont val="Trebuchet MS"/>
        <color theme="1"/>
        <sz val="9.0"/>
      </rPr>
      <t>06/10 - Processo cadastrado na Anatel.</t>
    </r>
  </si>
  <si>
    <t>MT-5720/2021</t>
  </si>
  <si>
    <t>14290-21-12562</t>
  </si>
  <si>
    <t>Produto homologado pela Anatel: Nº Homologação 14290-21-12562</t>
  </si>
  <si>
    <t>PI4278Y</t>
  </si>
  <si>
    <t>CARREGADOR PORTATIL PERSONALIZAVEL PINOS</t>
  </si>
  <si>
    <r>
      <rPr>
        <rFont val="Trebuchet MS"/>
        <b/>
        <color theme="1"/>
        <sz val="9.0"/>
      </rPr>
      <t>20/03/23 - O certificado não será renovado.</t>
    </r>
    <r>
      <rPr>
        <rFont val="Trebuchet MS"/>
        <color theme="1"/>
        <sz val="9.0"/>
      </rPr>
      <t xml:space="preserve">
-
26/10 - Certificado de homologação Anatel emitido.
06/10 - Processo cadastrado na Anatel.</t>
    </r>
  </si>
  <si>
    <t>MT-5716/2021</t>
  </si>
  <si>
    <t>14286-21-12562</t>
  </si>
  <si>
    <t>Produto homologado pela Anatel: Nº Homologação 14286-21-12562</t>
  </si>
  <si>
    <t>PI4720Y</t>
  </si>
  <si>
    <t>CARREGADOR PORTATIL E ESPELHO FILTRO</t>
  </si>
  <si>
    <r>
      <rPr>
        <rFont val="Trebuchet MS"/>
        <b/>
        <color theme="1"/>
        <sz val="9.0"/>
      </rPr>
      <t>20/03/23 - O certificado não será renovado.</t>
    </r>
    <r>
      <rPr>
        <rFont val="Trebuchet MS"/>
        <color theme="1"/>
        <sz val="9.0"/>
      </rPr>
      <t xml:space="preserve">
-
26/10 - Certificado de homologação Anatel emitido.
06/10 - Processo cadastrado na Anatel.</t>
    </r>
  </si>
  <si>
    <t>MT-5717/2021</t>
  </si>
  <si>
    <t>14287-21-12562</t>
  </si>
  <si>
    <t>Produto homologado pela Anatel: Nº Homologação 14287-21-12562</t>
  </si>
  <si>
    <t>PI4392Y</t>
  </si>
  <si>
    <t>CARREGADOR PORTATIL CARGA INSTANTANEA</t>
  </si>
  <si>
    <r>
      <rPr>
        <rFont val="Trebuchet MS"/>
        <b/>
        <color theme="1"/>
        <sz val="9.0"/>
      </rPr>
      <t>20/03/23 - O certificado não será renovado.</t>
    </r>
    <r>
      <rPr>
        <rFont val="Trebuchet MS"/>
        <color theme="1"/>
        <sz val="9.0"/>
      </rPr>
      <t xml:space="preserve">
-
05/11 - Certificado de homologação Anatel emitido.
07/10 - Processo cadastrado na Anatel.</t>
    </r>
  </si>
  <si>
    <t>MT-5718/2021</t>
  </si>
  <si>
    <t>14288-21-12562</t>
  </si>
  <si>
    <t>Produto homologado pela Anatel: Nº Homologação 14288-21-12562</t>
  </si>
  <si>
    <t>PI4778Y</t>
  </si>
  <si>
    <t>CARREGADOR PORTATIL LIMAO</t>
  </si>
  <si>
    <r>
      <rPr>
        <rFont val="Trebuchet MS"/>
        <b/>
        <color theme="1"/>
        <sz val="9.0"/>
      </rPr>
      <t>27/10/23 - O certificado não será renovado.</t>
    </r>
    <r>
      <rPr>
        <rFont val="Trebuchet MS"/>
        <b val="0"/>
        <color theme="1"/>
        <sz val="9.0"/>
      </rPr>
      <t xml:space="preserve">
-
03/02 - Certificado de homologação Anatel emitido.
14/01 - Certificado cadastrado no portal da Anatel nesta data.
Finalização dos ensaios e envio do relatório prevista para 19/11.
</t>
    </r>
    <r>
      <rPr>
        <rFont val="Trebuchet MS"/>
        <b/>
        <color theme="1"/>
        <sz val="9.0"/>
      </rPr>
      <t xml:space="preserve">
</t>
    </r>
    <r>
      <rPr>
        <rFont val="Trebuchet MS"/>
        <b val="0"/>
        <i/>
        <color theme="1"/>
        <sz val="9.0"/>
      </rPr>
      <t>O requisito considerou o aproveitamento dos itens 7.2.1 - Carregamento contínuo em tensão constante e 7.3.4 - Abuso térmico do Ato nº 3484, de 31 de maio de 2019</t>
    </r>
  </si>
  <si>
    <t>MT-5826/2021</t>
  </si>
  <si>
    <t>PI5398Y</t>
  </si>
  <si>
    <t>2022 - FAT08</t>
  </si>
  <si>
    <t>CANETA LED E GLITTER ESCREVA OU DESENHE</t>
  </si>
  <si>
    <t>20 Amostras</t>
  </si>
  <si>
    <r>
      <rPr>
        <rFont val="Trebuchet MS"/>
        <b/>
        <color theme="1"/>
        <sz val="9.0"/>
      </rPr>
      <t xml:space="preserve">16/02/23 - O certificado não será renovado.
</t>
    </r>
    <r>
      <rPr>
        <rFont val="Trebuchet MS"/>
        <b val="0"/>
        <color theme="1"/>
        <sz val="9.0"/>
      </rPr>
      <t>-
12/08 - Número de Registro concedido: 008542/2022. ETA CD: 11/11/22. Produtos já estão etiquetados.
03/08 - Solicitado o Registro ao Inmetro.
27/07 - Certificado de Conformidade emitido nesta data. Seguiremos com a solicitação do Número de Registro ao Inmetro. Previsão: 29/08. Chegada prevista no CD 05/12.
22/07 - Aguardando emissão do certificado previsto para 26/07.
13/07 - Processo da família 2 aprovado nos ensaios. Informado à China para início de produção, aguardando ready date e atualização de FAT.
05/07 - Ensaios complementares finalizados, aguardando retorno do OCP quanto ao resultado.
05/06 - Amostras complemenatares enviadas: 777005251844.
02/05 - NC no Laudo de testes - passagem de ar.
07/04 - Finalização dos ensaios prevista para 22/04.
31/03 - Amostras enviadas ao laboratório.
18/03 - Amostras recebidas, FedEx 776257217330.
Previsão de envio das amostras para o Brasil: 03/03.</t>
    </r>
  </si>
  <si>
    <t>Produto (selo Inmetro + advertências)</t>
  </si>
  <si>
    <t>7661/2022-AE-2</t>
  </si>
  <si>
    <t>008542/2022</t>
  </si>
  <si>
    <t>Certificação INMETRO:Produto certificado por BRICS OCP 0098 Nº Registro 008542/2022</t>
  </si>
  <si>
    <t>PI5415Y</t>
  </si>
  <si>
    <t>KIT CANETAS MARCA TEXTO VAMOS MARCAR</t>
  </si>
  <si>
    <r>
      <rPr>
        <rFont val="Trebuchet MS"/>
        <b/>
        <color theme="1"/>
        <sz val="9.0"/>
      </rPr>
      <t xml:space="preserve">16/02/23 - O certificado não será renovado.
</t>
    </r>
    <r>
      <rPr>
        <rFont val="Trebuchet MS"/>
        <color theme="1"/>
        <sz val="9.0"/>
      </rPr>
      <t xml:space="preserve">-
</t>
    </r>
    <r>
      <rPr>
        <rFont val="Trebuchet MS"/>
        <b/>
        <color theme="1"/>
        <sz val="9.0"/>
      </rPr>
      <t xml:space="preserve">14/08 - Previsão de chegada no CD: 22/08. Retrabalho alinhado com a Qualidade.
</t>
    </r>
    <r>
      <rPr>
        <rFont val="Trebuchet MS"/>
        <color theme="1"/>
        <sz val="9.0"/>
      </rPr>
      <t>13/06 - Registro concedido: 006411/2022. Solicitando arquivo de etiqueta.
24/05 - Emitido o Certificado de Conformidade. Aguardando publicação no prodcert para solicitação do número de Registro.
06/05 - Enviada embalagem para resolução da NC do Laudo de testes. Aguardando ok da Brics. Foi dado o ok para o início da produção.
07/04 - Finalização dos ensaios prevista para 22/04.
31/03 - Amostras enviadas ao laboratório.
18/03 - Amostras recebidas, FedEx 776257217330.
Previsão de envio das amostras para o Brasil: 03/03.</t>
    </r>
  </si>
  <si>
    <t>7661/2022-AE-1</t>
  </si>
  <si>
    <t>006411/2022</t>
  </si>
  <si>
    <t>Certificação INMETRO:Produto certificado por BRICS OCP 0098 Nº Registro 006411/2022</t>
  </si>
  <si>
    <t>PI5393Y</t>
  </si>
  <si>
    <t>2022 - FAT10</t>
  </si>
  <si>
    <t>CAIXA DE SOM SEM FIO CORAL</t>
  </si>
  <si>
    <r>
      <rPr>
        <rFont val="Trebuchet MS"/>
        <b/>
        <color theme="1"/>
        <sz val="9.0"/>
      </rPr>
      <t xml:space="preserve">01/03/24 - Não seguiremos com a manutenção, aguardando o certificado expirar.
</t>
    </r>
    <r>
      <rPr>
        <rFont val="Trebuchet MS"/>
        <color theme="1"/>
        <sz val="9.0"/>
      </rPr>
      <t>14/07 - Certificado de Homologação emitido.</t>
    </r>
    <r>
      <rPr>
        <rFont val="Trebuchet MS"/>
        <b/>
        <color theme="1"/>
        <sz val="9.0"/>
      </rPr>
      <t xml:space="preserve">
</t>
    </r>
    <r>
      <rPr>
        <rFont val="Trebuchet MS"/>
        <color theme="1"/>
        <sz val="9.0"/>
      </rPr>
      <t>06/07 - Documentos finais para submissão serão enviados esta semana. Previsão de finalização da homologação: 16/08.
02/06 - Laudos recebidos.
08/04 - Amostras enviadas, AWB 776526141846. Previsão de entrega: 18/04.
Vincent informou que ainda precisam avaliar melhoramentos na placa para aplicação do teste de segurança.</t>
    </r>
  </si>
  <si>
    <t>SHENZHEN MICRO STAR ELECTRONIC TECHNOLOGY CO.,
LTD.</t>
  </si>
  <si>
    <t>MT-5970/2022</t>
  </si>
  <si>
    <t>09043-22-14683</t>
  </si>
  <si>
    <t>Este
 produto contém a placa PI5393Y código de homologação ANATEL: 09043-22-14683</t>
  </si>
  <si>
    <t>PI5444Y</t>
  </si>
  <si>
    <t>CAIXA DE SOM SEM FIO LILAS</t>
  </si>
  <si>
    <r>
      <rPr>
        <rFont val="Trebuchet MS"/>
        <b/>
        <color theme="1"/>
        <sz val="9.0"/>
      </rPr>
      <t xml:space="preserve">01/03/24 - Não seguiremos com a manutenção, aguardando o certificado expirar.
</t>
    </r>
    <r>
      <rPr>
        <rFont val="Trebuchet MS"/>
        <color theme="1"/>
        <sz val="9.0"/>
      </rPr>
      <t>14/07 - Certificado de Homologação emitido.</t>
    </r>
    <r>
      <rPr>
        <rFont val="Trebuchet MS"/>
        <b/>
        <color theme="1"/>
        <sz val="9.0"/>
      </rPr>
      <t xml:space="preserve">
</t>
    </r>
    <r>
      <rPr>
        <rFont val="Trebuchet MS"/>
        <color theme="1"/>
        <sz val="9.0"/>
      </rPr>
      <t>06/07 - Documentos finais para submissão serão enviados esta semana. Previsão de finalização da homologação: 16/08.
02/06 - Laudos recebidos.
08/04 - Amostras enviadas, AWB 776526141846. Previsão de entrega: 18/04.</t>
    </r>
    <r>
      <rPr>
        <rFont val="Trebuchet MS"/>
        <b/>
        <color theme="1"/>
        <sz val="9.0"/>
      </rPr>
      <t xml:space="preserve">
</t>
    </r>
    <r>
      <rPr>
        <rFont val="Trebuchet MS"/>
        <color theme="1"/>
        <sz val="9.0"/>
      </rPr>
      <t xml:space="preserve">
Vincent informou que ainda precisam avaliar melhoramentos na placa para aplicação do teste de segurança.</t>
    </r>
  </si>
  <si>
    <t>SHENZHEN MICRO STAR ELECTRONIC TECHNOLOGY CO.,
LTD.</t>
  </si>
  <si>
    <t>Este produto contém a placa PI5393Y código de homologação ANATEL: 09043-22-14683</t>
  </si>
  <si>
    <t>PI5445Y</t>
  </si>
  <si>
    <t>CAIXA DE SOM SEM FIO AZUL</t>
  </si>
  <si>
    <r>
      <rPr>
        <rFont val="Trebuchet MS"/>
        <b/>
        <color theme="1"/>
        <sz val="9.0"/>
      </rPr>
      <t xml:space="preserve">01/03/24 - Não seguiremos com a manutenção, aguardando o certificado expirar.
</t>
    </r>
    <r>
      <rPr>
        <rFont val="Trebuchet MS"/>
        <color theme="1"/>
        <sz val="9.0"/>
      </rPr>
      <t>14/07 - Certificado de Homologação emitido.</t>
    </r>
    <r>
      <rPr>
        <rFont val="Trebuchet MS"/>
        <b/>
        <color theme="1"/>
        <sz val="9.0"/>
      </rPr>
      <t xml:space="preserve">
</t>
    </r>
    <r>
      <rPr>
        <rFont val="Trebuchet MS"/>
        <color theme="1"/>
        <sz val="9.0"/>
      </rPr>
      <t>06/07 - Documentos finais para submissão serão enviados esta semana. Previsão de finalização da homologação: 16/08.
02/06 - Laudos recebidos.
08/04 - Amostras enviadas, AWB 776526141846. Previsão de entrega: 18/04.
Vincent informou que ainda precisam avaliar melhoramentos na placa para aplicação do teste de segurança.</t>
    </r>
  </si>
  <si>
    <t>PI5555Y</t>
  </si>
  <si>
    <t>VITROLA DE MALA SEM FIO POR DO SOL</t>
  </si>
  <si>
    <r>
      <rPr>
        <rFont val="Trebuchet MS"/>
        <b/>
        <color theme="1"/>
        <sz val="9.0"/>
      </rPr>
      <t xml:space="preserve">12/03/25 - Manutenção finalizada.
</t>
    </r>
    <r>
      <rPr>
        <rFont val="Trebuchet MS"/>
        <color theme="1"/>
        <sz val="9.0"/>
      </rPr>
      <t>14/03 - Aguardando finalização dos testes, previsto para 31/03.</t>
    </r>
    <r>
      <rPr>
        <rFont val="Trebuchet MS"/>
        <b/>
        <color theme="1"/>
        <sz val="9.0"/>
      </rPr>
      <t xml:space="preserve">
</t>
    </r>
    <r>
      <rPr>
        <rFont val="Trebuchet MS"/>
        <color theme="1"/>
        <sz val="9.0"/>
      </rPr>
      <t xml:space="preserve">27/02 - Aguardando finalização dos testes, previsto para 31/03.
10/02 - Amostras chegaram no Bruno, aguardando documentos do Sourcing.
09/02 - Previsão de entrega das amostras: 10/02.
06/02 - Pedido colocado, aguardando faturamento.
17/01 - Cotando os valores de testes.
10/01 - Vamos seguir com a manutenção.
22/06 - </t>
    </r>
    <r>
      <rPr>
        <rFont val="Trebuchet MS"/>
        <i/>
        <color theme="1"/>
        <sz val="9.0"/>
      </rPr>
      <t>Retorno Master</t>
    </r>
    <r>
      <rPr>
        <rFont val="Trebuchet MS"/>
        <color theme="1"/>
        <sz val="9.0"/>
      </rPr>
      <t>: Conforme conversamos sendo que trata-se de uma certificação modular e o novo equipamento utilizará o mesmo módulo já homologado, entendo que não será necessário alterações no certificado, basta que o equipamento novo esteja devidamente identificado conforme as normativas da Anatel.
19/05 - Será utilizado a certificação do modelo ST226A, estamos aguardando a fase de amostras para receber uma foto da placa dentro do produto e seguirmos com a inclusão.</t>
    </r>
  </si>
  <si>
    <t>SHENNZHEN BELON TECHNOLOGY CO., LTD
ROOM 1206-07, R&amp;D BUILDING, TSINGHUA INFORMATION No 518052 CHINA</t>
  </si>
  <si>
    <t>MODERNA-0891/23</t>
  </si>
  <si>
    <t>PI5558Y</t>
  </si>
  <si>
    <t>New Tech Development Co., Ltd.</t>
  </si>
  <si>
    <t>KARAOKE PORTATIL 2 MIC ALTO E BOM TOM</t>
  </si>
  <si>
    <r>
      <rPr>
        <rFont val="Trebuchet MS"/>
        <b/>
        <color theme="1"/>
        <sz val="9.0"/>
      </rPr>
      <t xml:space="preserve">03/06/24 - Recebemos o certificado de homologação ANATEL, manutenção concluída.
</t>
    </r>
    <r>
      <rPr>
        <rFont val="Trebuchet MS"/>
        <color theme="1"/>
        <sz val="9.0"/>
      </rPr>
      <t>06/05/24 - Recebemos o certificado de conformidade de manutenção, aguardando submissão no sistema da ANATEL;</t>
    </r>
    <r>
      <rPr>
        <rFont val="Trebuchet MS"/>
        <b/>
        <color theme="1"/>
        <sz val="9.0"/>
      </rPr>
      <t xml:space="preserve">
</t>
    </r>
    <r>
      <rPr>
        <rFont val="Trebuchet MS"/>
        <color theme="1"/>
        <sz val="9.0"/>
      </rPr>
      <t>12/02/24 - Esse item está sendo recomprado, confirmar a recompra e fazer manutenção quando chegar a hora.</t>
    </r>
    <r>
      <rPr>
        <rFont val="Trebuchet MS"/>
        <b/>
        <color theme="1"/>
        <sz val="9.0"/>
      </rPr>
      <t xml:space="preserve">
</t>
    </r>
    <r>
      <rPr>
        <rFont val="Trebuchet MS"/>
        <color theme="1"/>
        <sz val="9.0"/>
      </rPr>
      <t>28/07 - Certificado de homologação emitido nesta data. Previsão de chegada CD: 05/10.</t>
    </r>
    <r>
      <rPr>
        <rFont val="Trebuchet MS"/>
        <b/>
        <color theme="1"/>
        <sz val="9.0"/>
      </rPr>
      <t xml:space="preserve">
</t>
    </r>
    <r>
      <rPr>
        <rFont val="Trebuchet MS"/>
        <color theme="1"/>
        <sz val="9.0"/>
      </rPr>
      <t>27/07 - CCT aprovado, processo será submetido hoje à Anatel.
22/07 - Testes finalizados, laudos estão de acordo. Enviando demais documentos para emissão do CCT e submissão à Anatel.
06/07 - Previsão de finalização dos testes: 22/07. Finalização da homologação prevista para 01/09, chegada 05/10 (deve mudar, sem processo).
05/07 - Configuração finalizada. Aguardando cotações dos ensaios para definição do laboratório.
02/06 - Amostras enviadas via DHL, tracking 8060435025.
17/05 - Documentos recebidos, amostras estarão prontas dia 25/05</t>
    </r>
  </si>
  <si>
    <t>MODERNA-0200/22</t>
  </si>
  <si>
    <t>10583-22-13782</t>
  </si>
  <si>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10583-22-13782.
Para maiores informações, consulte o site da ANATEL em </t>
    </r>
    <r>
      <rPr>
        <rFont val="Trebuchet MS"/>
        <color rgb="FF1155CC"/>
        <sz val="9.0"/>
        <u/>
      </rPr>
      <t>www.anatel.gov.br</t>
    </r>
  </si>
  <si>
    <t>PI5575Y</t>
  </si>
  <si>
    <t>Suqian Cool Bear Trading Co., Ltd</t>
  </si>
  <si>
    <t>KIT RAQUETES BEACH TENNIS VAMO</t>
  </si>
  <si>
    <t>9 Amostras</t>
  </si>
  <si>
    <r>
      <rPr>
        <rFont val="Trebuchet MS"/>
        <b/>
        <color theme="1"/>
        <sz val="9.0"/>
      </rPr>
      <t xml:space="preserve">21/08/23 - Certificado encerrado.
</t>
    </r>
    <r>
      <rPr>
        <rFont val="Trebuchet MS"/>
        <color theme="1"/>
        <sz val="9.0"/>
      </rPr>
      <t>-
07/11 - Retrabalho finalizado.
18/08 - Concedido o Número de Registro nesta data: 008883/2022. Previsão de chegada CD 04/11.
15/08 - Solicitado o Número de Registro nesta data.
12/08 - Certificado de Conformidade emitido.
03/08 - Previsão de finalização dos testes informado pelo laboratório: 11/08.
01/08 - Amostras enviadas nesta data. Serena informou que até 04/08 fornecedor terá reunido toda a documentação para a auditoria.
25/07 - Serena: Because of the epidemic, factory audit and lab test were delayed and new date is 30-July. Tks. (Registro ok até 19/10, considerando 30 dias).
06/07 - Produção estará finalizada até 15/08. Coletando as amostras até o final da próxima semana, Registro estará ok 17/10.
05/07 - ISO 9001 do fabricante recebida. Instruímos a Brics a entrar em contato com a fábrica para agendar a auditoria e coleta, aguardando retorno.
28/06 - ISO 9001 do fabricante deve estar ok em 08/07. Produção corre em paralelo e previsão de finalização é início de Agosto.
06/06 - Previsão recebimento das amostras 16/06.
24/05 - Está sendo discutido o tamanho do item, após confirmação, fornecedor produzirá as amostras em 20 dias</t>
    </r>
  </si>
  <si>
    <t>8085/2022-BRI-1</t>
  </si>
  <si>
    <t>008883/2022</t>
  </si>
  <si>
    <t>Certificação INMETRO:Produto certificado por BRICS OCP 0098 Nº Registro 008883/2022</t>
  </si>
  <si>
    <t>PI5545Y</t>
  </si>
  <si>
    <t>RELOGIO SPEAKER LUZ GRADUAL MEU TEMPO</t>
  </si>
  <si>
    <t>0 Amostras</t>
  </si>
  <si>
    <r>
      <rPr>
        <rFont val="Trebuchet MS"/>
        <b/>
        <color theme="1"/>
        <sz val="9.0"/>
      </rPr>
      <t xml:space="preserve">08/07 - Certificado de Homologação emitido.
</t>
    </r>
    <r>
      <rPr>
        <rFont val="Trebuchet MS"/>
        <color theme="1"/>
        <sz val="9.0"/>
      </rPr>
      <t>06/07 - Minuta do CCT será enviada hoje. Previsão de finalização da homologação: 18/08.
24/06 - Confirmando a troca do certificado para OCD Moderna. 
22/06 - Certificação será a mesma do Relógio Beatles, e a MP seguirá em paralelo, leadtime 40 dias.</t>
    </r>
  </si>
  <si>
    <t>MODERNA-0089/22</t>
  </si>
  <si>
    <t>PI5968Y</t>
  </si>
  <si>
    <t>2023 - FAT02</t>
  </si>
  <si>
    <t>Toyland</t>
  </si>
  <si>
    <t>PELUCIA BORIS G</t>
  </si>
  <si>
    <t>CASA E DECORACAO</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</si>
  <si>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</si>
  <si>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Shenzhen Xinhongsheng Toy Manufacturing CO.,Ltd</t>
  </si>
  <si>
    <t>8325/2022-BRI-1</t>
  </si>
  <si>
    <t>011828/2022</t>
  </si>
  <si>
    <t>Certificação INMETRO:Produto certificado por BRICS OCP 0098 Nº Registro 011828/2022</t>
  </si>
  <si>
    <t>PI5969Y</t>
  </si>
  <si>
    <t>PELUCIA GURUMELO G</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</si>
  <si>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</si>
  <si>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PI5970Y</t>
  </si>
  <si>
    <t>PELUCIA DOMINIQUE G</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</si>
  <si>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</si>
  <si>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n/a</t>
  </si>
  <si>
    <t>SKU excluído</t>
  </si>
  <si>
    <t>PI5971Y</t>
  </si>
  <si>
    <t>PELUCIA MOCA G</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</si>
  <si>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</si>
  <si>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PI5972Y</t>
  </si>
  <si>
    <t>PELUCIA BISNAGA G</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</si>
  <si>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</si>
  <si>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PI5973Y</t>
  </si>
  <si>
    <t>PELUCIA BRINKS G</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</si>
  <si>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</si>
  <si>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PI5974Y</t>
  </si>
  <si>
    <t>PELUCIA GOKURURU G</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</si>
  <si>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</si>
  <si>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PI5975Y</t>
  </si>
  <si>
    <t>PELUCIA BORIS P</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</si>
  <si>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</si>
  <si>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PI5976Y</t>
  </si>
  <si>
    <t>PELUCIA GURUMELO P</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</si>
  <si>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</si>
  <si>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PI5977Y</t>
  </si>
  <si>
    <t>PELUCIA DOMINIQUE P</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</si>
  <si>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</si>
  <si>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PI5978Y</t>
  </si>
  <si>
    <t>PELUCIA BISNAGA P</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</si>
  <si>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</si>
  <si>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PI5979Y</t>
  </si>
  <si>
    <t>PELUCIA MOCA P</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</si>
  <si>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</si>
  <si>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PI5980Y</t>
  </si>
  <si>
    <t>PELUCIA CHLOELHO G</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</si>
  <si>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</si>
  <si>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PI5981Y</t>
  </si>
  <si>
    <t>PELUCIA BRINKS P</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</si>
  <si>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</si>
  <si>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PI5914Y</t>
  </si>
  <si>
    <t>PELUCIA MOZI CADEADO G</t>
  </si>
  <si>
    <t>06 Amostras</t>
  </si>
  <si>
    <r>
      <rPr>
        <rFont val="Trebuchet MS"/>
        <b/>
        <color theme="1"/>
        <sz val="9.0"/>
      </rPr>
      <t xml:space="preserve">25/11/24 -  Registro encerrado.
</t>
    </r>
    <r>
      <rPr>
        <rFont val="Trebuchet MS"/>
        <color theme="1"/>
        <sz val="9.0"/>
      </rPr>
      <t>09/01 - Inclusão do item realizada no certificado e sistema Orquestra.</t>
    </r>
    <r>
      <rPr>
        <rFont val="Trebuchet MS"/>
        <b/>
        <color theme="1"/>
        <sz val="9.0"/>
      </rPr>
      <t xml:space="preserve">
</t>
    </r>
    <r>
      <rPr>
        <rFont val="Trebuchet MS"/>
        <color theme="1"/>
        <sz val="9.0"/>
      </rPr>
      <t>07/12 - Encaminhado etiqueta.
01/12 - Produto: vamos cancelar neste FAT e deixar os desenvolvimentos em aberto para possível pedido no Natal, de acordo com o desempenho da primera coleção de Squishies.
29/11 - Previsão de finalização dos testes: 07/12.
08/10 - Amostras chegaram no laboratório Cobo.
31/10 - Item selecionado para teste: PI5914Y. Previsão ready date: 07/11, aguardando confirmação Sourcing.
25/10 - Será necessário fazer o teste pois o certificato terá 22 itens. Se a amostra for aprovada hoje, as amostras de certificação ficarão prontas dia 7/11. ETA CD 11/04.
18/10 - Fornecedor está preparando a primeira amostra com os elementos ajustados à pelúcia.
28/09 - Projeto enviado, aguardando informações para confirmação de inclusão no certificado de squishies.
31/08 - Aguardando envio do projeto, fornecedor ainda não está confirmado.
17/08 - Compra confirmada, aguardando envio do projeto</t>
    </r>
  </si>
  <si>
    <t>PI6073Y</t>
  </si>
  <si>
    <t>2023 - FAT08</t>
  </si>
  <si>
    <t>PELUCIA HARRY POTTER</t>
  </si>
  <si>
    <t>5 Amostras</t>
  </si>
  <si>
    <r>
      <rPr>
        <rFont val="Trebuchet MS"/>
        <b/>
        <color theme="1"/>
        <sz val="9.0"/>
      </rPr>
      <t xml:space="preserve">03/04 - Tarefa concluída, registro inativado. 
</t>
    </r>
    <r>
      <rPr>
        <rFont val="Trebuchet MS"/>
        <color theme="1"/>
        <sz val="9.0"/>
      </rPr>
      <t>28/02 - Inativação do registro solicitado no Orquestra.</t>
    </r>
    <r>
      <rPr>
        <rFont val="Trebuchet MS"/>
        <b/>
        <color theme="1"/>
        <sz val="9.0"/>
      </rPr>
      <t xml:space="preserve">
</t>
    </r>
    <r>
      <rPr>
        <rFont val="Trebuchet MS"/>
        <color theme="1"/>
        <sz val="9.0"/>
      </rPr>
      <t>09/02/24 - Solicitamos o encerramento do certificado.</t>
    </r>
    <r>
      <rPr>
        <rFont val="Trebuchet MS"/>
        <b/>
        <color theme="1"/>
        <sz val="9.0"/>
      </rPr>
      <t xml:space="preserve">
</t>
    </r>
    <r>
      <rPr>
        <rFont val="Trebuchet MS"/>
        <color theme="1"/>
        <sz val="9.0"/>
      </rPr>
      <t>19/04 - Registro saiu dia 14/04 e enviamos a instrução do selo no dia 17/04 para o designer.</t>
    </r>
    <r>
      <rPr>
        <rFont val="Trebuchet MS"/>
        <b/>
        <color theme="1"/>
        <sz val="9.0"/>
      </rPr>
      <t xml:space="preserve">
</t>
    </r>
    <r>
      <rPr>
        <rFont val="Trebuchet MS"/>
        <color theme="1"/>
        <sz val="9.0"/>
      </rPr>
      <t>29/03 - Brics informou que os ensaios ocorreram de acordo, repassamos a informação para a Penny. Estamos dentro do schedule, que prevê a emissão do certificado para dia 18 (para a Brics finalizar esta etapa precisamos a rotulagem finalizada).
07/03 - Amostras do PI6073Y foram enviadas ao laboratório.
06/02 - Enviado o cronograma do item. Previsão de prontidão das amostras: 15/03.
11/01 - Ju respondeu que o custo aprovado foi o da Toyland e Fred informou que seguirão com a Hesen. Confirmar.
10/01 - Mensagem na task de Sampling informando que seguirão com a amostra da Hesen. Pedi confirmação e informei os valores de processo inicial.
Inclusão no certificado de Squishies.</t>
    </r>
  </si>
  <si>
    <t>Taizhou Unisen Home Manufactory Co., Ltd.</t>
  </si>
  <si>
    <t>9142/2023-BRI-2</t>
  </si>
  <si>
    <t>002978/2023</t>
  </si>
  <si>
    <t>CS2155</t>
  </si>
  <si>
    <t>nacional</t>
  </si>
  <si>
    <t>QUEBRA CABECA FORMATO CORACAO</t>
  </si>
  <si>
    <t>09/09 - Entrega no CD agendada para 13~14/09.
Certificação gerada pelo fornecedor Colorgraf. 
Número de Registro: 002988/2021</t>
  </si>
  <si>
    <t>Embalagem + Manual (Inmetro)</t>
  </si>
  <si>
    <t>Certificado do fornecedor</t>
  </si>
  <si>
    <t>002988/2021</t>
  </si>
  <si>
    <t>Certificação INMETRO:Produto certificado por IGBQ 0003 Nº Registro 002988/2021</t>
  </si>
  <si>
    <t>PI5913Y</t>
  </si>
  <si>
    <t>PELUCIA MOZI CHAVE G</t>
  </si>
  <si>
    <r>
      <rPr>
        <rFont val="Trebuchet MS"/>
        <b/>
        <color theme="1"/>
        <sz val="9.0"/>
      </rPr>
      <t xml:space="preserve">25/11/24 -  Registro encerrado.
</t>
    </r>
    <r>
      <rPr>
        <rFont val="Trebuchet MS"/>
        <color theme="1"/>
        <sz val="9.0"/>
      </rPr>
      <t>09/01 - Inclusão do item realizada no certificado e sistema Orquestra.</t>
    </r>
    <r>
      <rPr>
        <rFont val="Trebuchet MS"/>
        <b/>
        <color theme="1"/>
        <sz val="9.0"/>
      </rPr>
      <t xml:space="preserve">
</t>
    </r>
    <r>
      <rPr>
        <rFont val="Trebuchet MS"/>
        <color theme="1"/>
        <sz val="9.0"/>
      </rPr>
      <t>07/12 - Encaminhado etiqueta.
01/12 - Produto: vamos cancelar neste FAT e deixar os desenvolvimentos em aberto para possível pedido no Natal, de acordo com o desempenho da primera coleção de Squishies.
29/11 - Previsão de finalização dos testes: 07/12.
08/10 - Amostras chegaram no laboratório Cobo.
31/10 - Item selecionado para teste: PI5914Y. Previsão ready date: 07/11, aguardando confirmação Sourcing.
25/10 - Será necessário fazer o teste pois o certificato terá 22 itens. Se a amostra for aprovada hoje, as amostras de certificação ficarão prontas dia 7/11. ETA CD 11/04.
18/10 - Fornecedor está preparando a primeira amostra com os elementos ajustados à pelúcia.
28/09 - Projeto enviado, aguardando informações para confirmação de inclusão no certificado de squishies.
31/08 - Aguardando envio do projeto, fornecedor ainda não está confirmado.
17/08 - Compra confirmada, aguardando envio do projeto</t>
    </r>
  </si>
  <si>
    <t>PI5982Y</t>
  </si>
  <si>
    <t>PELUCIA GOKURURU P</t>
  </si>
  <si>
    <t>6 Amostras</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</si>
  <si>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</si>
  <si>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PI5915Y</t>
  </si>
  <si>
    <t>PELUCIA ALIEN G</t>
  </si>
  <si>
    <r>
      <rPr>
        <rFont val="Trebuchet MS"/>
        <b/>
        <color theme="1"/>
        <sz val="9.0"/>
      </rPr>
      <t xml:space="preserve">25/11/24 -  Registro encerrado.
</t>
    </r>
    <r>
      <rPr>
        <rFont val="Trebuchet MS"/>
        <color theme="1"/>
        <sz val="9.0"/>
      </rPr>
      <t>09/01 - Inclusão do item realizada no certificado e sistema Orquestra.</t>
    </r>
    <r>
      <rPr>
        <rFont val="Trebuchet MS"/>
        <b/>
        <color theme="1"/>
        <sz val="9.0"/>
      </rPr>
      <t xml:space="preserve">
</t>
    </r>
    <r>
      <rPr>
        <rFont val="Trebuchet MS"/>
        <color theme="1"/>
        <sz val="9.0"/>
      </rPr>
      <t>07/12 - Encaminhado etiqueta.
01/12 - Produto: vamos cancelar neste FAT e deixar os desenvolvimentos em aberto para possível pedido no Natal, de acordo com o desempenho da primera coleção de Squishies.
29/11 - Previsão de finalização dos testes: 07/12.
08/10 - Amostras chegaram no laboratório Cobo.
31/10 - Item selecionado para teste: PI5914Y. Previsão ready date: 07/11, aguardando confirmação Sourcing.
25/10 - Será necessário fazer o teste pois o certificato terá 22 itens. Se a amostra for aprovada hoje, as amostras de certificação ficarão prontas dia 7/11. ETA CD 11/04.
18/10 - Fornecedor está preparando a primeira amostra com os elementos ajustados à pelúcia.
28/09 - Projeto enviado, aguardando informações para confirmação de inclusão no certificado de squishies.
31/08 - Aguardando envio do projeto, fornecedor ainda não está confirmado.
17/08 - Compra confirmada, aguardando envio do projeto</t>
    </r>
  </si>
  <si>
    <t>PI5916Y</t>
  </si>
  <si>
    <t>PELUCIA ALIEN P</t>
  </si>
  <si>
    <r>
      <rPr>
        <rFont val="Trebuchet MS"/>
        <b/>
        <color theme="1"/>
        <sz val="9.0"/>
      </rPr>
      <t xml:space="preserve">25/11/24 -  Registro encerrado.
</t>
    </r>
    <r>
      <rPr>
        <rFont val="Trebuchet MS"/>
        <color theme="1"/>
        <sz val="9.0"/>
      </rPr>
      <t>09/01 - Inclusão do item realizada no certificado e sistema Orquestra.</t>
    </r>
    <r>
      <rPr>
        <rFont val="Trebuchet MS"/>
        <b/>
        <color theme="1"/>
        <sz val="9.0"/>
      </rPr>
      <t xml:space="preserve">
</t>
    </r>
    <r>
      <rPr>
        <rFont val="Trebuchet MS"/>
        <color theme="1"/>
        <sz val="9.0"/>
      </rPr>
      <t>07/12 - Encaminhado etiqueta.
01/12 - Produto: vamos cancelar neste FAT e deixar os desenvolvimentos em aberto para possível pedido no Natal, de acordo com o desempenho da primera coleção de Squishies.
29/11 - Previsão de finalização dos testes: 07/12.
08/10 - Amostras chegaram no laboratório Cobo.
31/10 - Item selecionado para teste: PI5914Y. Previsão ready date: 07/11, aguardando confirmação Sourcing.
25/10 - Será necessário fazer o teste pois o certificato terá 22 itens. Se a amostra for aprovada hoje, as amostras de certificação ficarão prontas dia 7/11. ETA CD 11/04.
18/10 - Fornecedor está preparando a primeira amostra com os elementos ajustados à pelúcia.
28/09 - Projeto enviado, aguardando informações para confirmação de inclusão no certificado de squishies.
31/08 - Aguardando envio do projeto, fornecedor ainda não está confirmado.
17/08 - Compra confirmada, aguardando envio do projeto</t>
    </r>
  </si>
  <si>
    <t>PI5920Y</t>
  </si>
  <si>
    <t>PELUCIA OVO FIT G</t>
  </si>
  <si>
    <r>
      <rPr>
        <rFont val="Trebuchet MS"/>
        <b/>
        <color theme="1"/>
        <sz val="9.0"/>
      </rPr>
      <t xml:space="preserve">25/11/24 -  Registro encerrado.
</t>
    </r>
    <r>
      <rPr>
        <rFont val="Trebuchet MS"/>
        <color theme="1"/>
        <sz val="9.0"/>
      </rPr>
      <t>09/01 - Inclusão do item realizada no certificado e sistema Orquestra.</t>
    </r>
    <r>
      <rPr>
        <rFont val="Trebuchet MS"/>
        <b/>
        <color theme="1"/>
        <sz val="9.0"/>
      </rPr>
      <t xml:space="preserve">
</t>
    </r>
    <r>
      <rPr>
        <rFont val="Trebuchet MS"/>
        <color theme="1"/>
        <sz val="9.0"/>
      </rPr>
      <t>07/12 - Encaminhado etiqueta.
01/12 - Produto: vamos cancelar neste FAT e deixar os desenvolvimentos em aberto para possível pedido no Natal, de acordo com o desempenho da primera coleção de Squishies.
29/11 - Previsão de finalização dos testes: 07/12.
08/10 - Amostras chegaram no laboratório Cobo.
31/10 - Item selecionado para teste: PI5914Y. Previsão ready date: 07/11, aguardando confirmação Sourcing.
25/10 - Será necessário fazer o teste pois o certificato terá 22 itens. Se a amostra for aprovada hoje, as amostras de certificação ficarão prontas dia 7/11. ETA CD 11/04.
18/10 - Fornecedor está preparando a primeira amostra com os elementos ajustados à pelúcia.
28/09 - Projeto enviado, aguardando informações para confirmação de inclusão no certificado de squishies.
31/08 - Aguardando envio do projeto, fornecedor ainda não está confirmado.
17/08 - Compra confirmada, aguardando envio do projeto</t>
    </r>
  </si>
  <si>
    <t>PI5921Y</t>
  </si>
  <si>
    <t>PELUCIA OVO FIT P</t>
  </si>
  <si>
    <r>
      <rPr>
        <rFont val="Trebuchet MS"/>
        <b/>
        <color theme="1"/>
        <sz val="9.0"/>
      </rPr>
      <t xml:space="preserve">25/11/24 -  Registro encerrado.
</t>
    </r>
    <r>
      <rPr>
        <rFont val="Trebuchet MS"/>
        <color theme="1"/>
        <sz val="9.0"/>
      </rPr>
      <t>09/01 - Inclusão do item realizada no certificado e sistema Orquestra.</t>
    </r>
    <r>
      <rPr>
        <rFont val="Trebuchet MS"/>
        <b/>
        <color theme="1"/>
        <sz val="9.0"/>
      </rPr>
      <t xml:space="preserve">
</t>
    </r>
    <r>
      <rPr>
        <rFont val="Trebuchet MS"/>
        <color theme="1"/>
        <sz val="9.0"/>
      </rPr>
      <t>07/12 - Encaminhado etiqueta.
01/12 - Produto: vamos cancelar neste FAT e deixar os desenvolvimentos em aberto para possível pedido no Natal, de acordo com o desempenho da primera coleção de Squishies.
29/11 - Previsão de finalização dos testes: 07/12.
08/10 - Amostras chegaram no laboratório Cobo.
31/10 - Item selecionado para teste: PI5914Y. Previsão ready date: 07/11, aguardando confirmação Sourcing.
25/10 - Será necessário fazer o teste pois o certificato terá 22 itens. Se a amostra for aprovada hoje, as amostras de certificação ficarão prontas dia 7/11. ETA CD 11/04.
18/10 - Fornecedor está preparando a primeira amostra com os elementos ajustados à pelúcia.
28/09 - Projeto enviado, aguardando informações para confirmação de inclusão no certificado de squishies.
31/08 - Aguardando envio do projeto, fornecedor ainda não está confirmado.
17/08 - Compra confirmada, aguardando envio do projeto</t>
    </r>
  </si>
  <si>
    <t>PI6074Y</t>
  </si>
  <si>
    <t>PELUCIA EDWIGES</t>
  </si>
  <si>
    <r>
      <rPr>
        <rFont val="Trebuchet MS"/>
        <b/>
        <color theme="1"/>
        <sz val="9.0"/>
      </rPr>
      <t xml:space="preserve">03/04 - Tarefa concluída, registro inativado. 
</t>
    </r>
    <r>
      <rPr>
        <rFont val="Trebuchet MS"/>
        <color theme="1"/>
        <sz val="9.0"/>
      </rPr>
      <t>28/02 - Inativação do registro solicitado no Orquestra.</t>
    </r>
    <r>
      <rPr>
        <rFont val="Trebuchet MS"/>
        <b/>
        <color theme="1"/>
        <sz val="9.0"/>
      </rPr>
      <t xml:space="preserve">
</t>
    </r>
    <r>
      <rPr>
        <rFont val="Trebuchet MS"/>
        <color theme="1"/>
        <sz val="9.0"/>
      </rPr>
      <t>09/02/24 - Solicitamos o encerramento do certificado.</t>
    </r>
    <r>
      <rPr>
        <rFont val="Trebuchet MS"/>
        <b/>
        <color theme="1"/>
        <sz val="9.0"/>
      </rPr>
      <t xml:space="preserve">
</t>
    </r>
    <r>
      <rPr>
        <rFont val="Trebuchet MS"/>
        <color theme="1"/>
        <sz val="9.0"/>
      </rPr>
      <t>19/04 - Registro saiu dia 14/04 e enviamos a instrução do selo no dia 17/04 para o designer.</t>
    </r>
    <r>
      <rPr>
        <rFont val="Trebuchet MS"/>
        <b/>
        <color theme="1"/>
        <sz val="9.0"/>
      </rPr>
      <t xml:space="preserve">
</t>
    </r>
    <r>
      <rPr>
        <rFont val="Trebuchet MS"/>
        <color theme="1"/>
        <sz val="9.0"/>
      </rPr>
      <t>29/03 - Brics informou que os ensaios ocorreram de acordo, repassamos a informação para a Penny. Estamos dentro do schedule, que prevê a emissão do certificado para dia 18 (para a Brics finalizar esta etapa precisamos a rotulagem finalizada).
07/03 - Amostras do PI6073Y foram enviadas ao laboratório.
06/02 - Enviado o cronograma do item. Previsão de prontidão das amostras: 15/03.
11/01 - Ju respondeu que o custo aprovado foi o da Toyland e Fred informou que seguirão com a Hesen. Confirmar.
10/01 - Mensagem na task de Sampling informando que seguirão com a amostra da Hesen. Pedi confirmação.
Inclusão no certificado de Squishies.</t>
    </r>
  </si>
  <si>
    <t>PI5983Y</t>
  </si>
  <si>
    <t>PELUCIA CHLOELHO P</t>
  </si>
  <si>
    <r>
      <rPr>
        <rFont val="Trebuchet MS"/>
        <b/>
        <color theme="1"/>
        <sz val="9.0"/>
      </rPr>
      <t xml:space="preserve">25/11/24 -  Registro encerrado.
</t>
    </r>
    <r>
      <rPr>
        <rFont val="Trebuchet MS"/>
        <color theme="1"/>
        <sz val="9.0"/>
      </rPr>
      <t>01/12 - Registro concedido. Número do Registro: 011828/2022.</t>
    </r>
    <r>
      <rPr>
        <rFont val="Trebuchet MS"/>
        <b/>
        <color theme="1"/>
        <sz val="9.0"/>
      </rPr>
      <t xml:space="preserve">
</t>
    </r>
    <r>
      <rPr>
        <rFont val="Trebuchet MS"/>
        <color theme="1"/>
        <sz val="9.0"/>
      </rPr>
      <t>21/11 - Inmetro solicitou ajustes no certificado e prodcert. Arte do selo enviada para a China, item será etiquetado na origem e não teremos demanda de trabalho.
14/11 - Solicitado o número de registro no sistema Orquestra.
09/11 - Certificado de Conformidade emitido.
24/10 - Laudos recebidos, ensaios ok. Aguardando draft do certificado para aprovação.
18/09 - Ensaios finalizados, laudos serão enviados até o final da semana, retorno para China 24/10 conforme schedule.
13/09 - Finalização dos ensaios prevista para 18/10.
28/09 - Devido ao feriado chinês, ensaios serão iniciados após 10/10. Finalização ensaios 31/10, chegada CD 25/02.
21/09 - Amostras entregues no laboratório.
13/08 - Amostras ficarão prontas em 16/09. Questionado a respeito do leadtime.
05/08 - Questionado quanto a prontidão das amostras para agendamento da coleta e auditoria, aguardando retorno.
30/08 - Informado para a China os modelos e quantidades de amostras necessárias.
17/08 - Fornecedor será definido até 19/08.
04/08 - Aguardando definição de fornecedor - prevista para 17/08.
27/07 - Aguardando retorno da Brics a respeito da família, modelos e quantidades de amostras para ensaios.</t>
    </r>
  </si>
  <si>
    <t>PI6014Y</t>
  </si>
  <si>
    <t xml:space="preserve">	2023 - FAT10</t>
  </si>
  <si>
    <t>ALMOFADA COM SOM MANDRAGORA HP</t>
  </si>
  <si>
    <r>
      <rPr>
        <rFont val="Trebuchet MS"/>
        <b/>
        <color theme="1"/>
        <sz val="9.0"/>
      </rPr>
      <t xml:space="preserve">11/04 - Inativação solicitada hoje no Orquestra.
</t>
    </r>
    <r>
      <rPr>
        <rFont val="Trebuchet MS"/>
        <color theme="1"/>
        <sz val="9.0"/>
      </rPr>
      <t>21/06 - Número de registro concedido e repassado para a criação. Processo finalizado.</t>
    </r>
    <r>
      <rPr>
        <rFont val="Trebuchet MS"/>
        <b/>
        <color theme="1"/>
        <sz val="9.0"/>
      </rPr>
      <t xml:space="preserve">
</t>
    </r>
    <r>
      <rPr>
        <rFont val="Trebuchet MS"/>
        <color theme="1"/>
        <sz val="9.0"/>
      </rPr>
      <t xml:space="preserve">11/06 - Número de registro disponível no Orquestra, registro ainda não concedido. Enviei para a equipe da criação. Ready date: meados de julho (informado pelo Sourcing), ETA CD 15/09.
29/05 - Solicitado o Registro no Orquestra.
22/05 - Em produção, aguardando ready date.
16/05 - Aguardando previsão de ready date. Barcode enviado pela China hoje, será incluso na arte da rotulagem para que o laboratório libere os laudos e o OCP possa emitir o certificado de conformidade.
11/05 - Laboratório informou que não tiveram intercorrências nos ensaios, informamos a China e aguardamos data estimada de finalização da produção.
26/04 - Amostras encaminhas hoje para o laboratório COBO (China), aguardando confirmação de recebimento por parte do laboratório e previsão de finalização dos ensaios para início da produção.
29/03 - Amostra sob aprovação da WB. Data estimada para amostras de certificação: 30/04. Penny enviou o schedule atualizado, chegada CD prevista para 15/09 (FAT 09 atrasado ou FAT 10).
16/02 - Sourcing: a amostra ainda está em desenvolvimento e não conseguiremos enviá-la para o processo de certificação por enquanto.
06/02 - Enviado o cronograma no Odoo.
</t>
    </r>
  </si>
  <si>
    <t>9142/2023-BRI-1</t>
  </si>
  <si>
    <t>005156/2023</t>
  </si>
  <si>
    <t>Certificação INMETRO:Produto certificado por BRICS OCP 0098 Nº Registro 005156/2023</t>
  </si>
  <si>
    <t>PI6056Y</t>
  </si>
  <si>
    <t>CADERNO COM CANETA INVISIVEL PATRONUM HP</t>
  </si>
  <si>
    <t>09 Amostras</t>
  </si>
  <si>
    <r>
      <rPr>
        <rFont val="Trebuchet MS"/>
        <b/>
        <color theme="1"/>
        <sz val="9.0"/>
      </rPr>
      <t xml:space="preserve">09/07/25 - Certificado encerrado.
</t>
    </r>
    <r>
      <rPr>
        <rFont val="Trebuchet MS"/>
        <color theme="1"/>
        <sz val="9.0"/>
      </rPr>
      <t>20/06/24 - Manutenção concluída.</t>
    </r>
    <r>
      <rPr>
        <rFont val="Trebuchet MS"/>
        <b/>
        <color theme="1"/>
        <sz val="9.0"/>
      </rPr>
      <t xml:space="preserve">
</t>
    </r>
    <r>
      <rPr>
        <rFont val="Trebuchet MS"/>
        <color theme="1"/>
        <sz val="9.0"/>
      </rPr>
      <t>21/08 - Registro concedido em 17/08.</t>
    </r>
    <r>
      <rPr>
        <rFont val="Trebuchet MS"/>
        <b/>
        <color theme="1"/>
        <sz val="9.0"/>
      </rPr>
      <t xml:space="preserve">
</t>
    </r>
    <r>
      <rPr>
        <rFont val="Trebuchet MS"/>
        <color theme="1"/>
        <sz val="9.0"/>
      </rPr>
      <t>15/08 - Aguardando concessão do registro (Inmetro). Data estimada de chegada no CD: 09/10 (cons sheets)
08/08 - Já enviamos o número de registro, aguardando apenas a concessão final. ETA permanece. 
19/07 - Data estimada para finalização da produção: 10/08. ETA CD: 13/10.
29/06 - Autorizamos a produção, estamos aguardando retorno sobre partes eletrônicas do item. Leadtime 30 dias, ETA CD: 06/10. Aguardando última confirmação do Vincent.
21/06 - Permanece o status anterior.
16/05 - Ensaios (mecânicos, químicos e ftalatos) finalizados, vamos elaborar a rotulagem para recebimento dos laudos. A previsão de chegada das amostras extras no laboratório é hoje, e a previsão de finalização dos ensaios biológicos é 29/06 (44 dias). 
10/05 - Amostras enviadas, tracking: 772097460980. Estou aguardando previsão de finalização dos ensaios das amostras que já estão no laboratório.
Update/Brics: O prazo do mecanico, quimico, ftalatos é dia 16/05. ETA CD: 17/11 (60 dias leadtime).</t>
    </r>
    <r>
      <rPr>
        <rFont val="Trebuchet MS"/>
        <b/>
        <color theme="1"/>
        <sz val="9.0"/>
      </rPr>
      <t xml:space="preserve">
</t>
    </r>
    <r>
      <rPr>
        <rFont val="Trebuchet MS"/>
        <color theme="1"/>
        <sz val="9.0"/>
      </rPr>
      <t>26/04 - Amostras recebidas no escritório em SP, vamos encaminhar hoje ao laboratório Lab System. ETA CD: 31/10.
29/03 - Vincent informou que a Carol irá visitar a fábrica e no dia 30/03 as amostras estarão prontas. Data chegada CD (Schedule): 21/09 (Atraso para FAT 10).
*** Auditoria aprovada em 09/03. ***</t>
    </r>
    <r>
      <rPr>
        <rFont val="Trebuchet MS"/>
        <b/>
        <color theme="1"/>
        <sz val="9.0"/>
      </rPr>
      <t xml:space="preserve">
</t>
    </r>
    <r>
      <rPr>
        <rFont val="Trebuchet MS"/>
        <color theme="1"/>
        <sz val="9.0"/>
      </rPr>
      <t>07/03 - Aguardando confirmação de realização da auditoria.
09/02 - Enviamos memorial para Brics.
07/02 - Estimativa de prontidão das amostras atualizada para 16/02.
06/02 - Solicitado o preenchimento do memorial descritivo.
09/01 - Sourcing informou que as amostras ficarão prontas dia 12/2. Item é FAT 09 por enquanto (atraso).
01/12 - Brics informou que indica a certificação, solicitei ao Sourcing 9 amostras e verificação quanto ao ISO 9001.
02/11 - Sourcing: caneta é igual do item PI5223Y, verificando.</t>
    </r>
  </si>
  <si>
    <t>NINGBO ZHENHAI CHENGDI STATIONERY CO</t>
  </si>
  <si>
    <t>9141/2023-BRI-1</t>
  </si>
  <si>
    <t>007568/2023</t>
  </si>
  <si>
    <t>Certificação INMETRO: Produto certificado por BRICS OCP 0098 Nº Registro 007568/2023</t>
  </si>
  <si>
    <t>Sem Estoque - Sem Prazo</t>
  </si>
  <si>
    <t>PI6053Y</t>
  </si>
  <si>
    <t>CANETA PENA HOGWARTS HP</t>
  </si>
  <si>
    <t>INMETRO ARTIGOS ESCOLARES SISTEMA 5 - PORTARIA 423</t>
  </si>
  <si>
    <r>
      <rPr>
        <rFont val="Trebuchet MS"/>
        <b/>
        <color theme="1"/>
        <sz val="9.0"/>
      </rPr>
      <t xml:space="preserve">23/04/2025 - Manutenção finalizada.
</t>
    </r>
    <r>
      <rPr>
        <rFont val="Trebuchet MS"/>
        <color theme="1"/>
        <sz val="9.0"/>
      </rPr>
      <t>03/06/24 - Manutenção concluída.</t>
    </r>
    <r>
      <rPr>
        <rFont val="Trebuchet MS"/>
        <b/>
        <color theme="1"/>
        <sz val="9.0"/>
      </rPr>
      <t xml:space="preserve">
</t>
    </r>
    <r>
      <rPr>
        <rFont val="Trebuchet MS"/>
        <color theme="1"/>
        <sz val="9.0"/>
      </rPr>
      <t>12/06 - Registro já enviado para o time de criação que repassou a arte atualizada contando com o selo do Inmetro. Registro (004671/2023) concedido pelo Inmetro.</t>
    </r>
    <r>
      <rPr>
        <rFont val="Trebuchet MS"/>
        <b/>
        <color theme="1"/>
        <sz val="9.0"/>
      </rPr>
      <t xml:space="preserve">
</t>
    </r>
    <r>
      <rPr>
        <rFont val="Trebuchet MS"/>
        <color theme="1"/>
        <sz val="9.0"/>
      </rPr>
      <t>25/05 - Solicitamos o número de registro.
11/05 - Draft do certificado aprovado. Após o recebimento do certificado, solicitamos o número do registro. Previsão: ~duas semanas. Ready date: 15/06. ETA CD: 16/08.
26/04 - Fomos informados pela Brics em 25/04 que os ensaios ocorreram sem intercorrências. Informei ao Vincent para darem andamento da produção em massa. ETA: 07/09.
23/03 - As amostras foram enviadas ao laboratório hoje, aguardando proposta formal e previsão de início/finalização dos ensaios. 
10/03 - Amostra enviada via FedEx, tracking 771528181255.
06/03 - Fechado o valor com o laboratório NTD, informarmos endereço para Sourcing enviar as amostras.
07/02 - Nova data estimada para recebimento das amostras: 16/02.
01/02 - Enviado o memorial completo para Brics.
10/01 - Solicitei o EAN Bar Code para a Brics iniciar o processo.
26/12 - Enviada proposta assinada. Amostras estarão prontas dia 10/2.
30/11 - Conforme análise, o produto não se enquadra em nenhum dos processos, visto que é composto por matéria prima distinta. Certificação será inicial.
29/11 - Enviado para Brics analisar a inclusão em certificado existente.</t>
    </r>
  </si>
  <si>
    <t>PI6157Y</t>
  </si>
  <si>
    <t>CANETA EJETAVEL EU QUE LUTE</t>
  </si>
  <si>
    <r>
      <rPr>
        <rFont val="Trebuchet MS"/>
        <b/>
        <color theme="1"/>
        <sz val="9.0"/>
      </rPr>
      <t xml:space="preserve">23/04/2025 - Manutenção finalizada.
</t>
    </r>
    <r>
      <rPr>
        <rFont val="Trebuchet MS"/>
        <b val="0"/>
        <color theme="1"/>
        <sz val="9.0"/>
      </rPr>
      <t>03/06/24 - Manutenção concluída.</t>
    </r>
    <r>
      <rPr>
        <rFont val="Trebuchet MS"/>
        <b/>
        <color theme="1"/>
        <sz val="9.0"/>
      </rPr>
      <t xml:space="preserve">
</t>
    </r>
    <r>
      <rPr>
        <rFont val="Trebuchet MS"/>
        <b val="0"/>
        <color theme="1"/>
        <sz val="9.0"/>
      </rPr>
      <t>12/06 - Registro já enviado para o time de criação que repassou a arte atualizada contando com o selo do Inmetro. Registro (004671/2023) concedido pelo Inmetro.</t>
    </r>
    <r>
      <rPr>
        <rFont val="Trebuchet MS"/>
        <b/>
        <color theme="1"/>
        <sz val="9.0"/>
      </rPr>
      <t xml:space="preserve">
</t>
    </r>
    <r>
      <rPr>
        <rFont val="Trebuchet MS"/>
        <b val="0"/>
        <color theme="1"/>
        <sz val="9.0"/>
      </rPr>
      <t>25/05 - Solicitamos o número de registro.
11/05 - Draft do certificado aprovado. Após o recebimento do certificado, solicitamos o número do registro. Previsão: ~duas semanas. Ready date: 15/06. ETA CD: 16/08.
14/03 – Entram na família da Caneta Pena (PI6053Y), e aguardam os testes da mesma.
06/02 - Vincent encaminhou os documentos. Enviamos para a Brics questionando sobre quantidade das amostras e se podemos enviar as que já temos prontas.
09/01 - Solicitados os documentos e as amostras.</t>
    </r>
  </si>
  <si>
    <t>PI6158Y</t>
  </si>
  <si>
    <t>CANETA EJETAVEL GOL DE LETRA</t>
  </si>
  <si>
    <r>
      <rPr>
        <rFont val="Trebuchet MS"/>
        <b/>
        <color theme="1"/>
        <sz val="9.0"/>
      </rPr>
      <t xml:space="preserve">23/04/2025 - Manutenção finalizada.
</t>
    </r>
    <r>
      <rPr>
        <rFont val="Trebuchet MS"/>
        <b val="0"/>
        <color theme="1"/>
        <sz val="9.0"/>
      </rPr>
      <t>03/06/24 - Manutenção concluída.</t>
    </r>
    <r>
      <rPr>
        <rFont val="Trebuchet MS"/>
        <b/>
        <color theme="1"/>
        <sz val="9.0"/>
      </rPr>
      <t xml:space="preserve">
</t>
    </r>
    <r>
      <rPr>
        <rFont val="Trebuchet MS"/>
        <b val="0"/>
        <color theme="1"/>
        <sz val="9.0"/>
      </rPr>
      <t>12/06 - Registro já enviado para o time de criação que repassou a arte atualizada contando com o selo do Inmetro. Registro (004671/2023) concedido pelo Inmetro.</t>
    </r>
    <r>
      <rPr>
        <rFont val="Trebuchet MS"/>
        <b/>
        <color theme="1"/>
        <sz val="9.0"/>
      </rPr>
      <t xml:space="preserve">
</t>
    </r>
    <r>
      <rPr>
        <rFont val="Trebuchet MS"/>
        <b val="0"/>
        <color theme="1"/>
        <sz val="9.0"/>
      </rPr>
      <t>25/05 - Solicitamos o número de registro.
11/05 - Draft do certificado aprovado. Após o recebimento do certificado, solicitamos o número do registro. Previsão: ~duas semanas. Ready date: 15/06. ETA CD: 16/08.
14/03 – Entram na família da Caneta Pena (PI6053Y), e aguardam os testes da mesma.
06/02 - Vincent encaminhou os documentos. Enviamos para a Brics questionando sobre quantidade das amostras e se podemos enviar as que já temos prontas.
09/01 - Solicitados os documentos e as amostras.</t>
    </r>
  </si>
  <si>
    <t>PI6162Y</t>
  </si>
  <si>
    <t>CANETA CARIMBO BORA MARCAR</t>
  </si>
  <si>
    <r>
      <rPr>
        <rFont val="Trebuchet MS"/>
        <b/>
        <color theme="1"/>
        <sz val="9.0"/>
      </rPr>
      <t xml:space="preserve">31/03/25 - Registro Inativado.
</t>
    </r>
    <r>
      <rPr>
        <rFont val="Trebuchet MS"/>
        <color theme="1"/>
        <sz val="9.0"/>
      </rPr>
      <t>03/06/24 - Manutenção concluída.</t>
    </r>
    <r>
      <rPr>
        <rFont val="Trebuchet MS"/>
        <b/>
        <color theme="1"/>
        <sz val="9.0"/>
      </rPr>
      <t xml:space="preserve">
</t>
    </r>
    <r>
      <rPr>
        <rFont val="Trebuchet MS"/>
        <color theme="1"/>
        <sz val="9.0"/>
      </rPr>
      <t>04/07 - Número de registro concedido e encaminhado para a Criação.</t>
    </r>
    <r>
      <rPr>
        <rFont val="Trebuchet MS"/>
        <b/>
        <color theme="1"/>
        <sz val="9.0"/>
      </rPr>
      <t xml:space="preserve">
</t>
    </r>
    <r>
      <rPr>
        <rFont val="Trebuchet MS"/>
        <color theme="1"/>
        <sz val="9.0"/>
      </rPr>
      <t>23/06 - Aguardando número do registro - prazo esperado: 09/07.
Considerando a chegada no CD a partir da informação de finalização de produção: 20/07.
12/06 - Aguardando retorno do laboratório com os ensaios (houve um atraso nos ensaios microbiológicos). ETA CD: DE: 22/09 PARA: 29/09.
25/05 - Previsão de finalização dos ensaios: 05/06. ETA CD: 22/09.
11/05 - Amostras enviadas para o laboratório, aguardando agenda do laboratório.
28/04 - Amostras enviadas, tracking 771987882971.
13/04 - Sem novidades, cobrei o Vincent.
29/03 - Preço aprovado dia 26, solicitei ao Vincent o envio das amostras - possível atraso em FAT 09 ou FAT 10.
06/02 - Vincent encaminhou os documentos. Enviamos para a Brics questionando sobre quantidade das amostras e se podemos enviar as que já temos prontas.
09/01 - Solicitados os documentos e as amostras.</t>
    </r>
  </si>
  <si>
    <t>9114/2023-AE-2</t>
  </si>
  <si>
    <t>​006455/2023</t>
  </si>
  <si>
    <t>Certificação INMETRO:Produto certificado por BRICS OCP 0098 Nº Registro 006455/2023</t>
  </si>
  <si>
    <t>PI6164Y</t>
  </si>
  <si>
    <t>CANETA DE SILICONE FOLHA</t>
  </si>
  <si>
    <r>
      <rPr>
        <rFont val="Trebuchet MS"/>
        <b/>
        <color theme="1"/>
        <sz val="9.0"/>
      </rPr>
      <t xml:space="preserve">03/06/24 - Esse SKU precisou ser excluído do certificado pois não passou nos testes de manutenção (furo muito pequeno na tampa).
</t>
    </r>
    <r>
      <rPr>
        <rFont val="Trebuchet MS"/>
        <color theme="1"/>
        <sz val="9.0"/>
      </rPr>
      <t>19/07 - Nome da família alterado e ok. Processo finalizado.</t>
    </r>
    <r>
      <rPr>
        <rFont val="Trebuchet MS"/>
        <b/>
        <color theme="1"/>
        <sz val="9.0"/>
      </rPr>
      <t xml:space="preserve">
</t>
    </r>
    <r>
      <rPr>
        <rFont val="Trebuchet MS"/>
        <color theme="1"/>
        <sz val="9.0"/>
      </rPr>
      <t>04/07 - Embalagem com número de registro enviada para a China.
23/06 - Aguardando número do registro - corre risco de precisar ser etiquetado após a produção ou no CD. Considerando a chegada no CD a partir da informação de finalização de produção: 10/07.
18/05 - Previsão de finalização dos ensaios: 26/05. ETA CD 14/09.
09/05 - Amostras recebidas no laboratório, NF e boletos recebidos e lançados. Aguardando previsão de finalização.
26/04 - Amostras enviadas ontem (25/04) para o laboratório NTD, aguardando confirmação de recebimento e envio da proposta final. ETA 19/10.
29/09 - Cobrei sobre o envio das amostras (28/03), FAT 09.
06/02 - Os modelos já foram confirmados, solicitamos novamente os documentos.
10/01 - Solicitamos atualização.
03/01 - Solicitados os documentos e as amostras.</t>
    </r>
  </si>
  <si>
    <t>9114/2023-AE-3</t>
  </si>
  <si>
    <t>005674/2023</t>
  </si>
  <si>
    <t>Certificação INMETRO:Produto certificado por BRICS OCP 0098 Nº Registro ​005674/2023</t>
  </si>
  <si>
    <t>PI6167Y</t>
  </si>
  <si>
    <t>CANETA DE SILICONE COPO DE LEITE</t>
  </si>
  <si>
    <r>
      <rPr>
        <rFont val="Trebuchet MS"/>
        <b/>
        <color theme="1"/>
        <sz val="9.0"/>
      </rPr>
      <t xml:space="preserve">23/04/2025 - Manutenção finalizada.
</t>
    </r>
    <r>
      <rPr>
        <rFont val="Trebuchet MS"/>
        <color theme="1"/>
        <sz val="9.0"/>
      </rPr>
      <t>19/07 - Nome da família alterado e ok. Processo finalizado.</t>
    </r>
    <r>
      <rPr>
        <rFont val="Trebuchet MS"/>
        <b/>
        <color theme="1"/>
        <sz val="9.0"/>
      </rPr>
      <t xml:space="preserve">
</t>
    </r>
    <r>
      <rPr>
        <rFont val="Trebuchet MS"/>
        <color theme="1"/>
        <sz val="9.0"/>
      </rPr>
      <t>04/07 - Embalagem com número de registro enviada para a China.
23/06 - Aguardando número do registro - corre risco de precisar ser etiquetado após a produção ou no CD. Considerando a chegada no CD a partir da informação de finalização de produção: 10/07.
18/05 - Previsão de finalização dos ensaios: 26/05. ETA CD 14/09.
09/05 - Amostras recebidas no laboratório, NF e boletos recebidos e lançados. Aguardando previsão de finalização.
26/04 - Amostras enviadas ontem (25/04) para o laboratório NTD, aguardando confirmação de recebimento e envio da proposta final. ETA 19/10.
29/09 - Cobrei sobre o envio das amostras (28/03), FAT 09.
06/02 - Os modelos já foram confirmados, solicitamos novamente os documentos.
10/01 - Solicitamos atualização.
03/01 - Solicitados os documentos e as amostras.</t>
    </r>
  </si>
  <si>
    <t>Certificação INMETRO:Produto certificado por BRICS OCP 0098 Nº Registro 005674/2023</t>
  </si>
  <si>
    <t>PI6168Y</t>
  </si>
  <si>
    <t>CANETA DE SILICONE ROSA</t>
  </si>
  <si>
    <r>
      <rPr>
        <rFont val="Trebuchet MS"/>
        <b/>
        <color theme="1"/>
        <sz val="9.0"/>
      </rPr>
      <t xml:space="preserve">23/04/2025 - Manutenção finalizada.
</t>
    </r>
    <r>
      <rPr>
        <rFont val="Trebuchet MS"/>
        <color theme="1"/>
        <sz val="9.0"/>
      </rPr>
      <t>19/07 - Nome da família alterado e ok. Processo finalizado.</t>
    </r>
    <r>
      <rPr>
        <rFont val="Trebuchet MS"/>
        <b/>
        <color theme="1"/>
        <sz val="9.0"/>
      </rPr>
      <t xml:space="preserve">
</t>
    </r>
    <r>
      <rPr>
        <rFont val="Trebuchet MS"/>
        <color theme="1"/>
        <sz val="9.0"/>
      </rPr>
      <t>04/07 - Embalagem com número de registro enviada para a China.
23/06 - Aguardando número do registro - corre risco de precisar ser etiquetado após a produção ou no CD. Considerando a chegada no CD a partir da informação de finalização de produção: 10/07.
18/05 - Previsão de finalização dos ensaios: 26/05. ETA CD 14/09.
09/05 - Amostras recebidas no laboratório, NF e boletos recebidos e lançados. Aguardando previsão de finalização.
26/04 - Amostras enviadas ontem (25/04) para o laboratório NTD, aguardando confirmação de recebimento e envio da proposta final. ETA 19/10.
29/09 - Cobrei sobre o envio das amostras (28/03), FAT 09.
06/02 - Os modelos já foram confirmados, solicitamos novamente os documentos.
10/01 - Solicitamos atualização.
03/01 - Solicitados os documentos e as amostras.</t>
    </r>
  </si>
  <si>
    <t>PI6176Y</t>
  </si>
  <si>
    <t>CONJUNTO DE LAPIS TUDO PODE FLORESCER</t>
  </si>
  <si>
    <t>30 Amostras</t>
  </si>
  <si>
    <r>
      <rPr>
        <rFont val="&quot;Trebuchet MS&quot;"/>
        <b/>
        <color rgb="FF000000"/>
        <sz val="9.0"/>
      </rPr>
      <t xml:space="preserve">31/03/25 - Registro Inativado.
</t>
    </r>
    <r>
      <rPr>
        <rFont val="&quot;Trebuchet MS&quot;"/>
        <color rgb="FF000000"/>
        <sz val="9.0"/>
      </rPr>
      <t>03/06/24 - Manutenção concluída.</t>
    </r>
    <r>
      <rPr>
        <rFont val="&quot;Trebuchet MS&quot;"/>
        <b/>
        <color rgb="FF000000"/>
        <sz val="9.0"/>
      </rPr>
      <t xml:space="preserve">
</t>
    </r>
    <r>
      <rPr>
        <rFont val="&quot;Trebuchet MS&quot;"/>
        <color rgb="FF000000"/>
        <sz val="9.0"/>
      </rPr>
      <t>07/07 - Registro concedido.</t>
    </r>
    <r>
      <rPr>
        <rFont val="&quot;Trebuchet MS&quot;"/>
        <b/>
        <color rgb="FF000000"/>
        <sz val="9.0"/>
      </rPr>
      <t xml:space="preserve">
</t>
    </r>
    <r>
      <rPr>
        <rFont val="&quot;Trebuchet MS&quot;"/>
        <color rgb="FF000000"/>
        <sz val="9.0"/>
      </rPr>
      <t xml:space="preserve">04/07 - Embalagem com número de registro enviada para a China.
</t>
    </r>
    <r>
      <rPr>
        <rFont val="&quot;Trebuchet MS&quot;"/>
        <b/>
        <color rgb="FF000000"/>
        <sz val="9.0"/>
      </rPr>
      <t>2</t>
    </r>
    <r>
      <rPr>
        <rFont val="&quot;Trebuchet MS&quot;"/>
        <color rgb="FF000000"/>
        <sz val="9.0"/>
      </rPr>
      <t>1/06 - Estimativa de finalização da produção: 15/07. ETA CD: 27/09. Não conseguimos solicitar o número de registro ainda devido a erro no sistema.
12/06 - Certificado recebido dia 07/06, vamos solicitar o número de registro esta semana. Vincent ainda irá confirmar sobre o ready date, porém considerando leadtime estimado de 35 dias, ETA CD: 15/09.
16/05 - Previsão de finalização dos ensaios: 22/05. ETA CD 08/09.
09/05 - Amostras recebidas no laboratório, NF e boletos recebidos e lançados. Aguardando previsão de finalização.
26/04 - Carol Haddad vai trazer as amostras da China esta semana. ETA 25/10.
29/03 - Preparando as amostras, data estimada para envio: 12/04. Leadtime de produção de 30 dias. Chegada no CD: 19/09 FAT 9~atraso FAT 9.
08/02 - Documentos recebidos, informada a qtdd de amostras. Solicitei acriação do códio de barras.
06/02 - Questionamos se vamos dar andamento no projeto.
10/01 - Solicitamos atualização.
03/01 - Solicitados os documentos e as amostras.</t>
    </r>
  </si>
  <si>
    <t>9114/2023-AE-4</t>
  </si>
  <si>
    <t>006456/2023</t>
  </si>
  <si>
    <t>Certificação INMETRO:Produto certificado por BRICS OCP 0098 Nº Registro 006456/2023</t>
  </si>
  <si>
    <t>PI6177Y</t>
  </si>
  <si>
    <t>CONJUNTO DE MARCADORES SORVETINHO</t>
  </si>
  <si>
    <r>
      <rPr>
        <rFont val="&quot;Trebuchet MS&quot;"/>
        <b/>
        <color rgb="FF000000"/>
        <sz val="9.0"/>
      </rPr>
      <t xml:space="preserve">23/04/2025 - Manutenção finalizada.
</t>
    </r>
    <r>
      <rPr>
        <rFont val="&quot;Trebuchet MS&quot;"/>
        <color rgb="FF000000"/>
        <sz val="9.0"/>
      </rPr>
      <t>03/06/24 - Manutenção concluída.</t>
    </r>
    <r>
      <rPr>
        <rFont val="&quot;Trebuchet MS&quot;"/>
        <b/>
        <color rgb="FF000000"/>
        <sz val="9.0"/>
      </rPr>
      <t xml:space="preserve">
</t>
    </r>
    <r>
      <rPr>
        <rFont val="&quot;Trebuchet MS&quot;"/>
        <color rgb="FF000000"/>
        <sz val="9.0"/>
      </rPr>
      <t>07/07 - Registro concedido.</t>
    </r>
    <r>
      <rPr>
        <rFont val="&quot;Trebuchet MS&quot;"/>
        <b/>
        <color rgb="FF000000"/>
        <sz val="9.0"/>
      </rPr>
      <t xml:space="preserve">
</t>
    </r>
    <r>
      <rPr>
        <rFont val="&quot;Trebuchet MS&quot;"/>
        <color rgb="FF000000"/>
        <sz val="9.0"/>
      </rPr>
      <t xml:space="preserve">12/06 - Inmetro disponibilizou o número de registro (005380/2023), enviamos para o time da criação. ETA CD: 28/08.
</t>
    </r>
    <r>
      <rPr>
        <rFont val="&quot;Trebuchet MS&quot;"/>
        <b/>
        <color rgb="FF000000"/>
        <sz val="9.0"/>
      </rPr>
      <t>0</t>
    </r>
    <r>
      <rPr>
        <rFont val="&quot;Trebuchet MS&quot;"/>
        <color rgb="FF000000"/>
        <sz val="9.0"/>
      </rPr>
      <t>6/06 - Número do Registro concedido pelo Inmetro: 005380/2023.
16/05 - Enviamos a rotulagem completa, aguardamos emissão do certificado para emissão do registro. ETA CD: 16/08.
11/05 - Estamos aguardando o envio dos laudos, mas já foi dado o ok para o início do MP (testes ok). Ready date: 15/06. ETA CD: 16/08.
26/04 - Previsão de finalização/envio dos resultados: 05/05. ETA 15/09.
29/09 - Cobrei sobre o envio das amostras.
07/02 - Item confirmado, documentos recebidos.
06/02 - Questionamos se vamos dar andamento no projeto.
10/01 - Solicitamos atualização.
03/01 - Solicitados os documentos e as amostras.</t>
    </r>
  </si>
  <si>
    <t>9114/2023-AE-5</t>
  </si>
  <si>
    <t>005380/2023</t>
  </si>
  <si>
    <t>Certificação INMETRO:Produto certificado por BRICS OCP 0098 Nº Registro 005380/2023</t>
  </si>
  <si>
    <t>PI6178Y</t>
  </si>
  <si>
    <t>CONJUNTO DE MARCADORES ENCAIXE</t>
  </si>
  <si>
    <r>
      <rPr>
        <rFont val="&quot;Trebuchet MS&quot;"/>
        <b/>
        <color rgb="FF000000"/>
        <sz val="9.0"/>
      </rPr>
      <t xml:space="preserve">23/04/2025 - Manutenção finalizada.
</t>
    </r>
    <r>
      <rPr>
        <rFont val="&quot;Trebuchet MS&quot;"/>
        <color rgb="FF000000"/>
        <sz val="9.0"/>
      </rPr>
      <t>03/06/24 - Manutenção concluída.</t>
    </r>
    <r>
      <rPr>
        <rFont val="&quot;Trebuchet MS&quot;"/>
        <b/>
        <color rgb="FF000000"/>
        <sz val="9.0"/>
      </rPr>
      <t xml:space="preserve">
</t>
    </r>
    <r>
      <rPr>
        <rFont val="&quot;Trebuchet MS&quot;"/>
        <color rgb="FF000000"/>
        <sz val="9.0"/>
      </rPr>
      <t>07/07 - Registro concedido.</t>
    </r>
    <r>
      <rPr>
        <rFont val="&quot;Trebuchet MS&quot;"/>
        <b/>
        <color rgb="FF000000"/>
        <sz val="9.0"/>
      </rPr>
      <t xml:space="preserve">
</t>
    </r>
    <r>
      <rPr>
        <rFont val="&quot;Trebuchet MS&quot;"/>
        <color rgb="FF000000"/>
        <sz val="9.0"/>
      </rPr>
      <t>12/06 - Inmetro disponibilizou o número de registro (005380/2023), enviamos para o time da criação. ETA CD: 28/08.
06/06 - Número do Registro concedido pelo Inmetro: 005380/2023.
16/05 - Enviamos a rotulagem completa, aguardamos emissão do certificado para emissão do registro. ETA CD: 16/08.
11/05 - Estamos aguardando o envio dos laudos, mas já foi dado o ok para o início do MP (testes ok). Ready date: 15/06. ETA CD: 16/08.
26/04 - Previsão de finalização/envio dos resultados: 05/05.
29/09 - Cobrei sobre o envio das amostras.
07/02 - Item confirmado, documentos recebidos.
06/02 - Questionamos se vamos dar andamento no projeto.
10/01 - Solicitamos atualização.
03/01 - Solicitados os documentos e as amostras.</t>
    </r>
  </si>
  <si>
    <t>PI6179Y</t>
  </si>
  <si>
    <t>CONJUNTO DE MARCADORES POLVO</t>
  </si>
  <si>
    <r>
      <rPr>
        <rFont val="&quot;Trebuchet MS&quot;"/>
        <b/>
        <color rgb="FF000000"/>
        <sz val="9.0"/>
      </rPr>
      <t xml:space="preserve">23/04/2025 - Manutenção finalizada.
</t>
    </r>
    <r>
      <rPr>
        <rFont val="&quot;Trebuchet MS&quot;"/>
        <color rgb="FF000000"/>
        <sz val="9.0"/>
      </rPr>
      <t>03/06/24 - Manutenção concluída.</t>
    </r>
    <r>
      <rPr>
        <rFont val="&quot;Trebuchet MS&quot;"/>
        <b/>
        <color rgb="FF000000"/>
        <sz val="9.0"/>
      </rPr>
      <t xml:space="preserve">
</t>
    </r>
    <r>
      <rPr>
        <rFont val="&quot;Trebuchet MS&quot;"/>
        <color rgb="FF000000"/>
        <sz val="9.0"/>
      </rPr>
      <t>07/07 - Registro concedido.</t>
    </r>
    <r>
      <rPr>
        <rFont val="&quot;Trebuchet MS&quot;"/>
        <b/>
        <color rgb="FF000000"/>
        <sz val="9.0"/>
      </rPr>
      <t xml:space="preserve">
</t>
    </r>
    <r>
      <rPr>
        <rFont val="&quot;Trebuchet MS&quot;"/>
        <color rgb="FF000000"/>
        <sz val="9.0"/>
      </rPr>
      <t>12/06 - Inmetro disponibilizou o número de registro (005380/2023), enviamos para o time da criação. ETA CD: 28/08.
06/06 - Número do Registro concedido pelo Inmetro: 005380/2023.
16/05 - Enviamos a rotulagem completa, aguardamos emissão do certificado para emissão do registro. ETA CD: 16/08.
11/05 - Previsão de finalização da produção está para 15/06 (informação Vincent).
26/04 - Previsão de finalização/envio dos resultados: 05/05. ETA 15/09.
29/09 - Cobrei sobre o envio das amostras.
07/02 - Item confirmado, documentos recebidos.
06/02 - Questionamos se vamos dar andamento no projeto.
10/01 - Solicitamos atualização.
03/01 - Solicitados os documentos e as amostras.</t>
    </r>
  </si>
  <si>
    <t>PI6260Y</t>
  </si>
  <si>
    <t>2023 - FAT10</t>
  </si>
  <si>
    <t>VITROLA PÕE PRA TOCAR</t>
  </si>
  <si>
    <r>
      <rPr>
        <rFont val="Trebuchet MS"/>
        <b/>
        <color theme="1"/>
        <sz val="9.0"/>
      </rPr>
      <t xml:space="preserve">12/03/25 - Manutenção finalizada.
</t>
    </r>
    <r>
      <rPr>
        <rFont val="Trebuchet MS"/>
        <color theme="1"/>
        <sz val="9.0"/>
      </rPr>
      <t>17/08 - Certificado de homologação emitido nesta data.</t>
    </r>
    <r>
      <rPr>
        <rFont val="Trebuchet MS"/>
        <b/>
        <color theme="1"/>
        <sz val="9.0"/>
      </rPr>
      <t xml:space="preserve">
</t>
    </r>
    <r>
      <rPr>
        <rFont val="Trebuchet MS"/>
        <color theme="1"/>
        <sz val="9.0"/>
      </rPr>
      <t>15/08 - Aguardando confirmação da homologação (Anatel). Conforme informado pelo Vincent, produto alterado para FAT 11 (Rady date: 15/09) Trocar FAT!
08/08 - Aprovamos o certificado esta semana. Aguardando confirmação da homologação.
05/07 - Demos o ok para produção, data estimada 15/08. Segue programação de produto (estimativa: 18/10).
21/06 - Será incluído na mesma família.
12/06 - Vincent encaminhou as fotos da amostra para confirmamos quanto a inclusão.
17/05 - Pendente de aprovação da cor para enviar as fotos para comparação / inclusão.
28/04 - Vincent informou que ainda não temos o projeto, precisamos aguardar para providenciar as imagens.
26/04 - Solicitamos imagens para comparação com o PI5555Y.</t>
    </r>
  </si>
  <si>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15743-20-13462.
Para maiores informações, consulte o site da ANATEL em </t>
    </r>
    <r>
      <rPr>
        <rFont val="Trebuchet MS"/>
        <color rgb="FF1155CC"/>
        <sz val="9.0"/>
        <u/>
      </rPr>
      <t>www.anatel.gov.br</t>
    </r>
  </si>
  <si>
    <t>PI6259Y</t>
  </si>
  <si>
    <t>VITROLA ONDAS DE SOM</t>
  </si>
  <si>
    <r>
      <rPr>
        <rFont val="Trebuchet MS"/>
        <b/>
        <color theme="1"/>
        <sz val="9.0"/>
      </rPr>
      <t xml:space="preserve">11/09 - Certificação concedida na data de hoje.
</t>
    </r>
    <r>
      <rPr>
        <rFont val="Trebuchet MS"/>
        <color theme="1"/>
        <sz val="9.0"/>
      </rPr>
      <t>24/08 - Feito o upload do certificado no site da Anatel em 26/08.</t>
    </r>
    <r>
      <rPr>
        <rFont val="Trebuchet MS"/>
        <b/>
        <color theme="1"/>
        <sz val="9.0"/>
      </rPr>
      <t xml:space="preserve">
</t>
    </r>
    <r>
      <rPr>
        <rFont val="Trebuchet MS"/>
        <color theme="1"/>
        <sz val="9.0"/>
      </rPr>
      <t>16/08 - Aguardando CCT - será aprovado e enviado esta semana para a Anatel. Homologação deve sair em torno de 30 dias. Conforme informado pelo Vincent, produto alterado para FAT 11 (Rady date: 15/09)
08/08 - Relatórios de RF e SEG OK / Ocorrencia no ensaio de ER. Amostra recebida do labroratório dia 03/08. Analise da ocorrencia prevista para finalizar dia 07/08, irei tentar o reteste e o relatório para até o dia 14/08. Aguardando confirmação.
19/07 - Ajustes ok, fornecedor realizará de acordo. Aguardando agenda de ensaios atualizada. Produção em paralelo, questionamos ao Vincent o ready date.
04/07 - Solicitamos ajustes nas placas do produto, conforme configuração para ensaios. Aguardando retorno, por enquanto ETA 24/10.
21/06 - Amostra enviada ontem para configuação (Bruno está focando no CPG). ETA CD 07/12
12/06 - Recebemos a amostra em 07/06 no escritório, será encaminhada para a ETS para configuração. ETA CD 28/11
18/05 - Data estimada para envio das amostras: 25/05. ETA CD: 28/11. (leadtime de 45 dias!)
28/04 - Confirmado que produto é diferente do PI6259Y/PI5555Y. Vincent informou que estão resolvendo um problema de uso de produto e poderá passar as informações depois.</t>
    </r>
  </si>
  <si>
    <t>Jiangxi Jiayinking Culture Technology Company Ltd</t>
  </si>
  <si>
    <t>MODERNA-1455/23</t>
  </si>
  <si>
    <t>13909-23-15816</t>
  </si>
  <si>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13909-23-15816.
Para maiores informações, consulte o site da ANATEL em </t>
    </r>
    <r>
      <rPr>
        <rFont val="Trebuchet MS"/>
        <color rgb="FF1155CC"/>
        <sz val="9.0"/>
        <u/>
      </rPr>
      <t>www.anatel.gov.br</t>
    </r>
  </si>
  <si>
    <t>PI6452Y</t>
  </si>
  <si>
    <t>PELUCIA JANTINHA P</t>
  </si>
  <si>
    <r>
      <rPr>
        <rFont val="Trebuchet MS"/>
        <b/>
        <color theme="1"/>
        <sz val="9.0"/>
      </rPr>
      <t xml:space="preserve">25/11/24 -  Registro encerrado.
</t>
    </r>
    <r>
      <rPr>
        <rFont val="Trebuchet MS"/>
        <b val="0"/>
        <color theme="1"/>
        <sz val="9.0"/>
      </rPr>
      <t>18/07 - Realizada inclusão. Processo ok.</t>
    </r>
    <r>
      <rPr>
        <rFont val="Trebuchet MS"/>
        <b/>
        <color theme="1"/>
        <sz val="9.0"/>
      </rPr>
      <t xml:space="preserve">
</t>
    </r>
    <r>
      <rPr>
        <rFont val="Trebuchet MS"/>
        <b val="0"/>
        <color theme="1"/>
        <sz val="9.0"/>
      </rPr>
      <t>04/07 - Verificar retirada de itens do certificado antigo, para inclusão sem ensaios.
21/06 - Aguardando código de barras para enviar o memorial descritivo para Brics realizar a inclusão. Já passei o número de registro para a Penny.
12/06 - Amostra aprovada pela Criação na semana passada, seguindo com o processo de inclusão no processo dos Squishies antigos.
18/05 - Penny enviou as informações, iniciando processo de inclusão.
09/05 - Solicitadas informações técnicas para inclusão no certificado 9142/2023-BRI-2.</t>
    </r>
  </si>
  <si>
    <t>PI6453Y</t>
  </si>
  <si>
    <t>PELUCIA JANTINHA G</t>
  </si>
  <si>
    <r>
      <rPr>
        <rFont val="Trebuchet MS"/>
        <b/>
        <color theme="1"/>
        <sz val="9.0"/>
      </rPr>
      <t xml:space="preserve">25/11/24 -  Registro encerrado.
</t>
    </r>
    <r>
      <rPr>
        <rFont val="Trebuchet MS"/>
        <b val="0"/>
        <color theme="1"/>
        <sz val="9.0"/>
      </rPr>
      <t>18/07 - Realizada inclusão. Processo ok.</t>
    </r>
    <r>
      <rPr>
        <rFont val="Trebuchet MS"/>
        <b/>
        <color theme="1"/>
        <sz val="9.0"/>
      </rPr>
      <t xml:space="preserve">
</t>
    </r>
    <r>
      <rPr>
        <rFont val="Trebuchet MS"/>
        <b val="0"/>
        <color theme="1"/>
        <sz val="9.0"/>
      </rPr>
      <t>04/07 - Verificar retirada de itens do certificado antigo, para inclusão sem ensaios.
21/06 - Aguardando código de barras para enviar o memorial descritivo para Brics realizar a inclusão. Já passei o número de registro para a Penny.
12/06 - Amostra aprovada pela Criação na semana passada, seguindo com o processo de inclusão no processo dos Squishies antigos.
18/05 - Penny enviou as informações, iniciando processo de inclusão.
09/05 - Solicitadas informações técnicas para inclusão no certificado 9142/2023-BRI-2.</t>
    </r>
  </si>
  <si>
    <t>PI6373Y</t>
  </si>
  <si>
    <t>PELUCIA BORIS ASTRONAUTA P</t>
  </si>
  <si>
    <t>0 Amostras (inclusão)</t>
  </si>
  <si>
    <r>
      <rPr>
        <rFont val="Trebuchet MS"/>
        <b/>
        <color theme="1"/>
        <sz val="9.0"/>
      </rPr>
      <t xml:space="preserve">25/11/24 -  Registro encerrado.
</t>
    </r>
    <r>
      <rPr>
        <rFont val="Trebuchet MS"/>
        <b val="0"/>
        <color theme="1"/>
        <sz val="9.0"/>
      </rPr>
      <t>18/07 - Realizada inclusão. Processo ok.</t>
    </r>
    <r>
      <rPr>
        <rFont val="Trebuchet MS"/>
        <b/>
        <color theme="1"/>
        <sz val="9.0"/>
      </rPr>
      <t xml:space="preserve">
</t>
    </r>
    <r>
      <rPr>
        <rFont val="Trebuchet MS"/>
        <b val="0"/>
        <color theme="1"/>
        <sz val="9.0"/>
      </rPr>
      <t>04/07 - Verificar retirada de itens do certificado antigo, para inclusão sem ensaios.
21/06 - Aguardando código de barras para enviar o memorial descritivo para Brics realizar a inclusão. Já passei o número de registro para a Penny.
12/06 - Amostra aprovada pela Criação na semana passada, seguindo com o processo de inclusão no processo dos Squishies antigos.
18/05 - Penny enviou as informações, iniciando processo de inclusão.
09/05 - Solicitadas informações técnicas para inclusão no certificado 9142/2023-BRI-2.</t>
    </r>
  </si>
  <si>
    <t>PI6374Y</t>
  </si>
  <si>
    <t>PELUCIA FIFI FOFOQUINHA P</t>
  </si>
  <si>
    <r>
      <rPr>
        <rFont val="Trebuchet MS"/>
        <b/>
        <color theme="1"/>
        <sz val="9.0"/>
      </rPr>
      <t xml:space="preserve">25/11/24 -  Registro encerrado.
</t>
    </r>
    <r>
      <rPr>
        <rFont val="Trebuchet MS"/>
        <b val="0"/>
        <color theme="1"/>
        <sz val="9.0"/>
      </rPr>
      <t>18/07 - Realizada inclusão. Processo ok.</t>
    </r>
    <r>
      <rPr>
        <rFont val="Trebuchet MS"/>
        <b/>
        <color theme="1"/>
        <sz val="9.0"/>
      </rPr>
      <t xml:space="preserve">
</t>
    </r>
    <r>
      <rPr>
        <rFont val="Trebuchet MS"/>
        <b val="0"/>
        <color theme="1"/>
        <sz val="9.0"/>
      </rPr>
      <t>04/07 - Verificar retirada de itens do certificado antigo, para inclusão sem ensaios.
21/06 - Aguardando código de barras para enviar o memorial descritivo para Brics realizar a inclusão. Já passei o número de registro para a Penny.
12/06 - Amostra aprovada pela Criação na semana passada, seguindo com o processo de inclusão no processo dos Squishies antigos.
18/05 - Penny enviou as informações, iniciando processo de inclusão.
09/05 - Solicitadas informações técnicas para inclusão no certificado 9142/2023-BRI-2.</t>
    </r>
  </si>
  <si>
    <t>PI6375Y</t>
  </si>
  <si>
    <t>PELUCIA MELINHA P</t>
  </si>
  <si>
    <r>
      <rPr>
        <rFont val="Trebuchet MS"/>
        <b/>
        <color theme="1"/>
        <sz val="9.0"/>
      </rPr>
      <t xml:space="preserve">25/11/24 -  Registro encerrado.
</t>
    </r>
    <r>
      <rPr>
        <rFont val="Trebuchet MS"/>
        <b val="0"/>
        <color theme="1"/>
        <sz val="9.0"/>
      </rPr>
      <t>18/07 - Realizada inclusão. Processo ok.</t>
    </r>
    <r>
      <rPr>
        <rFont val="Trebuchet MS"/>
        <b/>
        <color theme="1"/>
        <sz val="9.0"/>
      </rPr>
      <t xml:space="preserve">
</t>
    </r>
    <r>
      <rPr>
        <rFont val="Trebuchet MS"/>
        <b val="0"/>
        <color theme="1"/>
        <sz val="9.0"/>
      </rPr>
      <t>04/07 - Verificar retirada de itens do certificado antigo, para inclusão sem ensaios.
21/06 - Aguardando código de barras para enviar o memorial descritivo para Brics realizar a inclusão. Já passei o número de registro para a Penny.
12/06 - Amostra aprovada pela Criação na semana passada, seguindo com o processo de inclusão no processo dos Squishies antigos.
18/05 - Penny enviou as informações, iniciando processo de inclusão.
09/05 - Solicitadas informações técnicas para inclusão no certificado 9142/2023-BRI-2.</t>
    </r>
  </si>
  <si>
    <t>PI6376Y</t>
  </si>
  <si>
    <t>PELUCIA BORIS ASTRONAUTA G</t>
  </si>
  <si>
    <r>
      <rPr>
        <rFont val="Trebuchet MS"/>
        <b/>
        <color theme="1"/>
        <sz val="9.0"/>
      </rPr>
      <t xml:space="preserve">25/11/24 -  Registro encerrado.
</t>
    </r>
    <r>
      <rPr>
        <rFont val="Trebuchet MS"/>
        <b val="0"/>
        <color theme="1"/>
        <sz val="9.0"/>
      </rPr>
      <t>18/07 - Realizada inclusão. Processo ok.</t>
    </r>
    <r>
      <rPr>
        <rFont val="Trebuchet MS"/>
        <b/>
        <color theme="1"/>
        <sz val="9.0"/>
      </rPr>
      <t xml:space="preserve">
</t>
    </r>
    <r>
      <rPr>
        <rFont val="Trebuchet MS"/>
        <b val="0"/>
        <color theme="1"/>
        <sz val="9.0"/>
      </rPr>
      <t>04/07 - Verificar retirada de itens do certificado antigo, para inclusão sem ensaios.
21/06 - Aguardando código de barras para enviar o memorial descritivo para Brics realizar a inclusão. Já passei o número de registro para a Penny.
12/06 - Amostra aprovada pela Criação na semana passada, seguindo com o processo de inclusão no processo dos Squishies antigos.
18/05 - Penny enviou as informações, iniciando processo de inclusão.
09/05 - Solicitadas informações técnicas para inclusão no certificado 9142/2023-BRI-2.</t>
    </r>
  </si>
  <si>
    <t>PI6377Y</t>
  </si>
  <si>
    <t>PELUCIA FIFI FOFOQUINHA G</t>
  </si>
  <si>
    <r>
      <rPr>
        <rFont val="Trebuchet MS"/>
        <b/>
        <color theme="1"/>
        <sz val="9.0"/>
      </rPr>
      <t xml:space="preserve">25/11/24 -  Registro encerrado.
</t>
    </r>
    <r>
      <rPr>
        <rFont val="Trebuchet MS"/>
        <b val="0"/>
        <color theme="1"/>
        <sz val="9.0"/>
      </rPr>
      <t>18/07 - Realizada inclusão. Processo ok.</t>
    </r>
    <r>
      <rPr>
        <rFont val="Trebuchet MS"/>
        <b/>
        <color theme="1"/>
        <sz val="9.0"/>
      </rPr>
      <t xml:space="preserve">
</t>
    </r>
    <r>
      <rPr>
        <rFont val="Trebuchet MS"/>
        <b val="0"/>
        <color theme="1"/>
        <sz val="9.0"/>
      </rPr>
      <t>04/07 - Verificar retirada de itens do certificado antigo, para inclusão sem ensaios.
21/06 - Aguardando código de barras para enviar o memorial descritivo para Brics realizar a inclusão. Já passei o número de registro para a Penny.
12/06 - Amostra aprovada pela Criação na semana passada, seguindo com o processo de inclusão no processo dos Squishies antigos.
18/05 - Penny enviou as informações, iniciando processo de inclusão.
09/05 - Solicitadas informações técnicas para inclusão no certificado 9142/2023-BRI-2.</t>
    </r>
  </si>
  <si>
    <t>PI6378Y</t>
  </si>
  <si>
    <t>PELUCIA MELINHA G</t>
  </si>
  <si>
    <r>
      <rPr>
        <rFont val="Trebuchet MS"/>
        <b/>
        <color theme="1"/>
        <sz val="9.0"/>
      </rPr>
      <t xml:space="preserve">25/11/24 -  Registro encerrado.
</t>
    </r>
    <r>
      <rPr>
        <rFont val="Trebuchet MS"/>
        <b val="0"/>
        <color theme="1"/>
        <sz val="9.0"/>
      </rPr>
      <t>18/07 - Realizada inclusão. Processo ok.</t>
    </r>
    <r>
      <rPr>
        <rFont val="Trebuchet MS"/>
        <b/>
        <color theme="1"/>
        <sz val="9.0"/>
      </rPr>
      <t xml:space="preserve">
</t>
    </r>
    <r>
      <rPr>
        <rFont val="Trebuchet MS"/>
        <b val="0"/>
        <color theme="1"/>
        <sz val="9.0"/>
      </rPr>
      <t>04/07 - Verificar retirada de itens do certificado antigo, para inclusão sem ensaios.
21/06 - Aguardando código de barras para enviar o memorial descritivo para Brics realizar a inclusão. Já passei o número de registro para a Penny.
12/06 - Amostra aprovada pela Criação na semana passada, seguindo com o processo de inclusão no processo dos Squishies antigos.
18/05 - Penny enviou as informações, iniciando processo de inclusão.
09/05 - Solicitadas informações técnicas para inclusão no certificado 9142/2023-BRI-2.</t>
    </r>
  </si>
  <si>
    <t>PI6458Y</t>
  </si>
  <si>
    <t>Shenzhen Kingsun</t>
  </si>
  <si>
    <t>CAIXA DE SOM PORTÁTIL AZUL ESCURO</t>
  </si>
  <si>
    <r>
      <rPr>
        <rFont val="Trebuchet MS"/>
        <b/>
        <color theme="1"/>
        <sz val="9.0"/>
      </rPr>
      <t xml:space="preserve">21/09 - Certificado de homologação concedido na data de hoje.
</t>
    </r>
    <r>
      <rPr>
        <rFont val="Trebuchet MS"/>
        <color theme="1"/>
        <sz val="9.0"/>
      </rPr>
      <t>08/09 - Foto das amostras enviadas hoje.
15/08 - Aguardando envio das fotos da MP de todos os modelos para concluir o certificado e solicitar a homologação. Data estimada de chegada no CD: 24/10 (cons sheets)
08/08 - Ensaios aprovados. Cronograma segue conforme informado pelo Vincent.
19/07 - Dois dos três relatórios já foram recebidos e estão ok. Terceiro relatório deve chegar até 26/07. Previsão permanece.
05/07 - Vincent informou que o fornecedor utilizou cabo de maior qualidade para evitar que os ruídos passem dos limites, vamos analisar para confirmar se seguiremos desta forma.
12/06 - Amostras estão no Bruno para configuração, considerando produção após finalização desta etapa (18/07) ETA CD: 29/09.
22/05 - Envio das amostras: 23/05 + leadtime 50 dias: ETA CD 09/11. Produção em paralelo: verificar China.
09/05 - Solicitas informações técnicas + amostras.</t>
    </r>
  </si>
  <si>
    <t>DongGuan Xing Yue Electronic Co, Ltd.</t>
  </si>
  <si>
    <t>MODERNA-1456/23</t>
  </si>
  <si>
    <t>13900-23-15956</t>
  </si>
  <si>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13900-23-15956.
Para maiores informações, consulte o site da ANATEL em </t>
    </r>
    <r>
      <rPr>
        <rFont val="Trebuchet MS"/>
        <color rgb="FF1155CC"/>
        <sz val="9.0"/>
        <u/>
      </rPr>
      <t>www.anatel.gov.br</t>
    </r>
  </si>
  <si>
    <t>PI6459Y</t>
  </si>
  <si>
    <t>CAIXA DE SOM PORTÁTIL VERMELHA</t>
  </si>
  <si>
    <r>
      <rPr>
        <rFont val="Trebuchet MS"/>
        <b/>
        <color theme="1"/>
        <sz val="9.0"/>
      </rPr>
      <t>21/09 - Certificado de homologação concedido na data de hoje.</t>
    </r>
    <r>
      <rPr>
        <rFont val="Trebuchet MS"/>
        <color theme="1"/>
        <sz val="9.0"/>
      </rPr>
      <t xml:space="preserve">
08/09 - Foto das amostras enviadas hoje.
15/08 - Aguardando envio das fotos da MP de todos os modelos para concluir o certificado e solicitar a homologação. Data estimada de chegada no CD: 24/10 (cons sheets)
08/08 - Ensaios aprovados. Cronograma segue conforme informado pelo Vincent.
19/07 - Dois dos três relatórios já foram recebidos e estão ok. Terceiro relatório deve chegar até 26/07. Previsão permanece.
05/07 - Vincent informou que o fornecedor utilizou cabo de maior qualidade para evitar que os ruídos passem dos limites, vamos analisar para confirmar se seguiremos desta forma.
12/06 - Amostras estão no Bruno para configuração, considerando produção após finalização desta etapa (18/07) ETA CD: 29/09.
22/05 - Envio das amostras: 23/05 + leadtime 50 dias: ETA CD 09/11. Produção em paralelo: verificar China.
09/05 - Solicitas informações técnicas + amostras.</t>
    </r>
  </si>
  <si>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13900-23-15956.
Para maiores informações, consulte o site da ANATEL em </t>
    </r>
    <r>
      <rPr>
        <rFont val="Trebuchet MS"/>
        <color rgb="FF1155CC"/>
        <sz val="9.0"/>
        <u/>
      </rPr>
      <t>www.anatel.gov.br</t>
    </r>
  </si>
  <si>
    <t>PI6460Y</t>
  </si>
  <si>
    <t>CAIXA DE SOM PORTÁTIL ROXO</t>
  </si>
  <si>
    <r>
      <rPr>
        <rFont val="Trebuchet MS"/>
        <b/>
        <color theme="1"/>
        <sz val="9.0"/>
      </rPr>
      <t>21/09 - Certificado de homologação concedido na data de hoje.</t>
    </r>
    <r>
      <rPr>
        <rFont val="Trebuchet MS"/>
        <color theme="1"/>
        <sz val="9.0"/>
      </rPr>
      <t xml:space="preserve">
08/09 - Foto das amostras enviadas hoje.
15/08 - Aguardando envio das fotos da MP de todos os modelos para concluir o certificado e solicitar a homologação. Data estimada de chegada no CD: 24/10 (cons sheets)
08/08 - Ensaios aprovados. Cronograma segue conforme informado pelo Vincent.
19/07 - Dois dos três relatórios já foram recebidos e estão ok. Terceiro relatório deve chegar até 26/07. Previsão permanece.
05/07 - Vincent informou que o fornecedor utilizou cabo de maior qualidade para evitar que os ruídos passem dos limites, vamos analisar para confirmar se seguiremos desta forma.
12/06 - Amostras estão no Bruno para configuração, considerando produção após finalização desta etapa (18/07) ETA CD: 29/09.
22/05 - Envio das amostras: 23/05 + leadtime 50 dias: ETA CD 09/11. Produção em paralelo: verificar China.
09/05 - Solicitas informações técnicas + amostras.</t>
    </r>
  </si>
  <si>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13900-23-15956.
Para maiores informações, consulte o site da ANATEL em </t>
    </r>
    <r>
      <rPr>
        <rFont val="Trebuchet MS"/>
        <color rgb="FF1155CC"/>
        <sz val="9.0"/>
        <u/>
      </rPr>
      <t>www.anatel.gov.br</t>
    </r>
  </si>
  <si>
    <t>PI6461Y</t>
  </si>
  <si>
    <t>CAIXA DE SOM PORTÁTIL PRETO</t>
  </si>
  <si>
    <r>
      <rPr>
        <rFont val="Trebuchet MS"/>
        <b/>
        <color theme="1"/>
        <sz val="9.0"/>
      </rPr>
      <t xml:space="preserve">21/09 - Certificado de homologação concedido na data de hoje.
</t>
    </r>
    <r>
      <rPr>
        <rFont val="Trebuchet MS"/>
        <color theme="1"/>
        <sz val="9.0"/>
      </rPr>
      <t>08/09 - Foto das amostras enviadas hoje.
15/08 - Aguardando envio das fotos da MP de todos os modelos para concluir o certificado e solicitar a homologação. Data estimada de chegada no CD: 24/10 (cons sheets)
08/08 - Ensaios aprovados. Cronograma segue conforme informado pelo Vincent.
19/07 - Dois dos três relatórios já foram recebidos e estão ok. Terceiro relatório deve chegar até 26/07. Previsão permanece.
05/07 - Vincent informou que o fornecedor utilizou cabo de maior qualidade para evitar que os ruídos passem dos limites, vamos analisar para confirmar se seguiremos desta forma.
12/06 - Amostras estão no Bruno para configuração, considerando produção após finalização desta etapa (18/07) ETA CD: 29/09.
22/05 - Envio das amostras: 23/05 + leadtime 50 dias: ETA CD 09/11. Produção em paralelo: verificar China.
09/05 - Solicitas informações técnicas + amostras.</t>
    </r>
  </si>
  <si>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13900-23-15956.
Para maiores informações, consulte o site da ANATEL em </t>
    </r>
    <r>
      <rPr>
        <rFont val="Trebuchet MS"/>
        <color rgb="FF1155CC"/>
        <sz val="9.0"/>
        <u/>
      </rPr>
      <t>www.anatel.gov.br</t>
    </r>
  </si>
  <si>
    <t>PI6462Y</t>
  </si>
  <si>
    <t>CAIXA DE SOM PORTÁTIL VERDE E AMARELO</t>
  </si>
  <si>
    <r>
      <rPr>
        <rFont val="Trebuchet MS"/>
        <b/>
        <color theme="1"/>
        <sz val="9.0"/>
      </rPr>
      <t xml:space="preserve">21/09 - Certificado de homologação concedido na data de hoje.
</t>
    </r>
    <r>
      <rPr>
        <rFont val="Trebuchet MS"/>
        <color theme="1"/>
        <sz val="9.0"/>
      </rPr>
      <t>08/09 - Foto das amostras enviadas hoje.
15/08 - Aguardando envio das fotos da MP de todos os modelos para concluir o certificado e solicitar a homologação. Data estimada de chegada no CD: 24/10 (cons sheets)
08/08 - Ensaios aprovados. Cronograma segue conforme informado pelo Vincent.
19/07 - Dois dos três relatórios já foram recebidos e estão ok. Terceiro relatório deve chegar até 26/07. Previsão permanece.
05/07 - Vincent informou que o fornecedor utilizou cabo de maior qualidade para evitar que os ruídos passem dos limites, vamos analisar para confirmar se seguiremos desta forma.
12/06 - Amostras estão no Bruno para configuração, considerando produção após finalização desta etapa (18/07) ETA CD: 29/09.
22/05 - Envio das amostras: 23/05 + leadtime 50 dias: ETA CD 09/11. Produção em paralelo: verificar China.
09/05 - Solicitas informações técnicas + amostras.</t>
    </r>
  </si>
  <si>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13900-23-15956.
Para maiores informações, consulte o site da ANATEL em </t>
    </r>
    <r>
      <rPr>
        <rFont val="Trebuchet MS"/>
        <color rgb="FF1155CC"/>
        <sz val="9.0"/>
        <u/>
      </rPr>
      <t>www.anatel.gov.br</t>
    </r>
  </si>
  <si>
    <t>PI6470Y</t>
  </si>
  <si>
    <t>CAIXA DE SOM PORTÁTIL PINK</t>
  </si>
  <si>
    <r>
      <rPr>
        <rFont val="Trebuchet MS"/>
        <b/>
        <color theme="1"/>
        <sz val="9.0"/>
      </rPr>
      <t xml:space="preserve">21/09 - Certificado de homologação concedido na data de hoje.
</t>
    </r>
    <r>
      <rPr>
        <rFont val="Trebuchet MS"/>
        <color theme="1"/>
        <sz val="9.0"/>
      </rPr>
      <t>08/09 - Foto das amostras enviadas hoje.
15/08 - Aguardando envio das fotos da MP de todos os modelos para concluir o certificado e solicitar a homologação. Data estimada de chegada no CD: 24/10 (cons sheets)
08/08 - Ensaios aprovados. Cronograma segue conforme informado pelo Vincent.
19/07 - Dois dos três relatórios já foram recebidos e estão ok. Terceiro relatório deve chegar até 26/07. Previsão permanece.
05/07 - Vincent informou que o fornecedor utilizou cabo de maior qualidade para evitar que os ruídos passem dos limites, vamos analisar para confirmar se seguiremos desta forma.
12/06 - Amostras estão no Bruno para configuração, considerando produção após finalização desta etapa (18/07) ETA CD: 29/09.
22/05 - Envio das amostras: 23/05 + leadtime 50 dias: ETA CD 09/11. Produção em paralelo: verificar China.
09/05 - Solicitas informações técnicas + amostras.</t>
    </r>
  </si>
  <si>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13900-23-15956.
Para maiores informações, consulte o site da ANATEL em </t>
    </r>
    <r>
      <rPr>
        <rFont val="Trebuchet MS"/>
        <color rgb="FF1155CC"/>
        <sz val="9.0"/>
        <u/>
      </rPr>
      <t>www.anatel.gov.br</t>
    </r>
  </si>
  <si>
    <t>PI6471Y</t>
  </si>
  <si>
    <t>CAIXA DE SOM PORTÁTIL AZUL CLARO</t>
  </si>
  <si>
    <r>
      <rPr>
        <rFont val="Trebuchet MS"/>
        <b/>
        <color theme="1"/>
        <sz val="9.0"/>
      </rPr>
      <t xml:space="preserve">21/09 - Certificado de homologação concedido na data de hoje.
</t>
    </r>
    <r>
      <rPr>
        <rFont val="Trebuchet MS"/>
        <color theme="1"/>
        <sz val="9.0"/>
      </rPr>
      <t>08/09 - Foto das amostras enviadas hoje.
15/08 - Aguardando envio das fotos da MP de todos os modelos para concluir o certificado e solicitar a homologação. Data estimada de chegada no CD: 24/10 (cons sheets)
08/08 - Ensaios aprovados. Cronograma segue conforme informado pelo Vincent.
19/07 - Dois dos três relatórios já foram recebidos e estão ok. Terceiro relatório deve chegar até 26/07. Previsão permanece.
05/07 - Vincent informou que o fornecedor utilizou cabo de maior qualidade para evitar que os ruídos passem dos limites, vamos analisar para confirmar se seguiremos desta forma.
12/06 - Amostras estão no Bruno para configuração, considerando produção após finalização desta etapa (18/07) ETA CD: 29/09.
22/05 - Envio das amostras: 23/05 + leadtime 50 dias: ETA CD 09/11. Produção em paralelo: verificar China.
09/05 - Solicitas informações técnicas + amostras.</t>
    </r>
  </si>
  <si>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13900-23-15956.
Para maiores informações, consulte o site da ANATEL em </t>
    </r>
    <r>
      <rPr>
        <rFont val="Trebuchet MS"/>
        <color rgb="FF1155CC"/>
        <sz val="9.0"/>
        <u/>
      </rPr>
      <t>www.anatel.gov.br</t>
    </r>
  </si>
  <si>
    <t>PI6457Y</t>
  </si>
  <si>
    <t>2023 - FAT12</t>
  </si>
  <si>
    <t>Kingsun</t>
  </si>
  <si>
    <t>MINI KARAOKE E MICROFONE ROSA</t>
  </si>
  <si>
    <r>
      <rPr>
        <rFont val="Trebuchet MS"/>
        <b/>
        <color theme="1"/>
        <sz val="9.0"/>
      </rPr>
      <t xml:space="preserve">24/09/25 - Manutenção finalizada.
</t>
    </r>
    <r>
      <rPr>
        <rFont val="Trebuchet MS"/>
        <color theme="1"/>
        <sz val="9.0"/>
      </rPr>
      <t>11/09 - Certificação concedida na data de hoje.
28/08 - Feito upload dos documentos no site da ANATEL. Aguardando certificado de homologação.</t>
    </r>
    <r>
      <rPr>
        <rFont val="Trebuchet MS"/>
        <b/>
        <color theme="1"/>
        <sz val="9.0"/>
      </rPr>
      <t xml:space="preserve">
</t>
    </r>
    <r>
      <rPr>
        <rFont val="Trebuchet MS"/>
        <color theme="1"/>
        <sz val="9.0"/>
      </rPr>
      <t>08/08 - Amostra no laboratório. Previsão de envio dos laudos: 23/08. Chegada CD: 05/12.
05/07 - Amostra está com o Bruno para configuração. Prazo: 13/07. ETA CD 07/12.
21/06 - Amostras enviadas em 15/06. DHL: 9483997014. ETA CD 04/12.
12/06 - Amostras devem ser enviadas esta semana, leadtime de produção: 40 dias, ETA CD: 28/11.
22/05 - Sem atualizações.
09/05 - Solicitas informações técnicas + amostras.</t>
    </r>
  </si>
  <si>
    <t>MODERNA-1657/23</t>
  </si>
  <si>
    <t>13907-23-15956</t>
  </si>
  <si>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13907-23-15956.
Para maiores informações, consulte o site da ANATEL em </t>
    </r>
    <r>
      <rPr>
        <rFont val="Trebuchet MS"/>
        <color rgb="FF1155CC"/>
        <sz val="9.0"/>
        <u/>
      </rPr>
      <t>www.anatel.gov.br</t>
    </r>
  </si>
  <si>
    <t>PI6138Y</t>
  </si>
  <si>
    <t>ALMOFADA COM MASCARA DOBRAVEL BORIS</t>
  </si>
  <si>
    <r>
      <rPr>
        <rFont val="Trebuchet MS"/>
        <b/>
        <color theme="1"/>
        <sz val="9.0"/>
      </rPr>
      <t xml:space="preserve">18/09/24 - Registro inativado.
</t>
    </r>
    <r>
      <rPr>
        <rFont val="Trebuchet MS"/>
        <color theme="1"/>
        <sz val="9.0"/>
      </rPr>
      <t>30/08 - Ensaios finalizados e ok, mercadoria está pronta para embarcar e será feito retrabalho de etiquetas no Brasil.</t>
    </r>
    <r>
      <rPr>
        <rFont val="Trebuchet MS"/>
        <b/>
        <color theme="1"/>
        <sz val="9.0"/>
      </rPr>
      <t xml:space="preserve">
</t>
    </r>
    <r>
      <rPr>
        <rFont val="Trebuchet MS"/>
        <color theme="1"/>
        <sz val="9.0"/>
      </rPr>
      <t>15/08 - Confirmado o recebimento pelo laboratório, previsão de finalização dos ensaios: 30/08.
08/08 - Proposta do laboratório (Cobo) aceita, aguardando previsão de finalização dos ensaios. ETA CD: 29/11.</t>
    </r>
  </si>
  <si>
    <t>9773/2023-BRI-1</t>
  </si>
  <si>
    <t>009461/2023</t>
  </si>
  <si>
    <t>Certificação INMETRO:Produto certificado por BRICS OCP 0098 Nº Registro 009461/2023</t>
  </si>
  <si>
    <t>PI6240Y</t>
  </si>
  <si>
    <t>ALMOFADA DE VIAGEM COM MÁSCARA HP LUNA</t>
  </si>
  <si>
    <r>
      <rPr>
        <rFont val="Trebuchet MS"/>
        <b/>
        <color theme="1"/>
        <sz val="9.0"/>
      </rPr>
      <t xml:space="preserve">18/09/24 - Registro inativado.
</t>
    </r>
    <r>
      <rPr>
        <rFont val="Trebuchet MS"/>
        <color theme="1"/>
        <sz val="9.0"/>
      </rPr>
      <t>30/08 - Ensaios finalizados e ok, mercadoria está pronta para embarcar e será feito retrabalho de etiquetas no Brasil.</t>
    </r>
    <r>
      <rPr>
        <rFont val="Trebuchet MS"/>
        <b/>
        <color theme="1"/>
        <sz val="9.0"/>
      </rPr>
      <t xml:space="preserve">
</t>
    </r>
    <r>
      <rPr>
        <rFont val="Trebuchet MS"/>
        <color theme="1"/>
        <sz val="9.0"/>
      </rPr>
      <t>15/08 - Confirmado o recebimento pelo laboratório, previsão de finalização dos ensaios: 30/08.
08/08 - Proposta do laboratório (Cobo) aceita, aguardando previsão de finalização dos ensaios. ETA CD: 29/11.</t>
    </r>
  </si>
  <si>
    <t>PI6547Y</t>
  </si>
  <si>
    <t>2024 - FAT02</t>
  </si>
  <si>
    <t>PELUCIA HERBY P</t>
  </si>
  <si>
    <t>0 amostras</t>
  </si>
  <si>
    <r>
      <rPr>
        <rFont val="Trebuchet MS"/>
        <b/>
        <color theme="1"/>
        <sz val="9.0"/>
      </rPr>
      <t xml:space="preserve">25/11/24 -  Registro encerrado.
</t>
    </r>
    <r>
      <rPr>
        <rFont val="Trebuchet MS"/>
        <color theme="1"/>
        <sz val="9.0"/>
      </rPr>
      <t>04/01/24 - Solicitação aprovada no Orquestra, processo finalizado.</t>
    </r>
    <r>
      <rPr>
        <rFont val="Trebuchet MS"/>
        <b/>
        <color theme="1"/>
        <sz val="9.0"/>
      </rPr>
      <t xml:space="preserve">
</t>
    </r>
    <r>
      <rPr>
        <rFont val="Trebuchet MS"/>
        <color theme="1"/>
        <sz val="9.0"/>
      </rPr>
      <t>12/12 - Inclusão solicitada no Orquestra.</t>
    </r>
    <r>
      <rPr>
        <rFont val="Trebuchet MS"/>
        <b/>
        <color theme="1"/>
        <sz val="9.0"/>
      </rPr>
      <t xml:space="preserve">
</t>
    </r>
    <r>
      <rPr>
        <rFont val="Trebuchet MS"/>
        <color theme="1"/>
        <sz val="9.0"/>
      </rPr>
      <t>12/09 - Memorial descritivo enviado a BRICS.</t>
    </r>
    <r>
      <rPr>
        <rFont val="Trebuchet MS"/>
        <b/>
        <color theme="1"/>
        <sz val="9.0"/>
      </rPr>
      <t xml:space="preserve">
</t>
    </r>
    <r>
      <rPr>
        <rFont val="Trebuchet MS"/>
        <color theme="1"/>
        <sz val="9.0"/>
      </rPr>
      <t>15/08 - Aguardando informação das pelúcias de grade opiniada para solicitação das amostras para ensaios de inclusão.</t>
    </r>
  </si>
  <si>
    <t>PI6548Y</t>
  </si>
  <si>
    <t>PELUCIA NEVINHO P</t>
  </si>
  <si>
    <r>
      <rPr>
        <rFont val="Trebuchet MS"/>
        <b/>
        <color theme="1"/>
        <sz val="9.0"/>
      </rPr>
      <t xml:space="preserve">25/11/24 -  Registro encerrado.
</t>
    </r>
    <r>
      <rPr>
        <rFont val="Trebuchet MS"/>
        <color theme="1"/>
        <sz val="9.0"/>
      </rPr>
      <t>04/01/24 - Solicitação aprovada no Orquestra, processo finalizado.</t>
    </r>
    <r>
      <rPr>
        <rFont val="Trebuchet MS"/>
        <b/>
        <color theme="1"/>
        <sz val="9.0"/>
      </rPr>
      <t xml:space="preserve">
</t>
    </r>
    <r>
      <rPr>
        <rFont val="Trebuchet MS"/>
        <color theme="1"/>
        <sz val="9.0"/>
      </rPr>
      <t>12/12 - Inclusão solicitada no Orquestra.</t>
    </r>
    <r>
      <rPr>
        <rFont val="Trebuchet MS"/>
        <b/>
        <color theme="1"/>
        <sz val="9.0"/>
      </rPr>
      <t xml:space="preserve">
</t>
    </r>
    <r>
      <rPr>
        <rFont val="Trebuchet MS"/>
        <color theme="1"/>
        <sz val="9.0"/>
      </rPr>
      <t>12/09 - Memorial descritivo enviado a BRICS.</t>
    </r>
    <r>
      <rPr>
        <rFont val="Trebuchet MS"/>
        <b/>
        <color theme="1"/>
        <sz val="9.0"/>
      </rPr>
      <t xml:space="preserve">
</t>
    </r>
    <r>
      <rPr>
        <rFont val="Trebuchet MS"/>
        <color theme="1"/>
        <sz val="9.0"/>
      </rPr>
      <t>15/08 - Aguardando informação das pelúcias de grade opiniada para solicitação das amostras para ensaios de inclusão.</t>
    </r>
  </si>
  <si>
    <t>PI6549Y</t>
  </si>
  <si>
    <t>PELUCIA CATITA P</t>
  </si>
  <si>
    <r>
      <rPr>
        <rFont val="Trebuchet MS"/>
        <b/>
        <color theme="1"/>
        <sz val="9.0"/>
      </rPr>
      <t xml:space="preserve">25/11/24 -  Registro encerrado.
</t>
    </r>
    <r>
      <rPr>
        <rFont val="Trebuchet MS"/>
        <color theme="1"/>
        <sz val="9.0"/>
      </rPr>
      <t>04/01/24 - Solicitação aprovada no Orquestra, processo finalizado.</t>
    </r>
    <r>
      <rPr>
        <rFont val="Trebuchet MS"/>
        <b/>
        <color theme="1"/>
        <sz val="9.0"/>
      </rPr>
      <t xml:space="preserve">
</t>
    </r>
    <r>
      <rPr>
        <rFont val="Trebuchet MS"/>
        <color theme="1"/>
        <sz val="9.0"/>
      </rPr>
      <t>12/12 - Inclusão solicitada no Orquestra.</t>
    </r>
    <r>
      <rPr>
        <rFont val="Trebuchet MS"/>
        <b/>
        <color theme="1"/>
        <sz val="9.0"/>
      </rPr>
      <t xml:space="preserve">
</t>
    </r>
    <r>
      <rPr>
        <rFont val="Trebuchet MS"/>
        <color theme="1"/>
        <sz val="9.0"/>
      </rPr>
      <t>12/09 - Memorial descritivo enviado a BRICS.</t>
    </r>
    <r>
      <rPr>
        <rFont val="Trebuchet MS"/>
        <b/>
        <color theme="1"/>
        <sz val="9.0"/>
      </rPr>
      <t xml:space="preserve">
</t>
    </r>
    <r>
      <rPr>
        <rFont val="Trebuchet MS"/>
        <color theme="1"/>
        <sz val="9.0"/>
      </rPr>
      <t>15/08 - Aguardando informação das pelúcias de grade opiniada para solicitação das amostras para ensaios de inclusão.</t>
    </r>
  </si>
  <si>
    <t>PI6550Y</t>
  </si>
  <si>
    <t>PELUCIA CHICO P</t>
  </si>
  <si>
    <r>
      <rPr>
        <rFont val="Trebuchet MS"/>
        <b/>
        <color theme="1"/>
        <sz val="9.0"/>
      </rPr>
      <t xml:space="preserve">25/11/24 -  Registro encerrado.
</t>
    </r>
    <r>
      <rPr>
        <rFont val="Trebuchet MS"/>
        <color theme="1"/>
        <sz val="9.0"/>
      </rPr>
      <t>04/01/24 - Solicitação aprovada no Orquestra, processo finalizado.</t>
    </r>
    <r>
      <rPr>
        <rFont val="Trebuchet MS"/>
        <b/>
        <color theme="1"/>
        <sz val="9.0"/>
      </rPr>
      <t xml:space="preserve">
</t>
    </r>
    <r>
      <rPr>
        <rFont val="Trebuchet MS"/>
        <color theme="1"/>
        <sz val="9.0"/>
      </rPr>
      <t>12/12 - Inclusão solicitada no Orquestra.</t>
    </r>
    <r>
      <rPr>
        <rFont val="Trebuchet MS"/>
        <b/>
        <color theme="1"/>
        <sz val="9.0"/>
      </rPr>
      <t xml:space="preserve">
</t>
    </r>
    <r>
      <rPr>
        <rFont val="Trebuchet MS"/>
        <color theme="1"/>
        <sz val="9.0"/>
      </rPr>
      <t>12/09 - Memorial descritivo enviado a BRICS.</t>
    </r>
    <r>
      <rPr>
        <rFont val="Trebuchet MS"/>
        <b/>
        <color theme="1"/>
        <sz val="9.0"/>
      </rPr>
      <t xml:space="preserve">
</t>
    </r>
    <r>
      <rPr>
        <rFont val="Trebuchet MS"/>
        <color theme="1"/>
        <sz val="9.0"/>
      </rPr>
      <t>15/08 - Aguardando informação das pelúcias de grade opiniada para solicitação das amostras para ensaios de inclusão.</t>
    </r>
  </si>
  <si>
    <t>PI6551Y</t>
  </si>
  <si>
    <t>PELUCIA HERBY G</t>
  </si>
  <si>
    <r>
      <rPr>
        <rFont val="Trebuchet MS"/>
        <b/>
        <color theme="1"/>
        <sz val="9.0"/>
      </rPr>
      <t xml:space="preserve">25/11/24 -  Registro encerrado.
</t>
    </r>
    <r>
      <rPr>
        <rFont val="Trebuchet MS"/>
        <color theme="1"/>
        <sz val="9.0"/>
      </rPr>
      <t>04/01/24 - Solicitação aprovada no Orquestra, processo finalizado.</t>
    </r>
    <r>
      <rPr>
        <rFont val="Trebuchet MS"/>
        <b/>
        <color theme="1"/>
        <sz val="9.0"/>
      </rPr>
      <t xml:space="preserve">
</t>
    </r>
    <r>
      <rPr>
        <rFont val="Trebuchet MS"/>
        <color theme="1"/>
        <sz val="9.0"/>
      </rPr>
      <t>12/12 - Inclusão solicitada no Orquestra.</t>
    </r>
    <r>
      <rPr>
        <rFont val="Trebuchet MS"/>
        <b/>
        <color theme="1"/>
        <sz val="9.0"/>
      </rPr>
      <t xml:space="preserve">
</t>
    </r>
    <r>
      <rPr>
        <rFont val="Trebuchet MS"/>
        <color theme="1"/>
        <sz val="9.0"/>
      </rPr>
      <t>12/09 - Memorial descritivo enviado a BRICS.</t>
    </r>
    <r>
      <rPr>
        <rFont val="Trebuchet MS"/>
        <b/>
        <color theme="1"/>
        <sz val="9.0"/>
      </rPr>
      <t xml:space="preserve">
</t>
    </r>
    <r>
      <rPr>
        <rFont val="Trebuchet MS"/>
        <color theme="1"/>
        <sz val="9.0"/>
      </rPr>
      <t>15/08 - Aguardando informação das pelúcias de grade opiniada para solicitação das amostras para ensaios de inclusão.</t>
    </r>
  </si>
  <si>
    <t>PI6552Y</t>
  </si>
  <si>
    <t>PELUCIA NEVINHO G</t>
  </si>
  <si>
    <r>
      <rPr>
        <rFont val="Trebuchet MS"/>
        <b/>
        <color theme="1"/>
        <sz val="9.0"/>
      </rPr>
      <t xml:space="preserve">25/11/24 -  Registro encerrado.
</t>
    </r>
    <r>
      <rPr>
        <rFont val="Trebuchet MS"/>
        <color theme="1"/>
        <sz val="9.0"/>
      </rPr>
      <t>04/01/24 - Solicitação aprovada no Orquestra, processo finalizado.</t>
    </r>
    <r>
      <rPr>
        <rFont val="Trebuchet MS"/>
        <b/>
        <color theme="1"/>
        <sz val="9.0"/>
      </rPr>
      <t xml:space="preserve">
</t>
    </r>
    <r>
      <rPr>
        <rFont val="Trebuchet MS"/>
        <color theme="1"/>
        <sz val="9.0"/>
      </rPr>
      <t>12/12 - Inclusão solicitada no Orquestra.</t>
    </r>
    <r>
      <rPr>
        <rFont val="Trebuchet MS"/>
        <b/>
        <color theme="1"/>
        <sz val="9.0"/>
      </rPr>
      <t xml:space="preserve">
</t>
    </r>
    <r>
      <rPr>
        <rFont val="Trebuchet MS"/>
        <color theme="1"/>
        <sz val="9.0"/>
      </rPr>
      <t>12/09 - Memorial descritivo enviado a BRICS.</t>
    </r>
    <r>
      <rPr>
        <rFont val="Trebuchet MS"/>
        <b/>
        <color theme="1"/>
        <sz val="9.0"/>
      </rPr>
      <t xml:space="preserve">
</t>
    </r>
    <r>
      <rPr>
        <rFont val="Trebuchet MS"/>
        <color theme="1"/>
        <sz val="9.0"/>
      </rPr>
      <t>15/08 - Aguardando informação das pelúcias de grade opiniada para solicitação das amostras para ensaios de inclusão.</t>
    </r>
  </si>
  <si>
    <t>PI6553Y</t>
  </si>
  <si>
    <t>PELUCIA CATITA G</t>
  </si>
  <si>
    <r>
      <rPr>
        <rFont val="Trebuchet MS"/>
        <b/>
        <color theme="1"/>
        <sz val="9.0"/>
      </rPr>
      <t xml:space="preserve">25/11/24 -  Registro encerrado.
</t>
    </r>
    <r>
      <rPr>
        <rFont val="Trebuchet MS"/>
        <color theme="1"/>
        <sz val="9.0"/>
      </rPr>
      <t>04/01/24 - Solicitação aprovada no Orquestra, processo finalizado.</t>
    </r>
    <r>
      <rPr>
        <rFont val="Trebuchet MS"/>
        <b/>
        <color theme="1"/>
        <sz val="9.0"/>
      </rPr>
      <t xml:space="preserve">
</t>
    </r>
    <r>
      <rPr>
        <rFont val="Trebuchet MS"/>
        <color theme="1"/>
        <sz val="9.0"/>
      </rPr>
      <t>12/12 - Inclusão solicitada no Orquestra.</t>
    </r>
    <r>
      <rPr>
        <rFont val="Trebuchet MS"/>
        <b/>
        <color theme="1"/>
        <sz val="9.0"/>
      </rPr>
      <t xml:space="preserve">
</t>
    </r>
    <r>
      <rPr>
        <rFont val="Trebuchet MS"/>
        <color theme="1"/>
        <sz val="9.0"/>
      </rPr>
      <t>12/09 - Memorial descritivo enviado a BRICS.</t>
    </r>
    <r>
      <rPr>
        <rFont val="Trebuchet MS"/>
        <b/>
        <color theme="1"/>
        <sz val="9.0"/>
      </rPr>
      <t xml:space="preserve">
</t>
    </r>
    <r>
      <rPr>
        <rFont val="Trebuchet MS"/>
        <color theme="1"/>
        <sz val="9.0"/>
      </rPr>
      <t>15/08 - Aguardando informação das pelúcias de grade opiniada para solicitação das amostras para ensaios de inclusão.</t>
    </r>
  </si>
  <si>
    <t>PI6554Y</t>
  </si>
  <si>
    <t>PELUCIA CHICO G</t>
  </si>
  <si>
    <r>
      <rPr>
        <rFont val="Trebuchet MS"/>
        <b/>
        <color theme="1"/>
        <sz val="9.0"/>
      </rPr>
      <t xml:space="preserve">25/11/24 -  Registro encerrado.
</t>
    </r>
    <r>
      <rPr>
        <rFont val="Trebuchet MS"/>
        <color theme="1"/>
        <sz val="9.0"/>
      </rPr>
      <t>04/01/24 - Solicitação aprovada no Orquestra, processo finalizado.</t>
    </r>
    <r>
      <rPr>
        <rFont val="Trebuchet MS"/>
        <b/>
        <color theme="1"/>
        <sz val="9.0"/>
      </rPr>
      <t xml:space="preserve">
</t>
    </r>
    <r>
      <rPr>
        <rFont val="Trebuchet MS"/>
        <color theme="1"/>
        <sz val="9.0"/>
      </rPr>
      <t>12/12 - Inclusão solicitada no Orquestra.</t>
    </r>
    <r>
      <rPr>
        <rFont val="Trebuchet MS"/>
        <b/>
        <color theme="1"/>
        <sz val="9.0"/>
      </rPr>
      <t xml:space="preserve">
</t>
    </r>
    <r>
      <rPr>
        <rFont val="Trebuchet MS"/>
        <color theme="1"/>
        <sz val="9.0"/>
      </rPr>
      <t>12/09 - Memorial descritivo enviado a BRICS.</t>
    </r>
    <r>
      <rPr>
        <rFont val="Trebuchet MS"/>
        <b/>
        <color theme="1"/>
        <sz val="9.0"/>
      </rPr>
      <t xml:space="preserve">
</t>
    </r>
    <r>
      <rPr>
        <rFont val="Trebuchet MS"/>
        <color theme="1"/>
        <sz val="9.0"/>
      </rPr>
      <t>15/08 - Aguardando informação das pelúcias de grade opiniada para solicitação das amostras para ensaios de inclusão.</t>
    </r>
  </si>
  <si>
    <t>PI6557Y</t>
  </si>
  <si>
    <t>CHAVEIRO HERBY</t>
  </si>
  <si>
    <r>
      <rPr>
        <rFont val="Trebuchet MS"/>
        <b/>
        <color theme="1"/>
        <sz val="9.0"/>
      </rPr>
      <t xml:space="preserve">25/11/24 - Registro encerrado.
</t>
    </r>
    <r>
      <rPr>
        <rFont val="Trebuchet MS"/>
        <b val="0"/>
        <color theme="1"/>
        <sz val="9.0"/>
      </rPr>
      <t>01/12 - Solicitação aprovada no Orquestra, processo finalizado.</t>
    </r>
    <r>
      <rPr>
        <rFont val="Trebuchet MS"/>
        <b/>
        <color theme="1"/>
        <sz val="9.0"/>
      </rPr>
      <t xml:space="preserve">
</t>
    </r>
    <r>
      <rPr>
        <rFont val="Trebuchet MS"/>
        <b val="0"/>
        <color theme="1"/>
        <sz val="9.0"/>
      </rPr>
      <t>23/11 - Número de registro concecido, aguardando aprovação no Orquestra.</t>
    </r>
    <r>
      <rPr>
        <rFont val="Trebuchet MS"/>
        <b/>
        <color theme="1"/>
        <sz val="9.0"/>
      </rPr>
      <t xml:space="preserve">
</t>
    </r>
    <r>
      <rPr>
        <rFont val="Trebuchet MS"/>
        <b val="0"/>
        <color theme="1"/>
        <sz val="9.0"/>
      </rPr>
      <t>22/11 - Registro solicitado no Orquestra.</t>
    </r>
    <r>
      <rPr>
        <rFont val="Trebuchet MS"/>
        <b/>
        <color theme="1"/>
        <sz val="9.0"/>
      </rPr>
      <t xml:space="preserve">
</t>
    </r>
    <r>
      <rPr>
        <rFont val="Trebuchet MS"/>
        <b val="0"/>
        <color theme="1"/>
        <sz val="9.0"/>
      </rPr>
      <t>30/08 - Aguardando prontidão das amostras para envio ao laboratório.  Data estimada: 12/10</t>
    </r>
  </si>
  <si>
    <t>9886/2023-BRI-1</t>
  </si>
  <si>
    <t>011489/2023</t>
  </si>
  <si>
    <t>Certificação INMETRO:Produto certificado por BRICS OCP 0098 Nº Registro 011489/2023</t>
  </si>
  <si>
    <t>PI6558Y</t>
  </si>
  <si>
    <t>CHAVEIRO NEVINHO</t>
  </si>
  <si>
    <r>
      <rPr>
        <rFont val="Trebuchet MS"/>
        <b/>
        <color theme="1"/>
        <sz val="9.0"/>
      </rPr>
      <t xml:space="preserve">25/11/24 - Registro encerrado.
</t>
    </r>
    <r>
      <rPr>
        <rFont val="Trebuchet MS"/>
        <b val="0"/>
        <color theme="1"/>
        <sz val="9.0"/>
      </rPr>
      <t>01/12 - Solicitação aprovada no Orquestra, processo finalizado.</t>
    </r>
    <r>
      <rPr>
        <rFont val="Trebuchet MS"/>
        <b/>
        <color theme="1"/>
        <sz val="9.0"/>
      </rPr>
      <t xml:space="preserve">
</t>
    </r>
    <r>
      <rPr>
        <rFont val="Trebuchet MS"/>
        <b val="0"/>
        <color theme="1"/>
        <sz val="9.0"/>
      </rPr>
      <t>23/11 - Número de registro concecido, aguardando aprovação no Orquestra.</t>
    </r>
    <r>
      <rPr>
        <rFont val="Trebuchet MS"/>
        <b/>
        <color theme="1"/>
        <sz val="9.0"/>
      </rPr>
      <t xml:space="preserve">
</t>
    </r>
    <r>
      <rPr>
        <rFont val="Trebuchet MS"/>
        <b val="0"/>
        <color theme="1"/>
        <sz val="9.0"/>
      </rPr>
      <t>22/11 - Registro solicitado no Orquestra.</t>
    </r>
    <r>
      <rPr>
        <rFont val="Trebuchet MS"/>
        <b/>
        <color theme="1"/>
        <sz val="9.0"/>
      </rPr>
      <t xml:space="preserve">
</t>
    </r>
    <r>
      <rPr>
        <rFont val="Trebuchet MS"/>
        <b val="0"/>
        <color theme="1"/>
        <sz val="9.0"/>
      </rPr>
      <t>30/08 - Aguardando prontidão das amostras para envio ao laboratório.  Data estimada: 12/10</t>
    </r>
  </si>
  <si>
    <t>PI6559Y</t>
  </si>
  <si>
    <t>CHAVEIRO CATITA</t>
  </si>
  <si>
    <r>
      <rPr>
        <rFont val="Trebuchet MS"/>
        <b/>
        <color theme="1"/>
        <sz val="9.0"/>
      </rPr>
      <t xml:space="preserve">25/11/24 - Registro encerrado.
</t>
    </r>
    <r>
      <rPr>
        <rFont val="Trebuchet MS"/>
        <b val="0"/>
        <color theme="1"/>
        <sz val="9.0"/>
      </rPr>
      <t>01/12 - Solicitação aprovada no Orquestra, processo finalizado.</t>
    </r>
    <r>
      <rPr>
        <rFont val="Trebuchet MS"/>
        <b/>
        <color theme="1"/>
        <sz val="9.0"/>
      </rPr>
      <t xml:space="preserve">
</t>
    </r>
    <r>
      <rPr>
        <rFont val="Trebuchet MS"/>
        <b val="0"/>
        <color theme="1"/>
        <sz val="9.0"/>
      </rPr>
      <t>23/11 - Número de registro concecido, aguardando aprovação no Orquestra.</t>
    </r>
    <r>
      <rPr>
        <rFont val="Trebuchet MS"/>
        <b/>
        <color theme="1"/>
        <sz val="9.0"/>
      </rPr>
      <t xml:space="preserve">
</t>
    </r>
    <r>
      <rPr>
        <rFont val="Trebuchet MS"/>
        <b val="0"/>
        <color theme="1"/>
        <sz val="9.0"/>
      </rPr>
      <t>22/11 - Registro solicitado no Orquestra.</t>
    </r>
    <r>
      <rPr>
        <rFont val="Trebuchet MS"/>
        <b/>
        <color theme="1"/>
        <sz val="9.0"/>
      </rPr>
      <t xml:space="preserve">
</t>
    </r>
    <r>
      <rPr>
        <rFont val="Trebuchet MS"/>
        <b val="0"/>
        <color theme="1"/>
        <sz val="9.0"/>
      </rPr>
      <t>30/08 - Aguardando prontidão das amostras para envio ao laboratório.  Data estimada: 12/10</t>
    </r>
  </si>
  <si>
    <t>PI6560Y</t>
  </si>
  <si>
    <t>CHAVEIRO CHICO</t>
  </si>
  <si>
    <r>
      <rPr>
        <rFont val="Trebuchet MS"/>
        <b/>
        <color theme="1"/>
        <sz val="9.0"/>
      </rPr>
      <t xml:space="preserve">25/11/24 - Registro encerrado.
</t>
    </r>
    <r>
      <rPr>
        <rFont val="Trebuchet MS"/>
        <b val="0"/>
        <color theme="1"/>
        <sz val="9.0"/>
      </rPr>
      <t>01/12 - Solicitação aprovada no Orquestra, processo finalizado.</t>
    </r>
    <r>
      <rPr>
        <rFont val="Trebuchet MS"/>
        <b/>
        <color theme="1"/>
        <sz val="9.0"/>
      </rPr>
      <t xml:space="preserve">
</t>
    </r>
    <r>
      <rPr>
        <rFont val="Trebuchet MS"/>
        <b val="0"/>
        <color theme="1"/>
        <sz val="9.0"/>
      </rPr>
      <t>23/11 - Número de registro concecido, aguardando aprovação no Orquestra.</t>
    </r>
    <r>
      <rPr>
        <rFont val="Trebuchet MS"/>
        <b/>
        <color theme="1"/>
        <sz val="9.0"/>
      </rPr>
      <t xml:space="preserve">
</t>
    </r>
    <r>
      <rPr>
        <rFont val="Trebuchet MS"/>
        <b val="0"/>
        <color theme="1"/>
        <sz val="9.0"/>
      </rPr>
      <t>22/11 - Registro solicitado no Orquestra.</t>
    </r>
    <r>
      <rPr>
        <rFont val="Trebuchet MS"/>
        <b/>
        <color theme="1"/>
        <sz val="9.0"/>
      </rPr>
      <t xml:space="preserve">
</t>
    </r>
    <r>
      <rPr>
        <rFont val="Trebuchet MS"/>
        <b val="0"/>
        <color theme="1"/>
        <sz val="9.0"/>
      </rPr>
      <t>30/08 - Aguardando prontidão das amostras para envio ao laboratório.  Data estimada: 12/10</t>
    </r>
  </si>
  <si>
    <t>PI6565Y</t>
  </si>
  <si>
    <t>CHAVEIRO BORIS</t>
  </si>
  <si>
    <r>
      <rPr>
        <rFont val="Trebuchet MS"/>
        <b/>
        <color theme="1"/>
        <sz val="9.0"/>
      </rPr>
      <t xml:space="preserve">25/11/24 - Registro encerrado.
</t>
    </r>
    <r>
      <rPr>
        <rFont val="Trebuchet MS"/>
        <b val="0"/>
        <color theme="1"/>
        <sz val="9.0"/>
      </rPr>
      <t>01/12 - Solicitação aprovada no Orquestra, processo finalizado.</t>
    </r>
    <r>
      <rPr>
        <rFont val="Trebuchet MS"/>
        <b/>
        <color theme="1"/>
        <sz val="9.0"/>
      </rPr>
      <t xml:space="preserve">
</t>
    </r>
    <r>
      <rPr>
        <rFont val="Trebuchet MS"/>
        <b val="0"/>
        <color theme="1"/>
        <sz val="9.0"/>
      </rPr>
      <t>23/11 - Número de registro concecido, aguardando aprovação no Orquestra.</t>
    </r>
    <r>
      <rPr>
        <rFont val="Trebuchet MS"/>
        <b/>
        <color theme="1"/>
        <sz val="9.0"/>
      </rPr>
      <t xml:space="preserve">
</t>
    </r>
    <r>
      <rPr>
        <rFont val="Trebuchet MS"/>
        <b val="0"/>
        <color theme="1"/>
        <sz val="9.0"/>
      </rPr>
      <t>22/11 - Registro solicitado no Orquestra.</t>
    </r>
    <r>
      <rPr>
        <rFont val="Trebuchet MS"/>
        <b/>
        <color theme="1"/>
        <sz val="9.0"/>
      </rPr>
      <t xml:space="preserve">
</t>
    </r>
    <r>
      <rPr>
        <rFont val="Trebuchet MS"/>
        <b val="0"/>
        <color theme="1"/>
        <sz val="9.0"/>
      </rPr>
      <t>30/08 - Aguardando prontidão das amostras para envio ao laboratório.  Data estimada: 12/10</t>
    </r>
  </si>
  <si>
    <t>PI6613Y</t>
  </si>
  <si>
    <t>2024 - FAT04</t>
  </si>
  <si>
    <t>PELUCIA X SALADINHO E MARIA BATATINHA</t>
  </si>
  <si>
    <t>18 amostras</t>
  </si>
  <si>
    <r>
      <rPr>
        <rFont val="Trebuchet MS"/>
        <b/>
        <color theme="1"/>
        <sz val="9.0"/>
      </rPr>
      <t xml:space="preserve">17/12/2024 - Inativado pelo Inmetro no Orquestra.
</t>
    </r>
    <r>
      <rPr>
        <rFont val="Trebuchet MS"/>
        <color theme="1"/>
        <sz val="9.0"/>
      </rPr>
      <t>27/11/2024 - Inativação do Registro solicitada no Orquestra.</t>
    </r>
    <r>
      <rPr>
        <rFont val="Trebuchet MS"/>
        <b/>
        <color theme="1"/>
        <sz val="9.0"/>
      </rPr>
      <t xml:space="preserve">
</t>
    </r>
    <r>
      <rPr>
        <rFont val="Trebuchet MS"/>
        <color theme="1"/>
        <sz val="9.0"/>
      </rPr>
      <t>30/01 - Solicitação aprovada no Orquestra, processo finalizado.
17/01 - Número de registro concecido, aguardando aprovação no Orquestra.
28/11 - Relatório de amostragem recebido, aguardando prontidão das amostras para envio ao laboratório.</t>
    </r>
  </si>
  <si>
    <t>10247/2023-BRI-1</t>
  </si>
  <si>
    <t>000467/2024</t>
  </si>
  <si>
    <t>Certificação INMETRO:Produto certificado por BRICS OCP 0098 Nº Registro 000467/2024</t>
  </si>
  <si>
    <t>PI6614Y</t>
  </si>
  <si>
    <t>PELUCIA JAIMINHO</t>
  </si>
  <si>
    <r>
      <rPr>
        <rFont val="Trebuchet MS"/>
        <b/>
        <color theme="1"/>
        <sz val="9.0"/>
      </rPr>
      <t xml:space="preserve">25/11/24 -  Registro encerrado.
</t>
    </r>
    <r>
      <rPr>
        <rFont val="Trebuchet MS"/>
        <color theme="1"/>
        <sz val="9.0"/>
      </rPr>
      <t>22/02 - Alteração concedida no Orquestra, processo finalizado.</t>
    </r>
    <r>
      <rPr>
        <rFont val="Trebuchet MS"/>
        <b/>
        <color theme="1"/>
        <sz val="9.0"/>
      </rPr>
      <t xml:space="preserve">
</t>
    </r>
    <r>
      <rPr>
        <rFont val="Trebuchet MS"/>
        <color theme="1"/>
        <sz val="9.0"/>
      </rPr>
      <t>28/11 - Relatório de amostragem recebido, aguardando prontidão das amostras para envio ao laboratório.</t>
    </r>
  </si>
  <si>
    <t>PI6650Y</t>
  </si>
  <si>
    <t>PELUCIA MORCEGUITO G</t>
  </si>
  <si>
    <r>
      <rPr>
        <rFont val="Trebuchet MS"/>
        <b/>
        <color theme="1"/>
        <sz val="9.0"/>
      </rPr>
      <t xml:space="preserve">25/11/24 -  Registro encerrado.
</t>
    </r>
    <r>
      <rPr>
        <rFont val="Trebuchet MS"/>
        <color theme="1"/>
        <sz val="9.0"/>
      </rPr>
      <t>22/02 - Alteração concedida no Orquestra, processo finalizado.
28/11 - Relatório de amostragem recebido, aguardando prontidão das amostras para envio ao laboratório.</t>
    </r>
  </si>
  <si>
    <t>PI6649Y</t>
  </si>
  <si>
    <t>PELUCIA MORCEGUITO P</t>
  </si>
  <si>
    <r>
      <rPr>
        <rFont val="Trebuchet MS"/>
        <b/>
        <color theme="1"/>
        <sz val="9.0"/>
      </rPr>
      <t xml:space="preserve">25/11/24 -  Registro encerrado.
</t>
    </r>
    <r>
      <rPr>
        <rFont val="Trebuchet MS"/>
        <color theme="1"/>
        <sz val="9.0"/>
      </rPr>
      <t>22/02 - Alteração concedida no Orquestra, processo finalizado.
28/11 - Relatório de amostragem recebido, aguardando prontidão das amostras para envio ao laboratório.</t>
    </r>
  </si>
  <si>
    <t>PI6648Y</t>
  </si>
  <si>
    <t>PELUCIA FELINDA G</t>
  </si>
  <si>
    <r>
      <rPr>
        <rFont val="Trebuchet MS"/>
        <b/>
        <color theme="1"/>
        <sz val="9.0"/>
      </rPr>
      <t xml:space="preserve">25/11/24 -  Registro encerrado.
</t>
    </r>
    <r>
      <rPr>
        <rFont val="Trebuchet MS"/>
        <color theme="1"/>
        <sz val="9.0"/>
      </rPr>
      <t>22/02 - Alteração concedida no Orquestra, processo finalizado.
28/11 - Relatório de amostragem recebido, aguardando prontidão das amostras para envio ao laboratório.</t>
    </r>
  </si>
  <si>
    <t>PI6647Y</t>
  </si>
  <si>
    <t>PELUCIA FELINDA P</t>
  </si>
  <si>
    <r>
      <rPr>
        <rFont val="Trebuchet MS"/>
        <b/>
        <color theme="1"/>
        <sz val="9.0"/>
      </rPr>
      <t xml:space="preserve">25/11/24 -  Registro encerrado.
</t>
    </r>
    <r>
      <rPr>
        <rFont val="Trebuchet MS"/>
        <color theme="1"/>
        <sz val="9.0"/>
      </rPr>
      <t>22/02 - Alteração concedida no Orquestra, processo finalizado.
28/11 - Relatório de amostragem recebido, aguardando prontidão das amostras para envio ao laboratório.</t>
    </r>
  </si>
  <si>
    <t>PI6555Y</t>
  </si>
  <si>
    <t>PELUCIA BORIS GG</t>
  </si>
  <si>
    <r>
      <rPr>
        <rFont val="Trebuchet MS"/>
        <b/>
        <color theme="1"/>
        <sz val="9.0"/>
      </rPr>
      <t xml:space="preserve">25/11/24 -  Registro encerrado.
</t>
    </r>
    <r>
      <rPr>
        <rFont val="Trebuchet MS"/>
        <color theme="1"/>
        <sz val="9.0"/>
      </rPr>
      <t>22/02 - Alteração concedida no Orquestra, processo finalizado.
28/11 - Relatório de amostragem recebido, aguardando prontidão das amostras para envio ao laboratório.</t>
    </r>
  </si>
  <si>
    <t>PI6556Y</t>
  </si>
  <si>
    <t>PELUCIA CATITA GG</t>
  </si>
  <si>
    <r>
      <rPr>
        <rFont val="Trebuchet MS"/>
        <b/>
        <color theme="1"/>
        <sz val="9.0"/>
      </rPr>
      <t xml:space="preserve">25/11/24 -  Registro encerrado.
</t>
    </r>
    <r>
      <rPr>
        <rFont val="Trebuchet MS"/>
        <color theme="1"/>
        <sz val="9.0"/>
      </rPr>
      <t>22/02 - Alteração concedida no Orquestra, processo finalizado.
28/11 - Relatório de amostragem recebido, aguardando prontidão das amostras para envio ao laboratório.</t>
    </r>
  </si>
  <si>
    <r>
      <rPr>
        <rFont val="Trebuchet MS"/>
        <b/>
        <color theme="1"/>
        <sz val="9.0"/>
      </rPr>
      <t xml:space="preserve">25/11/24 -  Registro encerrado.
</t>
    </r>
    <r>
      <rPr>
        <rFont val="Trebuchet MS"/>
        <color theme="1"/>
        <sz val="9.0"/>
      </rPr>
      <t>22/02 - Alteração concedida no Orquestra, processo finalizado.</t>
    </r>
    <r>
      <rPr>
        <rFont val="Trebuchet MS"/>
        <b/>
        <color theme="1"/>
        <sz val="9.0"/>
      </rPr>
      <t xml:space="preserve">
</t>
    </r>
    <r>
      <rPr>
        <rFont val="Trebuchet MS"/>
        <color theme="1"/>
        <sz val="9.0"/>
      </rPr>
      <t>28/11 - Relatório de amostragem recebido, aguardando prontidão das amostras para envio ao laboratório.
27/11 - Estamos trocando a certificação desse produto da Hesen para Toyland.</t>
    </r>
  </si>
  <si>
    <r>
      <rPr>
        <rFont val="Trebuchet MS"/>
        <b/>
        <color theme="1"/>
        <sz val="9.0"/>
      </rPr>
      <t xml:space="preserve">25/11/24 -  Registro encerrado.
</t>
    </r>
    <r>
      <rPr>
        <rFont val="Trebuchet MS"/>
        <color theme="1"/>
        <sz val="9.0"/>
      </rPr>
      <t>22/02 - Alteração concedida no Orquestra, processo finalizado.</t>
    </r>
    <r>
      <rPr>
        <rFont val="Trebuchet MS"/>
        <b/>
        <color theme="1"/>
        <sz val="9.0"/>
      </rPr>
      <t xml:space="preserve">
</t>
    </r>
    <r>
      <rPr>
        <rFont val="Trebuchet MS"/>
        <color theme="1"/>
        <sz val="9.0"/>
      </rPr>
      <t>28/11 - Relatório de amostragem recebido, aguardando prontidão das amostras para envio ao laboratório.
27/11 - Estamos trocando a certificação desse produto da Hesen para Toyland.</t>
    </r>
  </si>
  <si>
    <t>PI6833Y</t>
  </si>
  <si>
    <t>2024 - FAT08</t>
  </si>
  <si>
    <t>Ruifutong</t>
  </si>
  <si>
    <t>PELUCIA HP HARRY POTTER</t>
  </si>
  <si>
    <r>
      <rPr>
        <rFont val="Trebuchet MS"/>
        <b/>
        <color theme="1"/>
        <sz val="9.0"/>
      </rPr>
      <t xml:space="preserve">03/04/25 - Manutenção finalizada.
</t>
    </r>
    <r>
      <rPr>
        <rFont val="Trebuchet MS"/>
        <b val="0"/>
        <color theme="1"/>
        <sz val="9.0"/>
      </rPr>
      <t>03/06/24 - Tarefa concluída, processo finalizado.</t>
    </r>
    <r>
      <rPr>
        <rFont val="Trebuchet MS"/>
        <b/>
        <color theme="1"/>
        <sz val="9.0"/>
      </rPr>
      <t xml:space="preserve">
</t>
    </r>
    <r>
      <rPr>
        <rFont val="Trebuchet MS"/>
        <b val="0"/>
        <color theme="1"/>
        <sz val="9.0"/>
      </rPr>
      <t>26/04/24 - Número de registro disponível no Orquestra, aguardando aprovação da tarefa.</t>
    </r>
    <r>
      <rPr>
        <rFont val="Trebuchet MS"/>
        <b/>
        <color theme="1"/>
        <sz val="9.0"/>
      </rPr>
      <t xml:space="preserve">
</t>
    </r>
    <r>
      <rPr>
        <rFont val="Trebuchet MS"/>
        <b val="0"/>
        <color theme="1"/>
        <sz val="9.0"/>
      </rPr>
      <t>18/04/24 - Draft do certificado aprovado, aguardamos o assinado + constar no PRODCERT.</t>
    </r>
  </si>
  <si>
    <t>Nice Garden Gift &amp; Toy Co., Ltd.</t>
  </si>
  <si>
    <t>10473/2024-BRI-1</t>
  </si>
  <si>
    <t>006083/2024</t>
  </si>
  <si>
    <t>Certificação INMETRO: Produto certificado por BRICS OCP 0098 Nº Registro 006083/2024</t>
  </si>
  <si>
    <t>PI6834Y</t>
  </si>
  <si>
    <t>PELUCIA HP EDWIGES</t>
  </si>
  <si>
    <r>
      <rPr>
        <rFont val="Trebuchet MS"/>
        <b/>
        <color theme="1"/>
        <sz val="9.0"/>
      </rPr>
      <t xml:space="preserve">03/04/25 - Manutenção finalizada.
</t>
    </r>
    <r>
      <rPr>
        <rFont val="Trebuchet MS"/>
        <b val="0"/>
        <color theme="1"/>
        <sz val="9.0"/>
      </rPr>
      <t>03/06/24 - Tarefa concluída, processo finalizado.</t>
    </r>
    <r>
      <rPr>
        <rFont val="Trebuchet MS"/>
        <b/>
        <color theme="1"/>
        <sz val="9.0"/>
      </rPr>
      <t xml:space="preserve">
</t>
    </r>
    <r>
      <rPr>
        <rFont val="Trebuchet MS"/>
        <b val="0"/>
        <color theme="1"/>
        <sz val="9.0"/>
      </rPr>
      <t>26/04/24 - Número de registro disponível no Orquestra, aguardando aprovação da tarefa.</t>
    </r>
    <r>
      <rPr>
        <rFont val="Trebuchet MS"/>
        <b/>
        <color theme="1"/>
        <sz val="9.0"/>
      </rPr>
      <t xml:space="preserve">
</t>
    </r>
    <r>
      <rPr>
        <rFont val="Trebuchet MS"/>
        <b val="0"/>
        <color theme="1"/>
        <sz val="9.0"/>
      </rPr>
      <t>18/04/24 - Draft do certificado aprovado, aguardamos o assinado + constar no PRODCERT.</t>
    </r>
  </si>
  <si>
    <t>PI6835Y</t>
  </si>
  <si>
    <t>PELUCIA HP HERMIONE</t>
  </si>
  <si>
    <r>
      <rPr>
        <rFont val="Trebuchet MS"/>
        <b/>
        <color theme="1"/>
        <sz val="9.0"/>
      </rPr>
      <t xml:space="preserve">03/04/25 - Manutenção finalizada.
</t>
    </r>
    <r>
      <rPr>
        <rFont val="Trebuchet MS"/>
        <b val="0"/>
        <color theme="1"/>
        <sz val="9.0"/>
      </rPr>
      <t>03/06/24 - Tarefa concluída, processo finalizado.</t>
    </r>
    <r>
      <rPr>
        <rFont val="Trebuchet MS"/>
        <b/>
        <color theme="1"/>
        <sz val="9.0"/>
      </rPr>
      <t xml:space="preserve">
</t>
    </r>
    <r>
      <rPr>
        <rFont val="Trebuchet MS"/>
        <b val="0"/>
        <color theme="1"/>
        <sz val="9.0"/>
      </rPr>
      <t>26/04/24 - Número de registro disponível no Orquestra, aguardando aprovação da tarefa.</t>
    </r>
    <r>
      <rPr>
        <rFont val="Trebuchet MS"/>
        <b/>
        <color theme="1"/>
        <sz val="9.0"/>
      </rPr>
      <t xml:space="preserve">
</t>
    </r>
    <r>
      <rPr>
        <rFont val="Trebuchet MS"/>
        <b val="0"/>
        <color theme="1"/>
        <sz val="9.0"/>
      </rPr>
      <t>18/04/24 - Draft do certificado aprovado, aguardamos o assinado + constar no PRODCERT.</t>
    </r>
  </si>
  <si>
    <t>PI6836Y</t>
  </si>
  <si>
    <t>PELUCIA HP RONY</t>
  </si>
  <si>
    <r>
      <rPr>
        <rFont val="Trebuchet MS"/>
        <b/>
        <color theme="1"/>
        <sz val="9.0"/>
      </rPr>
      <t xml:space="preserve">03/04/25 - Manutenção finalizada.
</t>
    </r>
    <r>
      <rPr>
        <rFont val="Trebuchet MS"/>
        <b val="0"/>
        <color theme="1"/>
        <sz val="9.0"/>
      </rPr>
      <t>03/06/24 - Tarefa concluída, processo finalizado.</t>
    </r>
    <r>
      <rPr>
        <rFont val="Trebuchet MS"/>
        <b/>
        <color theme="1"/>
        <sz val="9.0"/>
      </rPr>
      <t xml:space="preserve">
</t>
    </r>
    <r>
      <rPr>
        <rFont val="Trebuchet MS"/>
        <b val="0"/>
        <color theme="1"/>
        <sz val="9.0"/>
      </rPr>
      <t>26/04/24 - Número de registro disponível no Orquestra, aguardando aprovação da tarefa.</t>
    </r>
    <r>
      <rPr>
        <rFont val="Trebuchet MS"/>
        <b/>
        <color theme="1"/>
        <sz val="9.0"/>
      </rPr>
      <t xml:space="preserve">
</t>
    </r>
    <r>
      <rPr>
        <rFont val="Trebuchet MS"/>
        <b val="0"/>
        <color theme="1"/>
        <sz val="9.0"/>
      </rPr>
      <t>18/04/24 - Draft do certificado aprovado, aguardamos o assinado + constar no PRODCERT.</t>
    </r>
  </si>
  <si>
    <t>PI7221Y</t>
  </si>
  <si>
    <t>PELUCIA HP LUNA</t>
  </si>
  <si>
    <r>
      <rPr>
        <rFont val="Trebuchet MS"/>
        <b/>
        <color theme="1"/>
        <sz val="9.0"/>
      </rPr>
      <t xml:space="preserve">03/04/25 - Manutenção finalizada.
</t>
    </r>
    <r>
      <rPr>
        <rFont val="Trebuchet MS"/>
        <b val="0"/>
        <color theme="1"/>
        <sz val="9.0"/>
      </rPr>
      <t>03/06/24 - Tarefa concluída, processo finalizado.</t>
    </r>
    <r>
      <rPr>
        <rFont val="Trebuchet MS"/>
        <b/>
        <color theme="1"/>
        <sz val="9.0"/>
      </rPr>
      <t xml:space="preserve">
</t>
    </r>
    <r>
      <rPr>
        <rFont val="Trebuchet MS"/>
        <b val="0"/>
        <color theme="1"/>
        <sz val="9.0"/>
      </rPr>
      <t>26/04/24 - Número de registro disponível no Orquestra, aguardando aprovação da tarefa.</t>
    </r>
    <r>
      <rPr>
        <rFont val="Trebuchet MS"/>
        <b/>
        <color theme="1"/>
        <sz val="9.0"/>
      </rPr>
      <t xml:space="preserve">
</t>
    </r>
    <r>
      <rPr>
        <rFont val="Trebuchet MS"/>
        <b val="0"/>
        <color theme="1"/>
        <sz val="9.0"/>
      </rPr>
      <t>18/04/24 - Draft do certificado aprovado, aguardamos o assinado + constar no PRODCERT.</t>
    </r>
  </si>
  <si>
    <t>PI6838Y</t>
  </si>
  <si>
    <t>PELUCIA HP DUMBLEDORE</t>
  </si>
  <si>
    <r>
      <rPr>
        <rFont val="Trebuchet MS"/>
        <b/>
        <color theme="1"/>
        <sz val="9.0"/>
      </rPr>
      <t xml:space="preserve">03/04/25 - Manutenção finalizada.
</t>
    </r>
    <r>
      <rPr>
        <rFont val="Trebuchet MS"/>
        <b val="0"/>
        <color theme="1"/>
        <sz val="9.0"/>
      </rPr>
      <t>03/06/24 - Tarefa concluída, processo finalizado.</t>
    </r>
    <r>
      <rPr>
        <rFont val="Trebuchet MS"/>
        <b/>
        <color theme="1"/>
        <sz val="9.0"/>
      </rPr>
      <t xml:space="preserve">
</t>
    </r>
    <r>
      <rPr>
        <rFont val="Trebuchet MS"/>
        <b val="0"/>
        <color theme="1"/>
        <sz val="9.0"/>
      </rPr>
      <t>26/04/24 - Número de registro disponível no Orquestra, aguardando aprovação da tarefa.</t>
    </r>
    <r>
      <rPr>
        <rFont val="Trebuchet MS"/>
        <b/>
        <color theme="1"/>
        <sz val="9.0"/>
      </rPr>
      <t xml:space="preserve">
</t>
    </r>
    <r>
      <rPr>
        <rFont val="Trebuchet MS"/>
        <b val="0"/>
        <color theme="1"/>
        <sz val="9.0"/>
      </rPr>
      <t>18/04/24 - Draft do certificado aprovado, aguardamos o assinado + constar no PRODCERT.</t>
    </r>
  </si>
  <si>
    <t>PI6839Y</t>
  </si>
  <si>
    <t>PELUCIA HP HAGRID</t>
  </si>
  <si>
    <r>
      <rPr>
        <rFont val="Trebuchet MS"/>
        <b/>
        <color theme="1"/>
        <sz val="9.0"/>
      </rPr>
      <t xml:space="preserve">03/04/25 - Manutenção finalizada.
</t>
    </r>
    <r>
      <rPr>
        <rFont val="Trebuchet MS"/>
        <b val="0"/>
        <color theme="1"/>
        <sz val="9.0"/>
      </rPr>
      <t>03/06/24 - Tarefa concluída, processo finalizado.</t>
    </r>
    <r>
      <rPr>
        <rFont val="Trebuchet MS"/>
        <b/>
        <color theme="1"/>
        <sz val="9.0"/>
      </rPr>
      <t xml:space="preserve">
</t>
    </r>
    <r>
      <rPr>
        <rFont val="Trebuchet MS"/>
        <b val="0"/>
        <color theme="1"/>
        <sz val="9.0"/>
      </rPr>
      <t>26/04/24 - Número de registro disponível no Orquestra, aguardando aprovação da tarefa.</t>
    </r>
    <r>
      <rPr>
        <rFont val="Trebuchet MS"/>
        <b/>
        <color theme="1"/>
        <sz val="9.0"/>
      </rPr>
      <t xml:space="preserve">
</t>
    </r>
    <r>
      <rPr>
        <rFont val="Trebuchet MS"/>
        <b val="0"/>
        <color theme="1"/>
        <sz val="9.0"/>
      </rPr>
      <t>18/04/24 - Draft do certificado aprovado, aguardamos o assinado + constar no PRODCERT.</t>
    </r>
  </si>
  <si>
    <t>PI6840Y</t>
  </si>
  <si>
    <t>PELUCIA HP SNAPE</t>
  </si>
  <si>
    <r>
      <rPr>
        <rFont val="Trebuchet MS"/>
        <b/>
        <color theme="1"/>
        <sz val="9.0"/>
      </rPr>
      <t xml:space="preserve">03/04/25 - Manutenção finalizada.
</t>
    </r>
    <r>
      <rPr>
        <rFont val="Trebuchet MS"/>
        <b val="0"/>
        <color theme="1"/>
        <sz val="9.0"/>
      </rPr>
      <t>03/06/24 - Tarefa concluída, processo finalizado.</t>
    </r>
    <r>
      <rPr>
        <rFont val="Trebuchet MS"/>
        <b/>
        <color theme="1"/>
        <sz val="9.0"/>
      </rPr>
      <t xml:space="preserve">
</t>
    </r>
    <r>
      <rPr>
        <rFont val="Trebuchet MS"/>
        <b val="0"/>
        <color theme="1"/>
        <sz val="9.0"/>
      </rPr>
      <t>26/04/24 - Número de registro disponível no Orquestra, aguardando aprovação da tarefa.</t>
    </r>
    <r>
      <rPr>
        <rFont val="Trebuchet MS"/>
        <b/>
        <color theme="1"/>
        <sz val="9.0"/>
      </rPr>
      <t xml:space="preserve">
</t>
    </r>
    <r>
      <rPr>
        <rFont val="Trebuchet MS"/>
        <b val="0"/>
        <color theme="1"/>
        <sz val="9.0"/>
      </rPr>
      <t>18/04/24 - Draft do certificado aprovado, aguardamos o assinado + constar no PRODCERT.</t>
    </r>
  </si>
  <si>
    <t>6 amostras</t>
  </si>
  <si>
    <r>
      <rPr>
        <rFont val="Trebuchet MS"/>
        <b/>
        <color theme="1"/>
        <sz val="9.0"/>
      </rPr>
      <t xml:space="preserve">03/04/25 - Manutenção finalizada.
</t>
    </r>
    <r>
      <rPr>
        <rFont val="Trebuchet MS"/>
        <b val="0"/>
        <color theme="1"/>
        <sz val="9.0"/>
      </rPr>
      <t>03/06/24 - Tarefa concluída, processo finalizado.</t>
    </r>
    <r>
      <rPr>
        <rFont val="Trebuchet MS"/>
        <b/>
        <color theme="1"/>
        <sz val="9.0"/>
      </rPr>
      <t xml:space="preserve">
</t>
    </r>
    <r>
      <rPr>
        <rFont val="Trebuchet MS"/>
        <b val="0"/>
        <color theme="1"/>
        <sz val="9.0"/>
      </rPr>
      <t>26/04/24 - Número de registro disponível no Orquestra, aguardando aprovação da tarefa.</t>
    </r>
    <r>
      <rPr>
        <rFont val="Trebuchet MS"/>
        <b/>
        <color theme="1"/>
        <sz val="9.0"/>
      </rPr>
      <t xml:space="preserve">
</t>
    </r>
    <r>
      <rPr>
        <rFont val="Trebuchet MS"/>
        <b val="0"/>
        <color theme="1"/>
        <sz val="9.0"/>
      </rPr>
      <t>18/04/24 - Draft do certificado aprovado, aguardamos o assinado + constar no PRODCERT.</t>
    </r>
  </si>
  <si>
    <t>2024 - FAT09</t>
  </si>
  <si>
    <t>7 amostras</t>
  </si>
  <si>
    <r>
      <rPr>
        <rFont val="Trebuchet MS"/>
        <b/>
        <color theme="1"/>
        <sz val="9.0"/>
      </rPr>
      <t xml:space="preserve">23/04/25 - Manutenção finalizada.
</t>
    </r>
    <r>
      <rPr>
        <rFont val="Trebuchet MS"/>
        <b val="0"/>
        <color theme="1"/>
        <sz val="9.0"/>
      </rPr>
      <t>29/07/24 - Registro concedido, processo finalizado.</t>
    </r>
    <r>
      <rPr>
        <rFont val="Trebuchet MS"/>
        <b/>
        <color theme="1"/>
        <sz val="9.0"/>
      </rPr>
      <t xml:space="preserve">
</t>
    </r>
    <r>
      <rPr>
        <rFont val="Trebuchet MS"/>
        <b val="0"/>
        <color theme="1"/>
        <sz val="9.0"/>
      </rPr>
      <t>18/04/24 - As amostras (prova) serão enviadas para o laboratório dia 24/04.</t>
    </r>
  </si>
  <si>
    <t>10550/2024-BRI-1</t>
  </si>
  <si>
    <t>010173/2024</t>
  </si>
  <si>
    <t>Certificação INMETRO: Produto certificado por BRICS OCP 0098 Nº Registro 010173/2024</t>
  </si>
  <si>
    <t>PI7212Y</t>
  </si>
  <si>
    <t>2024 - FAT07</t>
  </si>
  <si>
    <t>MINI KARAOKE E MICROFONE BRANCO</t>
  </si>
  <si>
    <r>
      <rPr>
        <rFont val="Trebuchet MS"/>
        <b/>
        <color theme="1"/>
        <sz val="9.0"/>
      </rPr>
      <t xml:space="preserve">24/09/25 - Manutenção finalizada.
</t>
    </r>
    <r>
      <rPr>
        <rFont val="Trebuchet MS"/>
        <b val="0"/>
        <color theme="1"/>
        <sz val="9.0"/>
      </rPr>
      <t>02/05/24 - Certificado de homologação ANATEL recebido, inclusão finalizada.</t>
    </r>
    <r>
      <rPr>
        <rFont val="Trebuchet MS"/>
        <b/>
        <color theme="1"/>
        <sz val="9.0"/>
      </rPr>
      <t xml:space="preserve">
</t>
    </r>
    <r>
      <rPr>
        <rFont val="Trebuchet MS"/>
        <b val="0"/>
        <color theme="1"/>
        <sz val="9.0"/>
      </rPr>
      <t>04/04/24 - Certificado de conformidade novo aprovado, aguardando submissão no sistema Anatel.</t>
    </r>
  </si>
  <si>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13907-23-15956.
Para maiores informações, consulte o site da ANATEL em </t>
    </r>
    <r>
      <rPr>
        <rFont val="Trebuchet MS"/>
        <color rgb="FF1155CC"/>
        <sz val="9.0"/>
        <u/>
      </rPr>
      <t>www.anatel.gov.br</t>
    </r>
  </si>
  <si>
    <t>2024 - FAT10</t>
  </si>
  <si>
    <r>
      <rPr>
        <rFont val="Trebuchet MS"/>
        <b/>
        <color theme="1"/>
        <sz val="9.0"/>
      </rPr>
      <t xml:space="preserve">03/04/25 - Manutenção finalizada.
</t>
    </r>
    <r>
      <rPr>
        <rFont val="Trebuchet MS"/>
        <b val="0"/>
        <color theme="1"/>
        <sz val="9.0"/>
      </rPr>
      <t>21/08/24 - Inclusão concecida no Orquestra, processo finalizado.</t>
    </r>
  </si>
  <si>
    <r>
      <rPr>
        <rFont val="Trebuchet MS"/>
        <b/>
        <color theme="1"/>
        <sz val="9.0"/>
      </rPr>
      <t xml:space="preserve">03/04/25 - Manutenção finalizada.
</t>
    </r>
    <r>
      <rPr>
        <rFont val="Trebuchet MS"/>
        <b val="0"/>
        <color theme="1"/>
        <sz val="9.0"/>
      </rPr>
      <t>21/08/24 - Inclusão concecida no Orquestra, processo finalizado.</t>
    </r>
  </si>
  <si>
    <r>
      <rPr>
        <rFont val="Trebuchet MS"/>
        <b/>
        <color theme="1"/>
        <sz val="9.0"/>
      </rPr>
      <t xml:space="preserve">03/04/25 - Manutenção finalizada.
</t>
    </r>
    <r>
      <rPr>
        <rFont val="Trebuchet MS"/>
        <b val="0"/>
        <color theme="1"/>
        <sz val="9.0"/>
      </rPr>
      <t>21/08/24 - Inclusão concecida no Orquestra, processo finalizado.</t>
    </r>
  </si>
  <si>
    <r>
      <rPr>
        <rFont val="Trebuchet MS"/>
        <b/>
        <color theme="1"/>
        <sz val="9.0"/>
      </rPr>
      <t xml:space="preserve">03/04/25 - Manutenção finalizada.
</t>
    </r>
    <r>
      <rPr>
        <rFont val="Trebuchet MS"/>
        <b val="0"/>
        <color theme="1"/>
        <sz val="9.0"/>
      </rPr>
      <t>21/08/24 - Inclusão concecida no Orquestra, processo finalizado.</t>
    </r>
  </si>
  <si>
    <r>
      <rPr>
        <rFont val="Trebuchet MS"/>
        <b/>
        <color theme="1"/>
        <sz val="9.0"/>
      </rPr>
      <t xml:space="preserve">03/04/25 - Manutenção finalizada.
</t>
    </r>
    <r>
      <rPr>
        <rFont val="Trebuchet MS"/>
        <b val="0"/>
        <color theme="1"/>
        <sz val="9.0"/>
      </rPr>
      <t>21/08/24 - Inclusão concecida no Orquestra, processo finalizado.</t>
    </r>
  </si>
  <si>
    <r>
      <rPr>
        <rFont val="Trebuchet MS"/>
        <b/>
        <color theme="1"/>
        <sz val="9.0"/>
      </rPr>
      <t xml:space="preserve">03/04/25 - Manutenção finalizada.
</t>
    </r>
    <r>
      <rPr>
        <rFont val="Trebuchet MS"/>
        <b val="0"/>
        <color theme="1"/>
        <sz val="9.0"/>
      </rPr>
      <t>21/08/24 - Inclusão concecida no Orquestra, processo finalizado.</t>
    </r>
  </si>
  <si>
    <r>
      <rPr>
        <rFont val="Trebuchet MS"/>
        <b/>
        <color theme="1"/>
        <sz val="9.0"/>
      </rPr>
      <t xml:space="preserve">03/04/25 - Manutenção finalizada.
</t>
    </r>
    <r>
      <rPr>
        <rFont val="Trebuchet MS"/>
        <b val="0"/>
        <color theme="1"/>
        <sz val="9.0"/>
      </rPr>
      <t>21/08/24 - Inclusão concecida no Orquestra, processo finalizado.</t>
    </r>
  </si>
  <si>
    <r>
      <rPr>
        <rFont val="Trebuchet MS"/>
        <b/>
        <color theme="1"/>
        <sz val="9.0"/>
      </rPr>
      <t xml:space="preserve">03/04/25 - Manutenção finalizada.
</t>
    </r>
    <r>
      <rPr>
        <rFont val="Trebuchet MS"/>
        <b val="0"/>
        <color theme="1"/>
        <sz val="9.0"/>
      </rPr>
      <t>21/08/24 - Inclusão concecida no Orquestra, processo finalizado.</t>
    </r>
  </si>
  <si>
    <t>PI7235Y</t>
  </si>
  <si>
    <t>PELUCIA 2 EM 1 GATINHOS</t>
  </si>
  <si>
    <r>
      <rPr>
        <rFont val="Trebuchet MS"/>
        <b/>
        <color theme="1"/>
        <sz val="9.0"/>
      </rPr>
      <t xml:space="preserve">03/04/25 - Manutenção finalizada.
</t>
    </r>
    <r>
      <rPr>
        <rFont val="Trebuchet MS"/>
        <b val="0"/>
        <color theme="1"/>
        <sz val="9.0"/>
      </rPr>
      <t>21/08/24 - Inclusão concecida no Orquestra, processo finalizado.</t>
    </r>
  </si>
  <si>
    <t>PI7236Y</t>
  </si>
  <si>
    <t>PELUCIA 2 EM 1 UNICORNIO E DRAGAO</t>
  </si>
  <si>
    <r>
      <rPr>
        <rFont val="Trebuchet MS"/>
        <b/>
        <color theme="1"/>
        <sz val="9.0"/>
      </rPr>
      <t xml:space="preserve">03/04/25 - Manutenção finalizada.
</t>
    </r>
    <r>
      <rPr>
        <rFont val="Trebuchet MS"/>
        <b val="0"/>
        <color theme="1"/>
        <sz val="9.0"/>
      </rPr>
      <t>21/08/24 - Inclusão concecida no Orquestra, processo finalizado.</t>
    </r>
  </si>
  <si>
    <t>PI7237Y</t>
  </si>
  <si>
    <t>PELUCIA 2 EM 1 DRAGAO E DINOSSAURO</t>
  </si>
  <si>
    <r>
      <rPr>
        <rFont val="Trebuchet MS"/>
        <b/>
        <color theme="1"/>
        <sz val="9.0"/>
      </rPr>
      <t xml:space="preserve">03/04/25 - Manutenção finalizada.
</t>
    </r>
    <r>
      <rPr>
        <rFont val="Trebuchet MS"/>
        <b val="0"/>
        <color theme="1"/>
        <sz val="9.0"/>
      </rPr>
      <t>21/08/24 - Inclusão concecida no Orquestra, processo finalizado.</t>
    </r>
  </si>
  <si>
    <t>PI7239Y</t>
  </si>
  <si>
    <t>PELUCIA 2 EM 1 LAGARTA E BORBOLETA</t>
  </si>
  <si>
    <r>
      <rPr>
        <rFont val="Trebuchet MS"/>
        <b/>
        <color theme="1"/>
        <sz val="9.0"/>
      </rPr>
      <t xml:space="preserve">03/04/25 - Manutenção finalizada.
</t>
    </r>
    <r>
      <rPr>
        <rFont val="Trebuchet MS"/>
        <b val="0"/>
        <color theme="1"/>
        <sz val="9.0"/>
      </rPr>
      <t>21/08/24 - Inclusão concecida no Orquestra, processo finalizado.</t>
    </r>
  </si>
  <si>
    <r>
      <rPr>
        <rFont val="Trebuchet MS"/>
        <b/>
        <color theme="1"/>
        <sz val="9.0"/>
      </rPr>
      <t xml:space="preserve">03/04/25 - Manutenção finalizada.
</t>
    </r>
    <r>
      <rPr>
        <rFont val="Trebuchet MS"/>
        <b val="0"/>
        <color theme="1"/>
        <sz val="9.0"/>
      </rPr>
      <t>21/08/24 - Inclusão concecida no Orquestra, processo finalizado.</t>
    </r>
  </si>
  <si>
    <t>PI6931Y</t>
  </si>
  <si>
    <t>PELUCIA AURORA P</t>
  </si>
  <si>
    <r>
      <rPr>
        <rFont val="Trebuchet MS"/>
        <b/>
        <color theme="1"/>
        <sz val="9.0"/>
      </rPr>
      <t xml:space="preserve">03/04/25 - Manutenção finalizada.
</t>
    </r>
    <r>
      <rPr>
        <rFont val="Trebuchet MS"/>
        <b val="0"/>
        <color theme="1"/>
        <sz val="9.0"/>
      </rPr>
      <t>21/08/24 - Inclusão concecida no Orquestra, processo finalizado.</t>
    </r>
  </si>
  <si>
    <t>PI6932Y</t>
  </si>
  <si>
    <t>PELUCIA AURORA G</t>
  </si>
  <si>
    <r>
      <rPr>
        <rFont val="Trebuchet MS"/>
        <b/>
        <color theme="1"/>
        <sz val="9.0"/>
      </rPr>
      <t xml:space="preserve">03/04/25 - Manutenção finalizada.
</t>
    </r>
    <r>
      <rPr>
        <rFont val="Trebuchet MS"/>
        <b val="0"/>
        <color theme="1"/>
        <sz val="9.0"/>
      </rPr>
      <t>21/08/24 - Inclusão concecida no Orquestra, processo finalizado.</t>
    </r>
  </si>
  <si>
    <t>PI7249Y</t>
  </si>
  <si>
    <t>CHAVEIRO PELUCIA UNICORNIO</t>
  </si>
  <si>
    <r>
      <rPr>
        <rFont val="Trebuchet MS"/>
        <b/>
        <color theme="1"/>
        <sz val="9.0"/>
      </rPr>
      <t xml:space="preserve">15/05/25 - Manutenção finalizada.
</t>
    </r>
    <r>
      <rPr>
        <rFont val="Trebuchet MS"/>
        <b val="0"/>
        <color theme="1"/>
        <sz val="9.0"/>
      </rPr>
      <t>29/07/24 - Registro concedido, processo finalizado.</t>
    </r>
  </si>
  <si>
    <t>10725/2024-BRI-1</t>
  </si>
  <si>
    <t>010366/2024</t>
  </si>
  <si>
    <t>Certificação INMETRO: Produto certificado por BRICS OCP 0098 Nº Registro 010366/2024</t>
  </si>
  <si>
    <t>PI7251Y</t>
  </si>
  <si>
    <t>CHAVEIRO PELUCIA GATINHO PRETO</t>
  </si>
  <si>
    <r>
      <rPr>
        <rFont val="Trebuchet MS"/>
        <b/>
        <color theme="1"/>
        <sz val="9.0"/>
      </rPr>
      <t xml:space="preserve">15/05/25 - Manutenção finalizada.
</t>
    </r>
    <r>
      <rPr>
        <rFont val="Trebuchet MS"/>
        <b val="0"/>
        <color theme="1"/>
        <sz val="9.0"/>
      </rPr>
      <t>29/07/24 - Registro concedido, processo finalizado.</t>
    </r>
  </si>
  <si>
    <r>
      <rPr>
        <rFont val="Trebuchet MS"/>
        <b/>
        <color theme="1"/>
        <sz val="9.0"/>
      </rPr>
      <t xml:space="preserve">15/05/25 - Manutenção finalizada.
</t>
    </r>
    <r>
      <rPr>
        <rFont val="Trebuchet MS"/>
        <b val="0"/>
        <color theme="1"/>
        <sz val="9.0"/>
      </rPr>
      <t>29/07/24 - Registro concedido, processo finalizado.</t>
    </r>
  </si>
  <si>
    <r>
      <rPr>
        <rFont val="Trebuchet MS"/>
        <b/>
        <color theme="1"/>
        <sz val="9.0"/>
      </rPr>
      <t xml:space="preserve">15/05/25 - Manutenção finalizada.
</t>
    </r>
    <r>
      <rPr>
        <rFont val="Trebuchet MS"/>
        <b val="0"/>
        <color theme="1"/>
        <sz val="9.0"/>
      </rPr>
      <t>29/07/24 - Registro concedido, processo finalizado.</t>
    </r>
  </si>
  <si>
    <t>PI6831Y</t>
  </si>
  <si>
    <t>Joyrain</t>
  </si>
  <si>
    <t>CANETA VARINHA HP HARRY POTTER</t>
  </si>
  <si>
    <t>50 amostras</t>
  </si>
  <si>
    <r>
      <rPr>
        <rFont val="Trebuchet MS"/>
        <b/>
        <color theme="1"/>
        <sz val="9.0"/>
      </rPr>
      <t xml:space="preserve">22/07/25 - Manutenção finalizada.
</t>
    </r>
    <r>
      <rPr>
        <rFont val="Trebuchet MS"/>
        <b val="0"/>
        <color theme="1"/>
        <sz val="9.0"/>
      </rPr>
      <t>14/08/24 - Registro concedido, processo finalizado.</t>
    </r>
  </si>
  <si>
    <t>10807/2024-AE-1</t>
  </si>
  <si>
    <t>012142/2024</t>
  </si>
  <si>
    <t>Certificação INMETRO: Produto certificado por BRICS OCP 0098 Nº Registro 012142/2024</t>
  </si>
  <si>
    <t>PI7299Y</t>
  </si>
  <si>
    <t>CANETA VARINHA HP DUMBLEDORE</t>
  </si>
  <si>
    <r>
      <rPr>
        <rFont val="Trebuchet MS"/>
        <b/>
        <color theme="1"/>
        <sz val="9.0"/>
      </rPr>
      <t xml:space="preserve">22/07/25 - Manutenção finalizada.
</t>
    </r>
    <r>
      <rPr>
        <rFont val="Trebuchet MS"/>
        <b val="0"/>
        <color theme="1"/>
        <sz val="9.0"/>
      </rPr>
      <t>14/08/24 - Registro concedido, processo finalizado.</t>
    </r>
  </si>
  <si>
    <t>PI7117Y</t>
  </si>
  <si>
    <t>2025 - FAT02</t>
  </si>
  <si>
    <t>Green from</t>
  </si>
  <si>
    <t>GELADEIRA COM LED PARA SKIN CARE VIBES</t>
  </si>
  <si>
    <t>3 amostras</t>
  </si>
  <si>
    <r>
      <rPr>
        <rFont val="Trebuchet MS"/>
        <b/>
        <color theme="1"/>
        <sz val="9.0"/>
      </rPr>
      <t xml:space="preserve">03/07/25 - Certificado encerrado.
</t>
    </r>
    <r>
      <rPr>
        <rFont val="Trebuchet MS"/>
        <b val="0"/>
        <color theme="1"/>
        <sz val="9.0"/>
      </rPr>
      <t>13/09 - Certificado de conformidade recebido, processo finalizado.</t>
    </r>
  </si>
  <si>
    <t xml:space="preserve">Jiangmen Xinxu Hardware Crafts Manufacturing Co., Ltd													</t>
  </si>
  <si>
    <t>10953/2024-ELE-1</t>
  </si>
  <si>
    <t>Certificação INMETRO: Produto certificado por BRICS OCP 0098</t>
  </si>
  <si>
    <t>PI7223Y</t>
  </si>
  <si>
    <t>CAIXA DE SOM PORTATIL COM ALCA PRETA</t>
  </si>
  <si>
    <t>06/08/24 - Certificado de Homologação recebido, processo finalizado.</t>
  </si>
  <si>
    <t>DongGuan Xing Yue Electronic Co, Ltd.
98 LiWu Swan lndustrial District, Qiao Tou Town, ,Dong
Guan City, Guang Dong - China</t>
  </si>
  <si>
    <t>MODERNA-3670/24</t>
  </si>
  <si>
    <t>07388-24-15956</t>
  </si>
  <si>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07388-24-15956.
Para maiores informações, consulte o site da ANATEL em </t>
    </r>
    <r>
      <rPr>
        <rFont val="Trebuchet MS"/>
        <color rgb="FF1155CC"/>
        <sz val="9.0"/>
        <u/>
      </rPr>
      <t>www.anatel.gov.br</t>
    </r>
  </si>
  <si>
    <t>PI7224Y</t>
  </si>
  <si>
    <t>CAIXA DE SOM PORTATIL COM ALCA AZUL</t>
  </si>
  <si>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07388-24-15956.
Para maiores informações, consulte o site da ANATEL em </t>
    </r>
    <r>
      <rPr>
        <rFont val="Trebuchet MS"/>
        <color rgb="FF1155CC"/>
        <sz val="9.0"/>
        <u/>
      </rPr>
      <t>www.anatel.gov.br</t>
    </r>
  </si>
  <si>
    <t>PI7225Y</t>
  </si>
  <si>
    <t>CAIXA DE SOM PORTATIL COM ALCA ROSA</t>
  </si>
  <si>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07388-24-15956.
Para maiores informações, consulte o site da ANATEL em </t>
    </r>
    <r>
      <rPr>
        <rFont val="Trebuchet MS"/>
        <color rgb="FF1155CC"/>
        <sz val="9.0"/>
        <u/>
      </rPr>
      <t>www.anatel.gov.br</t>
    </r>
  </si>
  <si>
    <t>PI7226Y</t>
  </si>
  <si>
    <t>CAIXA DE SOM PORTATIL COM ALCA VERDE</t>
  </si>
  <si>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07388-24-15956.
Para maiores informações, consulte o site da ANATEL em </t>
    </r>
    <r>
      <rPr>
        <rFont val="Trebuchet MS"/>
        <color rgb="FF1155CC"/>
        <sz val="9.0"/>
        <u/>
      </rPr>
      <t>www.anatel.gov.br</t>
    </r>
  </si>
  <si>
    <t>PI7227Y</t>
  </si>
  <si>
    <t>CAIXA DE SOM PORTATIL COM ALCA OFF WHITE</t>
  </si>
  <si>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07388-24-15956.
Para maiores informações, consulte o site da ANATEL em </t>
    </r>
    <r>
      <rPr>
        <rFont val="Trebuchet MS"/>
        <color rgb="FF1155CC"/>
        <sz val="9.0"/>
        <u/>
      </rPr>
      <t>www.anatel.gov.br</t>
    </r>
  </si>
  <si>
    <t>PI7001Y</t>
  </si>
  <si>
    <t>VITROLA MALETA SEGUE O RITMO</t>
  </si>
  <si>
    <r>
      <rPr>
        <rFont val="Trebuchet MS"/>
        <b/>
        <color theme="1"/>
        <sz val="9.0"/>
      </rPr>
      <t xml:space="preserve">12/03/25 - Manutenção finalizada.
</t>
    </r>
    <r>
      <rPr>
        <rFont val="Trebuchet MS"/>
        <b val="0"/>
        <color theme="1"/>
        <sz val="9.0"/>
      </rPr>
      <t>21/08/24 - Certificado de homologação ANATEL recebido, inclusão finalizada.</t>
    </r>
  </si>
  <si>
    <r>
      <rPr>
        <rFont val="Trebuchet MS"/>
        <sz val="9.0"/>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15743-20-13462.
Para maiores informações, consulte o site da ANATEL em </t>
    </r>
    <r>
      <rPr>
        <rFont val="Trebuchet MS"/>
        <color rgb="FF1155CC"/>
        <sz val="9.0"/>
        <u/>
      </rPr>
      <t>www.anatel.gov.br</t>
    </r>
  </si>
  <si>
    <t>PI7091Y</t>
  </si>
  <si>
    <t>CANETA DE SILICONE FLOR DE LEBRE</t>
  </si>
  <si>
    <r>
      <rPr>
        <rFont val="Trebuchet MS"/>
        <b/>
        <color theme="1"/>
        <sz val="9.0"/>
      </rPr>
      <t xml:space="preserve">23/04/2025 - Manutenção finalizada.
</t>
    </r>
    <r>
      <rPr>
        <rFont val="Trebuchet MS"/>
        <b val="0"/>
        <color theme="1"/>
        <sz val="9.0"/>
      </rPr>
      <t>28/08/24 - Inclusão concecida no Orquestra, processo finalizado.</t>
    </r>
  </si>
  <si>
    <t>Certificação INMETRO: Produto certificado por BRICS OCP 0098 Nº Registro 005674/2023</t>
  </si>
  <si>
    <t>PI7092Y</t>
  </si>
  <si>
    <t>CANETA DE SILICONE FLOR SORRIDENTE</t>
  </si>
  <si>
    <r>
      <rPr>
        <rFont val="Trebuchet MS"/>
        <b/>
        <color theme="1"/>
        <sz val="9.0"/>
      </rPr>
      <t xml:space="preserve">23/04/2025 - Manutenção finalizada.
</t>
    </r>
    <r>
      <rPr>
        <rFont val="Trebuchet MS"/>
        <b val="0"/>
        <color theme="1"/>
        <sz val="9.0"/>
      </rPr>
      <t>28/08/24 - Inclusão concecida no Orquestra, processo finalizado.</t>
    </r>
  </si>
  <si>
    <t>PI7093Y</t>
  </si>
  <si>
    <t>CANETA DE SILICONE FLOR E JOANINHA</t>
  </si>
  <si>
    <r>
      <rPr>
        <rFont val="Trebuchet MS"/>
        <b/>
        <color theme="1"/>
        <sz val="9.0"/>
      </rPr>
      <t xml:space="preserve">23/04/2025 - Manutenção finalizada.
</t>
    </r>
    <r>
      <rPr>
        <rFont val="Trebuchet MS"/>
        <b val="0"/>
        <color theme="1"/>
        <sz val="9.0"/>
      </rPr>
      <t>28/08/24 - Inclusão concecida no Orquestra, processo finalizado.</t>
    </r>
  </si>
  <si>
    <t>PI7094Y</t>
  </si>
  <si>
    <t>CANETA DE SILICONE BORBOLETA</t>
  </si>
  <si>
    <r>
      <rPr>
        <rFont val="Trebuchet MS"/>
        <b/>
        <color theme="1"/>
        <sz val="9.0"/>
      </rPr>
      <t xml:space="preserve">23/04/2025 - Manutenção finalizada.
</t>
    </r>
    <r>
      <rPr>
        <rFont val="Trebuchet MS"/>
        <b val="0"/>
        <color theme="1"/>
        <sz val="9.0"/>
      </rPr>
      <t>28/08/24 - Inclusão concecida no Orquestra, processo finalizado.</t>
    </r>
  </si>
  <si>
    <t>PI7045Y</t>
  </si>
  <si>
    <t>CANETAS MARCA TEXTO EMPILHAVEIS PANDA</t>
  </si>
  <si>
    <r>
      <rPr>
        <rFont val="Trebuchet MS"/>
        <b/>
        <color theme="1"/>
        <sz val="9.0"/>
      </rPr>
      <t xml:space="preserve">23/04/2025 - Manutenção finalizada.
</t>
    </r>
    <r>
      <rPr>
        <rFont val="Trebuchet MS"/>
        <b val="0"/>
        <color theme="1"/>
        <sz val="9.0"/>
      </rPr>
      <t>28/08/24 - Inclusão concecida no Orquestra, processo finalizado.</t>
    </r>
  </si>
  <si>
    <t>Certificação INMETRO: Produto certificado por BRICS OCP 0098 Nº Registro 005380/2023</t>
  </si>
  <si>
    <t>PI7047Y</t>
  </si>
  <si>
    <t>CANETAS MARCA TEXTO EMPILHAVEIS CONCHA</t>
  </si>
  <si>
    <r>
      <rPr>
        <rFont val="Trebuchet MS"/>
        <b/>
        <color theme="1"/>
        <sz val="9.0"/>
      </rPr>
      <t xml:space="preserve">23/04/2025 - Manutenção finalizada.
</t>
    </r>
    <r>
      <rPr>
        <rFont val="Trebuchet MS"/>
        <b val="0"/>
        <color theme="1"/>
        <sz val="9.0"/>
      </rPr>
      <t>28/08/24 - Inclusão concecida no Orquestra, processo finalizado.</t>
    </r>
  </si>
  <si>
    <t>PI6934Y</t>
  </si>
  <si>
    <t>PELUCIA DORINHA G</t>
  </si>
  <si>
    <r>
      <rPr>
        <rFont val="Trebuchet MS"/>
        <b/>
        <color theme="1"/>
        <sz val="9.0"/>
      </rPr>
      <t xml:space="preserve">03/04/25 - Manutenção finalizada.
</t>
    </r>
    <r>
      <rPr>
        <rFont val="Trebuchet MS"/>
        <b val="0"/>
        <color theme="1"/>
        <sz val="9.0"/>
      </rPr>
      <t>13/11/24 - Inclusão concecida, processo finalizado.</t>
    </r>
  </si>
  <si>
    <t>PI7376Y</t>
  </si>
  <si>
    <t>PELUCIA DORINHA P</t>
  </si>
  <si>
    <r>
      <rPr>
        <rFont val="Trebuchet MS"/>
        <b/>
        <color theme="1"/>
        <sz val="9.0"/>
      </rPr>
      <t xml:space="preserve">03/04/25 - Manutenção finalizada.
</t>
    </r>
    <r>
      <rPr>
        <rFont val="Trebuchet MS"/>
        <b val="0"/>
        <color theme="1"/>
        <sz val="9.0"/>
      </rPr>
      <t>13/11/24 - Inclusão concecida, processo finalizado.</t>
    </r>
  </si>
  <si>
    <t>PI7377Y</t>
  </si>
  <si>
    <t>PELUCIA COELHO P</t>
  </si>
  <si>
    <r>
      <rPr>
        <rFont val="Trebuchet MS"/>
        <b/>
        <color theme="1"/>
        <sz val="9.0"/>
      </rPr>
      <t xml:space="preserve">03/04/25 - Manutenção finalizada.
</t>
    </r>
    <r>
      <rPr>
        <rFont val="Trebuchet MS"/>
        <b val="0"/>
        <color theme="1"/>
        <sz val="9.0"/>
      </rPr>
      <t>13/11/24 - Inclusão concecida, processo finalizado.</t>
    </r>
  </si>
  <si>
    <t>PI7378Y</t>
  </si>
  <si>
    <t>PELUCIA COELHO G</t>
  </si>
  <si>
    <r>
      <rPr>
        <rFont val="Trebuchet MS"/>
        <b/>
        <color theme="1"/>
        <sz val="9.0"/>
      </rPr>
      <t xml:space="preserve">03/04/25 - Manutenção finalizada.
</t>
    </r>
    <r>
      <rPr>
        <rFont val="Trebuchet MS"/>
        <b val="0"/>
        <color theme="1"/>
        <sz val="9.0"/>
      </rPr>
      <t>13/11/24 - Inclusão concecida, processo finalizado.</t>
    </r>
  </si>
  <si>
    <t>PI7379Y</t>
  </si>
  <si>
    <t>PELUCIA ZECA P</t>
  </si>
  <si>
    <r>
      <rPr>
        <rFont val="Trebuchet MS"/>
        <b/>
        <color theme="1"/>
        <sz val="9.0"/>
      </rPr>
      <t xml:space="preserve">03/04/25 - Manutenção finalizada.
</t>
    </r>
    <r>
      <rPr>
        <rFont val="Trebuchet MS"/>
        <b val="0"/>
        <color theme="1"/>
        <sz val="9.0"/>
      </rPr>
      <t>13/11/24 - Inclusão concecida, processo finalizado.</t>
    </r>
  </si>
  <si>
    <t>PI7380Y</t>
  </si>
  <si>
    <t>PELUCIA ZECA G</t>
  </si>
  <si>
    <r>
      <rPr>
        <rFont val="Trebuchet MS"/>
        <b/>
        <color theme="1"/>
        <sz val="9.0"/>
      </rPr>
      <t xml:space="preserve">03/04/25 - Manutenção finalizada.
</t>
    </r>
    <r>
      <rPr>
        <rFont val="Trebuchet MS"/>
        <b val="0"/>
        <color theme="1"/>
        <sz val="9.0"/>
      </rPr>
      <t>13/11/24 - Inclusão concecida, processo finalizado.</t>
    </r>
  </si>
  <si>
    <t>PI7383Y</t>
  </si>
  <si>
    <t>PELUCIA 2 EM 1 COELHO E CARTOLA</t>
  </si>
  <si>
    <r>
      <rPr>
        <rFont val="Trebuchet MS"/>
        <b/>
        <color theme="1"/>
        <sz val="9.0"/>
      </rPr>
      <t xml:space="preserve">03/04/25 - Manutenção finalizada.
</t>
    </r>
    <r>
      <rPr>
        <rFont val="Trebuchet MS"/>
        <b val="0"/>
        <color theme="1"/>
        <sz val="9.0"/>
      </rPr>
      <t>13/11/24 - Inclusão concecida, processo finalizado.</t>
    </r>
  </si>
  <si>
    <t>PI7374Y</t>
  </si>
  <si>
    <t>CHAVEIRO PELUCIA COELHO</t>
  </si>
  <si>
    <r>
      <rPr>
        <rFont val="Trebuchet MS"/>
        <b/>
        <color theme="1"/>
        <sz val="9.0"/>
      </rPr>
      <t xml:space="preserve">15/05/25 - Manutenção finalizada.
</t>
    </r>
    <r>
      <rPr>
        <rFont val="Trebuchet MS"/>
        <b val="0"/>
        <color theme="1"/>
        <sz val="9.0"/>
      </rPr>
      <t>28/10/24 - Registro concedido, processo finalizado.</t>
    </r>
  </si>
  <si>
    <t>PI7375Y</t>
  </si>
  <si>
    <t>CHAVEIRO PELUCIA DRAGAO</t>
  </si>
  <si>
    <r>
      <rPr>
        <rFont val="Trebuchet MS"/>
        <b/>
        <color theme="1"/>
        <sz val="9.0"/>
      </rPr>
      <t xml:space="preserve">15/05/25 - Manutenção finalizada.
</t>
    </r>
    <r>
      <rPr>
        <rFont val="Trebuchet MS"/>
        <b val="0"/>
        <color theme="1"/>
        <sz val="9.0"/>
      </rPr>
      <t>28/10/24 - Registro concedido, processo finalizado.</t>
    </r>
  </si>
  <si>
    <t>PI7420Y</t>
  </si>
  <si>
    <t>CHAVEIRO PELUCIA DORINHA</t>
  </si>
  <si>
    <r>
      <rPr>
        <rFont val="Trebuchet MS"/>
        <b/>
        <color theme="1"/>
        <sz val="9.0"/>
      </rPr>
      <t xml:space="preserve">15/05/25 - Manutenção finalizada.
</t>
    </r>
    <r>
      <rPr>
        <rFont val="Trebuchet MS"/>
        <b val="0"/>
        <color theme="1"/>
        <sz val="9.0"/>
      </rPr>
      <t>28/10/24 - Registro concedido, processo finalizado.</t>
    </r>
  </si>
  <si>
    <t>PI7421Y</t>
  </si>
  <si>
    <t>CHAVEIRO PELUCIA ZECA</t>
  </si>
  <si>
    <r>
      <rPr>
        <rFont val="Trebuchet MS"/>
        <b/>
        <color theme="1"/>
        <sz val="9.0"/>
      </rPr>
      <t xml:space="preserve">15/05/25 - Manutenção finalizada.
</t>
    </r>
    <r>
      <rPr>
        <rFont val="Trebuchet MS"/>
        <b val="0"/>
        <color theme="1"/>
        <sz val="9.0"/>
      </rPr>
      <t>28/10/24 - Registro concedido, processo finalizado.</t>
    </r>
  </si>
  <si>
    <t>PI7422Y</t>
  </si>
  <si>
    <t>CHAVEIRO PELUCIA GURUMELO</t>
  </si>
  <si>
    <r>
      <rPr>
        <rFont val="Trebuchet MS"/>
        <b/>
        <color theme="1"/>
        <sz val="9.0"/>
      </rPr>
      <t xml:space="preserve">15/05/25 - Manutenção finalizada.
</t>
    </r>
    <r>
      <rPr>
        <rFont val="Trebuchet MS"/>
        <b val="0"/>
        <color theme="1"/>
        <sz val="9.0"/>
      </rPr>
      <t>28/10/24 - Registro concedido, processo finalizado.</t>
    </r>
  </si>
  <si>
    <t>PI7423Y</t>
  </si>
  <si>
    <t>CHAVEIRO PELUCIA MELINHA</t>
  </si>
  <si>
    <r>
      <rPr>
        <rFont val="Trebuchet MS"/>
        <b/>
        <color theme="1"/>
        <sz val="9.0"/>
      </rPr>
      <t xml:space="preserve">15/05/25 - Manutenção finalizada.
</t>
    </r>
    <r>
      <rPr>
        <rFont val="Trebuchet MS"/>
        <b val="0"/>
        <color theme="1"/>
        <sz val="9.0"/>
      </rPr>
      <t>28/10/24 - Registro concedido, processo finalizado.</t>
    </r>
  </si>
  <si>
    <t>PI7424Y</t>
  </si>
  <si>
    <t>CHAVEIRO PELUCIA MORCEGUITO</t>
  </si>
  <si>
    <r>
      <rPr>
        <rFont val="Trebuchet MS"/>
        <b/>
        <color theme="1"/>
        <sz val="9.0"/>
      </rPr>
      <t xml:space="preserve">15/05/25 - Manutenção finalizada.
</t>
    </r>
    <r>
      <rPr>
        <rFont val="Trebuchet MS"/>
        <b val="0"/>
        <color theme="1"/>
        <sz val="9.0"/>
      </rPr>
      <t>28/10/24 - Registro concedido, processo finalizado.</t>
    </r>
  </si>
  <si>
    <t>PI7425Y</t>
  </si>
  <si>
    <t>CHAVEIRO PELUCIA JOANINHA</t>
  </si>
  <si>
    <t>28/10/24 - Registro concedido, processo finalizado.</t>
  </si>
  <si>
    <t>PI7461Y</t>
  </si>
  <si>
    <t>2025 - FAT04</t>
  </si>
  <si>
    <t>CHAVEIRO PELUCIA HP HARRY POTTER</t>
  </si>
  <si>
    <r>
      <rPr>
        <rFont val="Trebuchet MS"/>
        <b/>
        <color theme="1"/>
        <sz val="9.0"/>
      </rPr>
      <t xml:space="preserve">15/05/25 - Manutenção finalizada.
</t>
    </r>
    <r>
      <rPr>
        <rFont val="Trebuchet MS"/>
        <b val="0"/>
        <color theme="1"/>
        <sz val="9.0"/>
      </rPr>
      <t>13/11/24 - Inclusão concedida, processo finalizado.</t>
    </r>
  </si>
  <si>
    <t>PI7462Y</t>
  </si>
  <si>
    <t>CHAVEIRO PELUCIA HP EDWIGES</t>
  </si>
  <si>
    <r>
      <rPr>
        <rFont val="Trebuchet MS"/>
        <b/>
        <color theme="1"/>
        <sz val="9.0"/>
      </rPr>
      <t xml:space="preserve">15/05/25 - Manutenção finalizada.
</t>
    </r>
    <r>
      <rPr>
        <rFont val="Trebuchet MS"/>
        <b val="0"/>
        <color theme="1"/>
        <sz val="9.0"/>
      </rPr>
      <t>13/11/24 - Inclusão concedida, processo finalizado.</t>
    </r>
  </si>
  <si>
    <t>PI7438Y</t>
  </si>
  <si>
    <t>PELUCIAS COM IMA PASTEL E CALDO DE CANA</t>
  </si>
  <si>
    <r>
      <rPr>
        <rFont val="Trebuchet MS"/>
        <b/>
        <color theme="1"/>
        <sz val="9.0"/>
      </rPr>
      <t xml:space="preserve">11/09/25 - Como não temos mais estoque desse item (ele foi cancelado) não vamos encerrar, vamos apenas deixar vencer conforme indicação da BRICS.
</t>
    </r>
    <r>
      <rPr>
        <rFont val="Trebuchet MS"/>
        <b val="0"/>
        <color theme="1"/>
        <sz val="9.0"/>
      </rPr>
      <t>15/01/25 - Inclusão concedida, processo finalizado.</t>
    </r>
  </si>
  <si>
    <t>11356/2024-BRI-1</t>
  </si>
  <si>
    <t>000219/2025</t>
  </si>
  <si>
    <t>Certificação INMETRO: Produto certificado por BRICS OCP 0098 Nº Registro 000219/2025</t>
  </si>
  <si>
    <t>PI7652Y</t>
  </si>
  <si>
    <t>2025 - FAT10</t>
  </si>
  <si>
    <t>CHAVEIRO PELUCIA CAPIVARA FLUTUALDO</t>
  </si>
  <si>
    <t>05/06/25 - Inclusão concedida, processo finalizado.</t>
  </si>
  <si>
    <t>PI7651Y</t>
  </si>
  <si>
    <t>PELUCIA CAPIVARA FLUTUALDO G</t>
  </si>
  <si>
    <t>04/06/25 - Inclusão concedida, processo finalizado.</t>
  </si>
  <si>
    <t>PI7558Y</t>
  </si>
  <si>
    <t>CANETA BATATA FRITA</t>
  </si>
  <si>
    <t>01/09/25 - Registro concedido no Orquestra.</t>
  </si>
  <si>
    <t>12224/2025-AE-2</t>
  </si>
  <si>
    <t>009650/2025</t>
  </si>
  <si>
    <t>Certificação INMETRO: Produto certificado por BRICS OCP 0098 Nº Registro 009650/2025</t>
  </si>
  <si>
    <t>PI7569Y</t>
  </si>
  <si>
    <t>CANETA HAMBURGUER</t>
  </si>
  <si>
    <t>PI7567Y</t>
  </si>
  <si>
    <t>CANETA ASTRONAUTA PRETA</t>
  </si>
  <si>
    <t>PI7726Y</t>
  </si>
  <si>
    <t>CANETA ASTRONAUTA AZUL</t>
  </si>
  <si>
    <r>
      <rPr>
        <rFont val="Trebuchet MS"/>
        <b/>
        <color theme="1"/>
        <sz val="9.0"/>
      </rPr>
      <t xml:space="preserve">27/10/25 - Produto cancelado e excluído do Orquestra.
</t>
    </r>
    <r>
      <rPr>
        <rFont val="Trebuchet MS"/>
        <b val="0"/>
        <color theme="1"/>
        <sz val="9.0"/>
      </rPr>
      <t>01/09/25 - Registro concedido no Orquestra.</t>
    </r>
  </si>
  <si>
    <t>PI7556Y</t>
  </si>
  <si>
    <t>CANETA UNICORNIO ROSA</t>
  </si>
  <si>
    <t>12224/2025-AE-4</t>
  </si>
  <si>
    <t>009653/2025</t>
  </si>
  <si>
    <t>Certificação INMETRO: Produto certificado por BRICS OCP 0098 Nº Registro 009653/2025</t>
  </si>
  <si>
    <t>PI7727Y</t>
  </si>
  <si>
    <t>CANETA UNICORNIO AZUL</t>
  </si>
  <si>
    <t>PI7728Y</t>
  </si>
  <si>
    <t>CANETA UNICORNIO LILAS</t>
  </si>
  <si>
    <t>PI7729Y</t>
  </si>
  <si>
    <t>CANETA URSO ROSA</t>
  </si>
  <si>
    <t>PI7730Y</t>
  </si>
  <si>
    <t>CANETA URSO LILAS</t>
  </si>
  <si>
    <t>PI7568Y</t>
  </si>
  <si>
    <t>CANETA URSO AZUL</t>
  </si>
  <si>
    <t>PI7731Y</t>
  </si>
  <si>
    <t>CANETA GATO BEGE</t>
  </si>
  <si>
    <t>PI7732Y</t>
  </si>
  <si>
    <t>CANETA GATO CINZA</t>
  </si>
  <si>
    <t>PI7562Y</t>
  </si>
  <si>
    <t>CANETA GATO MARROM</t>
  </si>
  <si>
    <t>PI7565Y</t>
  </si>
  <si>
    <t>CANETA SUSHI</t>
  </si>
  <si>
    <r>
      <rPr>
        <rFont val="Trebuchet MS"/>
        <b/>
        <color theme="1"/>
        <sz val="9.0"/>
      </rPr>
      <t xml:space="preserve">27/10/25 - Item excluído, aguardando novo modelo para incluir novamente.
</t>
    </r>
    <r>
      <rPr>
        <rFont val="Trebuchet MS"/>
        <b val="0"/>
        <color theme="1"/>
        <sz val="9.0"/>
      </rPr>
      <t>01/09/25 - Registro concedido no Orquestra.</t>
    </r>
  </si>
  <si>
    <t>PI7555Y</t>
  </si>
  <si>
    <t>CANETA PANDA</t>
  </si>
  <si>
    <r>
      <rPr>
        <rFont val="Trebuchet MS"/>
        <b/>
        <color theme="1"/>
        <sz val="9.0"/>
      </rPr>
      <t xml:space="preserve">27/10/25 - Item excluído, aguardando novo modelo para incluir novamente.
</t>
    </r>
    <r>
      <rPr>
        <rFont val="Trebuchet MS"/>
        <b val="0"/>
        <color theme="1"/>
        <sz val="9.0"/>
      </rPr>
      <t>01/09/25 - Registro concedido no Orquestra.</t>
    </r>
  </si>
  <si>
    <t>PI7560Y</t>
  </si>
  <si>
    <t>CANETA PANDA AMIGOS</t>
  </si>
  <si>
    <r>
      <rPr>
        <rFont val="Trebuchet MS"/>
        <b/>
        <color theme="1"/>
        <sz val="9.0"/>
      </rPr>
      <t xml:space="preserve">27/10/25 - Item excluído e incluído novamente com o novo nome.
</t>
    </r>
    <r>
      <rPr>
        <rFont val="Trebuchet MS"/>
        <b val="0"/>
        <color theme="1"/>
        <sz val="9.0"/>
      </rPr>
      <t>01/09/25 - Registro concedido no Orquestra.</t>
    </r>
  </si>
  <si>
    <t>PI7551Y</t>
  </si>
  <si>
    <t>CANETA PINGENTE DINO</t>
  </si>
  <si>
    <t>12224/2025-AE-1</t>
  </si>
  <si>
    <t>009640/2025</t>
  </si>
  <si>
    <t>Certificação INMETRO: Produto certificado por BRICS OCP 0098 Nº Registro 009640/2025</t>
  </si>
  <si>
    <t>PI7553Y</t>
  </si>
  <si>
    <t>CANETA PINGENTE UNICORNIO</t>
  </si>
  <si>
    <t>PI7702Y</t>
  </si>
  <si>
    <t>CANETA PINGENTE ABACATE</t>
  </si>
  <si>
    <t>PI7550Y</t>
  </si>
  <si>
    <t>CANETA PINGENTE PATO</t>
  </si>
  <si>
    <t>PI7563Y</t>
  </si>
  <si>
    <t>CANETA PINGENTE ARCO IRIS</t>
  </si>
  <si>
    <t>PI7703Y</t>
  </si>
  <si>
    <t>CANETA PINGENTE CAPIVARA</t>
  </si>
  <si>
    <t>PI7561Y</t>
  </si>
  <si>
    <t>CANETA OVELHA</t>
  </si>
  <si>
    <t>PI7704Y</t>
  </si>
  <si>
    <t>CANETA GATO</t>
  </si>
  <si>
    <r>
      <rPr>
        <rFont val="Trebuchet MS"/>
        <b/>
        <color theme="1"/>
        <sz val="9.0"/>
      </rPr>
      <t xml:space="preserve">27/10/25 - Produto cancelado e excluído do Orquestra.
</t>
    </r>
    <r>
      <rPr>
        <rFont val="Trebuchet MS"/>
        <b val="0"/>
        <color theme="1"/>
        <sz val="9.0"/>
      </rPr>
      <t>01/09/25 - Registro concedido no Orquestra.</t>
    </r>
  </si>
  <si>
    <t>PI7705Y</t>
  </si>
  <si>
    <t>CANETA TUBARAO</t>
  </si>
  <si>
    <t>PI7706Y</t>
  </si>
  <si>
    <t>CANETA PAO</t>
  </si>
  <si>
    <t>PI7559Y</t>
  </si>
  <si>
    <t>CANETA BRACINHOS GATO</t>
  </si>
  <si>
    <t>PI7707Y</t>
  </si>
  <si>
    <t>CANETA BRACINHOS CAPIVARA</t>
  </si>
  <si>
    <t>PI7708Y</t>
  </si>
  <si>
    <t>CANETA BRACINHOS DINOSSAURO</t>
  </si>
  <si>
    <t>PI7709Y</t>
  </si>
  <si>
    <t>CANETA EJETAVEL PATO</t>
  </si>
  <si>
    <t>12224/2025-AE-3</t>
  </si>
  <si>
    <t>009652/2025</t>
  </si>
  <si>
    <t>Certificação INMETRO: Produto certificado por BRICS OCP 0098 Nº Registro 009652/2025</t>
  </si>
  <si>
    <t>PI7710Y</t>
  </si>
  <si>
    <t>CANETA EJETAVEL BOLA DE FUTEBOL</t>
  </si>
  <si>
    <t>PI7746Y</t>
  </si>
  <si>
    <t>2026 - FAT02</t>
  </si>
  <si>
    <t>CANETA HP CHAPEU SELETOR CASAS</t>
  </si>
  <si>
    <t>27/11/25 - Inclusão finalizada no Orquestra.</t>
  </si>
  <si>
    <t>PUKET</t>
  </si>
  <si>
    <t>100400403</t>
  </si>
  <si>
    <t>2023 HIGH SUMMER</t>
  </si>
  <si>
    <t>ALMOFADA PELUCIA UNICORNIO</t>
  </si>
  <si>
    <t>AÇÃO PROMOCIONAL</t>
  </si>
  <si>
    <r>
      <rPr>
        <rFont val="Trebuchet MS"/>
        <b/>
        <color theme="1"/>
        <sz val="9.0"/>
      </rPr>
      <t xml:space="preserve">26/10/23 - Isabela: De acordo com os emails da Isadora, essa certificação foi encerrada.
</t>
    </r>
    <r>
      <rPr>
        <rFont val="Trebuchet MS"/>
        <color theme="1"/>
        <sz val="9.0"/>
      </rPr>
      <t>22/06 - Número de Registro concedido.</t>
    </r>
    <r>
      <rPr>
        <rFont val="Trebuchet MS"/>
        <b/>
        <color theme="1"/>
        <sz val="9.0"/>
      </rPr>
      <t xml:space="preserve">
</t>
    </r>
    <r>
      <rPr>
        <rFont val="Trebuchet MS"/>
        <color theme="1"/>
        <sz val="9.0"/>
      </rPr>
      <t xml:space="preserve">13/06 - Número de Registro solicitado nesta data.
08/06 - Certificado de Conformidade emitido. </t>
    </r>
    <r>
      <rPr>
        <rFont val="Trebuchet MS"/>
        <b/>
        <color theme="1"/>
        <sz val="9.0"/>
      </rPr>
      <t xml:space="preserve">
</t>
    </r>
    <r>
      <rPr>
        <rFont val="Trebuchet MS"/>
        <color theme="1"/>
        <sz val="9.0"/>
      </rPr>
      <t>06/05 - Coleta confirmada, auditoria da fábrica prevista para 12/05.</t>
    </r>
  </si>
  <si>
    <t>7796/2022-BRI-1</t>
  </si>
  <si>
    <t>006561/2022</t>
  </si>
  <si>
    <t>Certificação INMETRO: Produto certificado por BRICS OCP 0098 Nº Registro 006561/2022</t>
  </si>
  <si>
    <t>100400402</t>
  </si>
  <si>
    <t>ALMOFADA PELUCIA DINOSSAURO</t>
  </si>
  <si>
    <r>
      <rPr>
        <rFont val="Trebuchet MS"/>
        <b/>
        <color theme="1"/>
        <sz val="9.0"/>
      </rPr>
      <t xml:space="preserve">26/10/23 - Isabela: De acordo com os emails da Isadora, essa certificação foi encerrada.
22/06 - Número de Registro concedido.
</t>
    </r>
    <r>
      <rPr>
        <rFont val="Trebuchet MS"/>
        <color theme="1"/>
        <sz val="9.0"/>
      </rPr>
      <t>13/06 - Número de Registro solicitado nesta data.
08/06 - Certificado de Conformidade emitido. 
06/05 - Coleta confirmada, auditoria da fábrica prevista para 12/05.</t>
    </r>
  </si>
  <si>
    <t>100400416</t>
  </si>
  <si>
    <t>HEADPHONE BLUETOOTH GIRLS - COLOR BLOCK</t>
  </si>
  <si>
    <r>
      <rPr>
        <rFont val="Trebuchet MS"/>
        <b/>
        <color theme="1"/>
        <sz val="9.0"/>
      </rPr>
      <t xml:space="preserve">30/08 - Certificado de Homologação emitido. Chegada CD: 07/10.
</t>
    </r>
    <r>
      <rPr>
        <rFont val="Trebuchet MS"/>
        <color theme="1"/>
        <sz val="9.0"/>
      </rPr>
      <t>29/08 - Status na Anatel: Em análise - RE.
26/08 - Efetuado o upload dos arquivos na Anatel e solicitado retorno quanto à inclusão dos novos modelos.
26/07 - Enviados documentos para Master, aguardando retorno referente a inclusão.
15/06 - Solicitadas fotos internas e externas dos modelos para enviar ao OCD.</t>
    </r>
  </si>
  <si>
    <t>MT-5533/2021</t>
  </si>
  <si>
    <t>09550-21-11617</t>
  </si>
  <si>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09550-21-11617.
Para maiores informações, consulte o site da ANATEL em </t>
    </r>
    <r>
      <rPr>
        <rFont val="Calibri"/>
        <color rgb="FF1155CC"/>
        <u/>
      </rPr>
      <t>www.anatel.gov.br</t>
    </r>
  </si>
  <si>
    <t>100400417</t>
  </si>
  <si>
    <t>HEADPHONE BLUETOOTH BOYS - COLOR BLOCK</t>
  </si>
  <si>
    <r>
      <rPr>
        <rFont val="Trebuchet MS"/>
        <b/>
        <color theme="1"/>
        <sz val="9.0"/>
      </rPr>
      <t xml:space="preserve">30/08 - Certificado de Homologação emitido. Chegada CD: 07/10.
</t>
    </r>
    <r>
      <rPr>
        <rFont val="Trebuchet MS"/>
        <color theme="1"/>
        <sz val="9.0"/>
      </rPr>
      <t>29/08 - Status na Anatel: Em análise - RE.
26/08 - Efetuado o upload dos arquivos na Anatel e solicitado retorno quanto à inclusão dos novos modelos.
26/07 - Enviados documentos para Master, aguardando retorno referente a inclusão.
15/06 - Solicitadas fotos internas e externas dos modelos para enviar ao OCD.</t>
    </r>
  </si>
  <si>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09550-21-11617.
Para maiores informações, consulte o site da ANATEL em </t>
    </r>
    <r>
      <rPr>
        <rFont val="Calibri"/>
        <color rgb="FF1155CC"/>
        <u/>
      </rPr>
      <t>www.anatel.gov.br</t>
    </r>
  </si>
  <si>
    <t>Joy Rain</t>
  </si>
  <si>
    <t>JoyRain Familia 01 - Lápis Grafite
JoyRain Familia 02 - Caneta Esferográfica (LED)
JoyRain Familia 03 - Borracha</t>
  </si>
  <si>
    <t>ACESSÓRIOS</t>
  </si>
  <si>
    <t>IP-AESC-3488/2020-01
IP-AESC-3488/2020-02
IP-AESC-3488/2020-03</t>
  </si>
  <si>
    <t>006914/2020
006680/2020
006682/2020</t>
  </si>
  <si>
    <t>100400422</t>
  </si>
  <si>
    <t>2023 WINTER</t>
  </si>
  <si>
    <t>PELUCIA VACA COM LED</t>
  </si>
  <si>
    <r>
      <rPr>
        <rFont val="Trebuchet MS"/>
        <b/>
        <color theme="1"/>
        <sz val="9.0"/>
      </rPr>
      <t xml:space="preserve">08/12 - Recebido o número de registro 012531/2022 e enviado a arte para a China realizar a impressão e etiquetagem.  Chegada CD 01/03 + uma parte após CNY - PKT-W2320-SZ.
</t>
    </r>
    <r>
      <rPr>
        <rFont val="Trebuchet MS"/>
        <color theme="1"/>
        <sz val="9.0"/>
      </rPr>
      <t>01/12 - Solicitado o Registro no sistema Orquestra.</t>
    </r>
    <r>
      <rPr>
        <rFont val="Trebuchet MS"/>
        <b/>
        <color theme="1"/>
        <sz val="9.0"/>
      </rPr>
      <t xml:space="preserve">
</t>
    </r>
    <r>
      <rPr>
        <rFont val="Trebuchet MS"/>
        <color theme="1"/>
        <sz val="9.0"/>
      </rPr>
      <t>25/11 - Certificado de conformidade emitido.
23/11 - Draft do certificado aprovado.
24/10 - Ensaios finalizados, liberação do laudo aguarda o retorno das Tags.
18/10 - Previsão de finalização dos ensaios: 24/10.
13/10 - Amostras enviadas ao laboratório. Previsão de chegada CD: 20/02/23 (produção após os testes).
05/09 - Amostras finais ainda não foram enviadas pois a fábrica estava priorizando as amostras da Imaginarium.
20/09 - Amostras finais serão enviadas dia 29/09.
07/09 - Arte final será enviada até o final da semana que vem, para amostras estarem prontas antes do dia 30/09 (feriado nacional chinês 1/10 a 7/10).</t>
    </r>
  </si>
  <si>
    <t>8338/2022-BRI-1</t>
  </si>
  <si>
    <t>005580/2023</t>
  </si>
  <si>
    <t>100400423</t>
  </si>
  <si>
    <t>PELUCIA TUBARAO COM LED</t>
  </si>
  <si>
    <r>
      <rPr>
        <rFont val="Trebuchet MS"/>
        <b/>
        <color theme="1"/>
        <sz val="9.0"/>
      </rPr>
      <t xml:space="preserve">08/12 - Recebido o número de registro 012531/2022 e enviado a arte para a China realizar a impressão e etiquetagem. Chegada CD 01/03 - PKT-W2320-SZ.
</t>
    </r>
    <r>
      <rPr>
        <rFont val="Trebuchet MS"/>
        <color theme="1"/>
        <sz val="9.0"/>
      </rPr>
      <t>01/12 - Solicitado o Registro no sistema Orquestra.</t>
    </r>
    <r>
      <rPr>
        <rFont val="Trebuchet MS"/>
        <b/>
        <color theme="1"/>
        <sz val="9.0"/>
      </rPr>
      <t xml:space="preserve">
</t>
    </r>
    <r>
      <rPr>
        <rFont val="Trebuchet MS"/>
        <color theme="1"/>
        <sz val="9.0"/>
      </rPr>
      <t>25/11 - Certificado de conformidade emitido.
23/11 - Draft do certificado aprovado.
24/10 - Ensaios finalizados, liberação do laudo aguarda o retorno das Tags.
18/10 - Previsão de finalização dos ensaios: 24/10.
13/10 - Amostras enviadas ao laboratório. Previsão de chegada CD: 20/02/23 (produção após os testes).
05/09 - Amostras finais ainda não foram enviadas pois a fábrica estava priorizando as amostras da Imaginarium.
20/09 - Amostras finais serão enviadas dia 29/09.
07/09 - Arte final será enviada até o final da semana que vem, para amostras estarem prontas antes do dia 30/09 (feriado nacional chinês 1/10 a 7/10).</t>
    </r>
  </si>
  <si>
    <t>100400380</t>
  </si>
  <si>
    <t>2022 HIGH WINTER</t>
  </si>
  <si>
    <t>Zhiletian</t>
  </si>
  <si>
    <t>LANTERNA PROJETOR MULTIBICHOS VEDE AGUA</t>
  </si>
  <si>
    <r>
      <rPr>
        <rFont val="Trebuchet MS"/>
        <b/>
        <color theme="1"/>
        <sz val="9.0"/>
      </rPr>
      <t xml:space="preserve">07/12/23 - Encerramento solicitado no Orquestra.
</t>
    </r>
    <r>
      <rPr>
        <rFont val="Trebuchet MS"/>
        <b val="0"/>
        <color theme="1"/>
        <sz val="9.0"/>
      </rPr>
      <t>19/10/22 - Manutenção confirmada.</t>
    </r>
    <r>
      <rPr>
        <rFont val="Trebuchet MS"/>
        <b/>
        <color theme="1"/>
        <sz val="9.0"/>
      </rPr>
      <t xml:space="preserve">
-
</t>
    </r>
    <r>
      <rPr>
        <rFont val="Trebuchet MS"/>
        <b val="0"/>
        <color theme="1"/>
        <sz val="9.0"/>
      </rPr>
      <t>10/03 - Retrabalho da Qualidade (etiquetas) finalizado.
06/01 - Registro concedido.</t>
    </r>
    <r>
      <rPr>
        <rFont val="Trebuchet MS"/>
        <b/>
        <color theme="1"/>
        <sz val="9.0"/>
      </rPr>
      <t xml:space="preserve">
</t>
    </r>
    <r>
      <rPr>
        <rFont val="Trebuchet MS"/>
        <b val="0"/>
        <color theme="1"/>
        <sz val="9.0"/>
      </rPr>
      <t>15/12 - Solicitado o Registro no Orquestra. Guia do GRU enviada para pagamento. Previsão de embarque: meados de Janeiro.
29/11 - Draft do certificado aprovado. Previsão de finalização da produção: 10/11.
03/11 - Previsão de finalização dos ensaios: 12/11.
29/10 - Auditoria e coleta das amostras ok.</t>
    </r>
  </si>
  <si>
    <t>7296/2021-BRI-1</t>
  </si>
  <si>
    <t>000284/2022</t>
  </si>
  <si>
    <t>Certificação INMETRO: Produto certificado por BRICS OCP 0098 Nº Registro 000284/2022</t>
  </si>
  <si>
    <t>070400034</t>
  </si>
  <si>
    <t>FAMAS SOLUÇÕES GRAFICAS</t>
  </si>
  <si>
    <t xml:space="preserve"> 070400034 - Jogo da Mémória</t>
  </si>
  <si>
    <r>
      <rPr>
        <rFont val="Trebuchet MS"/>
        <b/>
        <color theme="1"/>
        <sz val="9.0"/>
      </rPr>
      <t xml:space="preserve">22/05/25 - Registro inativado.
</t>
    </r>
    <r>
      <rPr>
        <rFont val="Trebuchet MS"/>
        <b val="0"/>
        <color theme="1"/>
        <sz val="9.0"/>
      </rPr>
      <t>10/05/24 - Manutenção concluída.</t>
    </r>
    <r>
      <rPr>
        <rFont val="Trebuchet MS"/>
        <b/>
        <color theme="1"/>
        <sz val="9.0"/>
      </rPr>
      <t xml:space="preserve">
</t>
    </r>
    <r>
      <rPr>
        <rFont val="Trebuchet MS"/>
        <b val="0"/>
        <color theme="1"/>
        <sz val="9.0"/>
      </rPr>
      <t>27/06 - Registro concedido.</t>
    </r>
  </si>
  <si>
    <t>9304/2023-BRI-1</t>
  </si>
  <si>
    <t>005821/2023</t>
  </si>
  <si>
    <t>Certificação INMETRO: Produto certificado por BRICS OCP 0098 Nº Registro 005821/2023</t>
  </si>
  <si>
    <t>PELUCIA TUBARAO</t>
  </si>
  <si>
    <r>
      <rPr>
        <rFont val="Trebuchet MS"/>
        <b/>
        <color theme="1"/>
        <sz val="9.0"/>
      </rPr>
      <t xml:space="preserve">06/05 - Tarefa de invativação concluída.
</t>
    </r>
    <r>
      <rPr>
        <rFont val="Trebuchet MS"/>
        <color theme="1"/>
        <sz val="9.0"/>
      </rPr>
      <t>05/04 - Certificado encerrado no Orquestra.</t>
    </r>
    <r>
      <rPr>
        <rFont val="Trebuchet MS"/>
        <b/>
        <color theme="1"/>
        <sz val="9.0"/>
      </rPr>
      <t xml:space="preserve">
</t>
    </r>
    <r>
      <rPr>
        <rFont val="Trebuchet MS"/>
        <color theme="1"/>
        <sz val="9.0"/>
      </rPr>
      <t>30/05 - Ensaios finalizados.</t>
    </r>
    <r>
      <rPr>
        <rFont val="Trebuchet MS"/>
        <b/>
        <color theme="1"/>
        <sz val="9.0"/>
      </rPr>
      <t xml:space="preserve">
</t>
    </r>
    <r>
      <rPr>
        <rFont val="Trebuchet MS"/>
        <color theme="1"/>
        <sz val="9.0"/>
      </rPr>
      <t>09/05 - Audioria agendada para 26/05. Amostras recebidas no laboratório.</t>
    </r>
  </si>
  <si>
    <t>9410/2023-BRI-1</t>
  </si>
  <si>
    <t>Certificação INMETRO: Produto certificado por BRICS OCP 0098 Nº Registro 005580/2023</t>
  </si>
  <si>
    <t>PELUCIA VACA</t>
  </si>
  <si>
    <r>
      <rPr>
        <rFont val="Trebuchet MS"/>
        <b/>
        <color theme="1"/>
        <sz val="9.0"/>
      </rPr>
      <t xml:space="preserve">06/05 - Tarefa de invativação concluída.
</t>
    </r>
    <r>
      <rPr>
        <rFont val="Trebuchet MS"/>
        <color theme="1"/>
        <sz val="9.0"/>
      </rPr>
      <t>05/04 - Certificado encerrado no Orquestra.</t>
    </r>
    <r>
      <rPr>
        <rFont val="Trebuchet MS"/>
        <b/>
        <color theme="1"/>
        <sz val="9.0"/>
      </rPr>
      <t xml:space="preserve">
</t>
    </r>
    <r>
      <rPr>
        <rFont val="Trebuchet MS"/>
        <color theme="1"/>
        <sz val="9.0"/>
      </rPr>
      <t>30/05 - Ensaios finalizados.</t>
    </r>
    <r>
      <rPr>
        <rFont val="Trebuchet MS"/>
        <b/>
        <color theme="1"/>
        <sz val="9.0"/>
      </rPr>
      <t xml:space="preserve">
</t>
    </r>
    <r>
      <rPr>
        <rFont val="Trebuchet MS"/>
        <color theme="1"/>
        <sz val="9.0"/>
      </rPr>
      <t>09/05 - Audioria agendada para 26/05. Amostras recebidas no laboratório.</t>
    </r>
  </si>
  <si>
    <t>050403704</t>
  </si>
  <si>
    <t>2024 HIGH SUMMER</t>
  </si>
  <si>
    <t>BICHINHO DE PELUCIA PANDA</t>
  </si>
  <si>
    <r>
      <rPr>
        <rFont val="Trebuchet MS"/>
        <b/>
        <color theme="1"/>
        <sz val="9.0"/>
      </rPr>
      <t xml:space="preserve">06/05 - Tarefa de invativação concluída.
</t>
    </r>
    <r>
      <rPr>
        <rFont val="Trebuchet MS"/>
        <color theme="1"/>
        <sz val="9.0"/>
      </rPr>
      <t>05/04 - Certificado encerrado no Orquestra.</t>
    </r>
    <r>
      <rPr>
        <rFont val="Trebuchet MS"/>
        <b/>
        <color theme="1"/>
        <sz val="9.0"/>
      </rPr>
      <t xml:space="preserve">
</t>
    </r>
    <r>
      <rPr>
        <rFont val="Trebuchet MS"/>
        <color theme="1"/>
        <sz val="9.0"/>
      </rPr>
      <t>01/08 - Adicionado ao registro no Orquestra</t>
    </r>
  </si>
  <si>
    <t>050403703</t>
  </si>
  <si>
    <t>BICHINHO DE PELUCIA DRAGÃO</t>
  </si>
  <si>
    <r>
      <rPr>
        <rFont val="Trebuchet MS"/>
        <b/>
        <color theme="1"/>
        <sz val="9.0"/>
      </rPr>
      <t xml:space="preserve">06/05 - Tarefa de invativação concluída.
</t>
    </r>
    <r>
      <rPr>
        <rFont val="Trebuchet MS"/>
        <color theme="1"/>
        <sz val="9.0"/>
      </rPr>
      <t>05/04 - Certificado encerrado no Orquestra.
01/08 - Adicionado ao registro no Orquestra</t>
    </r>
  </si>
  <si>
    <t>050403298</t>
  </si>
  <si>
    <t>CHAVEIRO PELUCIA TUBA</t>
  </si>
  <si>
    <r>
      <rPr>
        <rFont val="Trebuchet MS"/>
        <b/>
        <color theme="1"/>
        <sz val="9.0"/>
      </rPr>
      <t xml:space="preserve">18/07/24 - Certificado encerrado.
</t>
    </r>
    <r>
      <rPr>
        <rFont val="Trebuchet MS"/>
        <color theme="1"/>
        <sz val="9.0"/>
      </rPr>
      <t>10/11/23 - Item excluído do certificado/registro.</t>
    </r>
    <r>
      <rPr>
        <rFont val="Trebuchet MS"/>
        <b/>
        <color theme="1"/>
        <sz val="9.0"/>
      </rPr>
      <t xml:space="preserve">
</t>
    </r>
    <r>
      <rPr>
        <rFont val="Trebuchet MS"/>
        <color theme="1"/>
        <sz val="9.0"/>
      </rPr>
      <t>25/10 - ETA CD: 10/11.</t>
    </r>
    <r>
      <rPr>
        <rFont val="Trebuchet MS"/>
        <b/>
        <color theme="1"/>
        <sz val="9.0"/>
      </rPr>
      <t xml:space="preserve">
</t>
    </r>
    <r>
      <rPr>
        <rFont val="Trebuchet MS"/>
        <color theme="1"/>
        <sz val="9.0"/>
      </rPr>
      <t xml:space="preserve">19/09 - Booking confirmado, chegada CD: 03/11.
08/09 - Etiquetagem finalizada na China.
25/08 - Registro concedido, Número do Registro: 009074/2022.
18/08 - Recebido o certificado atualizado e solicitado o Número de Registro no Orquestra.
09/08 - Certificado de conformidade emitido.
04/08 - Enviado memorial revisado, aguardando emissão do certificado final para solicitação do Registro.
25/07 - Testes finalizados, aguardando finalização da arte da embalagem para recebimento dos laudos dos ensaios.
11/07 - Novas amostras (5 unidades Uni - 050403293) estão prontas para coleta.
</t>
    </r>
    <r>
      <rPr>
        <rFont val="Trebuchet MS"/>
        <b/>
        <color theme="1"/>
        <sz val="9.0"/>
      </rPr>
      <t xml:space="preserve">
</t>
    </r>
    <r>
      <rPr>
        <rFont val="Trebuchet MS"/>
        <color theme="1"/>
        <sz val="9.0"/>
      </rPr>
      <t>04/07 - Novas amostras ficarão prontas na próxima semana.
Relatório de Amostragem será enviado hoje para Brics China.</t>
    </r>
  </si>
  <si>
    <t>8039/2022-BRI-1</t>
  </si>
  <si>
    <t>009074/2022</t>
  </si>
  <si>
    <t>Certificação INMETRO: Produto certificado por BRICS OCP 0098 Nº Registro 009074/2022</t>
  </si>
  <si>
    <t>050403294</t>
  </si>
  <si>
    <t>CHAVEIRO PELUCIA ARCO-IRIS</t>
  </si>
  <si>
    <r>
      <rPr>
        <rFont val="Trebuchet MS"/>
        <b/>
        <color theme="1"/>
        <sz val="9.0"/>
      </rPr>
      <t xml:space="preserve">18/07/24 - Certificado encerrado.
</t>
    </r>
    <r>
      <rPr>
        <rFont val="Trebuchet MS"/>
        <color theme="1"/>
        <sz val="9.0"/>
      </rPr>
      <t>25/10 - ETA CD: 10/11.</t>
    </r>
    <r>
      <rPr>
        <rFont val="Trebuchet MS"/>
        <b/>
        <color theme="1"/>
        <sz val="9.0"/>
      </rPr>
      <t xml:space="preserve">
</t>
    </r>
    <r>
      <rPr>
        <rFont val="Trebuchet MS"/>
        <color theme="1"/>
        <sz val="9.0"/>
      </rPr>
      <t xml:space="preserve">19/09 - Booking confirmado, chegada CD: 03/11.
08/09 - Etiquetagem finalizada na China.
25/08 - Registro concedido, Número do Registro: 009074/2022.
18/08 - Recebido o certificado atualizado e solicitado o Número de Registro no Orquestra.
09/08 - Certificado de conformidade emitido.
04/08 - Enviado memorial revisado, aguardando emissão do certificado final para solicitação do Registro.
25/07 - Testes finalizados, aguardando finalização da arte da embalagem para recebimento dos laudos dos ensaios.
11/07 - Novas amostras (5 unidades Uni - 050403293) estão prontas para coleta.
</t>
    </r>
    <r>
      <rPr>
        <rFont val="Trebuchet MS"/>
        <b/>
        <color theme="1"/>
        <sz val="9.0"/>
      </rPr>
      <t xml:space="preserve">
</t>
    </r>
    <r>
      <rPr>
        <rFont val="Trebuchet MS"/>
        <color theme="1"/>
        <sz val="9.0"/>
      </rPr>
      <t>04/07 - Novas amostras ficarão prontas na próxima semana.
Relatório de Amostragem será enviado hoje para Brics China.</t>
    </r>
  </si>
  <si>
    <t>050403296</t>
  </si>
  <si>
    <t>CHAVEIRO PELUCIA VACA</t>
  </si>
  <si>
    <r>
      <rPr>
        <rFont val="Trebuchet MS"/>
        <b/>
        <color theme="1"/>
        <sz val="9.0"/>
      </rPr>
      <t xml:space="preserve">18/07/24 - Certificado encerrado.
</t>
    </r>
    <r>
      <rPr>
        <rFont val="Trebuchet MS"/>
        <color theme="1"/>
        <sz val="9.0"/>
      </rPr>
      <t>10/11/23 - Item excluído do certificado/registro.</t>
    </r>
    <r>
      <rPr>
        <rFont val="Trebuchet MS"/>
        <b/>
        <color theme="1"/>
        <sz val="9.0"/>
      </rPr>
      <t xml:space="preserve">
</t>
    </r>
    <r>
      <rPr>
        <rFont val="Trebuchet MS"/>
        <color theme="1"/>
        <sz val="9.0"/>
      </rPr>
      <t>25/10 - ETA CD: 10/11.</t>
    </r>
    <r>
      <rPr>
        <rFont val="Trebuchet MS"/>
        <b/>
        <color theme="1"/>
        <sz val="9.0"/>
      </rPr>
      <t xml:space="preserve">
</t>
    </r>
    <r>
      <rPr>
        <rFont val="Trebuchet MS"/>
        <color theme="1"/>
        <sz val="9.0"/>
      </rPr>
      <t xml:space="preserve">19/09 - Booking confirmado, chegada CD: 03/11.
08/09 - Etiquetagem finalizada na China.
25/08 - Registro concedido, Número do Registro: 009074/2022.
18/08 - Recebido o certificado atualizado e solicitado o Número de Registro no Orquestra.
09/08 - Certificado de conformidade emitido.
04/08 - Enviado memorial revisado, aguardando emissão do certificado final para solicitação do Registro.
25/07 - Testes finalizados, aguardando finalização da arte da embalagem para recebimento dos laudos dos ensaios.
11/07 - Novas amostras (5 unidades Uni - 050403293) estão prontas para coleta.
</t>
    </r>
    <r>
      <rPr>
        <rFont val="Trebuchet MS"/>
        <b/>
        <color theme="1"/>
        <sz val="9.0"/>
      </rPr>
      <t xml:space="preserve">
</t>
    </r>
    <r>
      <rPr>
        <rFont val="Trebuchet MS"/>
        <color theme="1"/>
        <sz val="9.0"/>
      </rPr>
      <t>04/07 - Novas amostras ficarão prontas na próxima semana.
Relatório de Amostragem será enviado hoje para Brics China.</t>
    </r>
  </si>
  <si>
    <t>050403297</t>
  </si>
  <si>
    <t>CHAVEIRO PELUCIA DINO</t>
  </si>
  <si>
    <r>
      <rPr>
        <rFont val="Trebuchet MS"/>
        <b/>
        <color theme="1"/>
        <sz val="9.0"/>
      </rPr>
      <t xml:space="preserve">18/07/24 - Certificado encerrado.
</t>
    </r>
    <r>
      <rPr>
        <rFont val="Trebuchet MS"/>
        <color theme="1"/>
        <sz val="9.0"/>
      </rPr>
      <t>25/10 - ETA CD: 10/11.</t>
    </r>
    <r>
      <rPr>
        <rFont val="Trebuchet MS"/>
        <b/>
        <color theme="1"/>
        <sz val="9.0"/>
      </rPr>
      <t xml:space="preserve">
</t>
    </r>
    <r>
      <rPr>
        <rFont val="Trebuchet MS"/>
        <color theme="1"/>
        <sz val="9.0"/>
      </rPr>
      <t xml:space="preserve">19/09 - Booking confirmado, chegada CD: 03/11.
08/09 - Etiquetagem finalizada na China.
25/08 - Registro concedido, Número do Registro: 009074/2022.
18/08 - Recebido o certificado atualizado e solicitado o Número de Registro no Orquestra.
09/08 - Certificado de conformidade emitido.
04/08 - Enviado memorial revisado, aguardando emissão do certificado final para solicitação do Registro.
25/07 - Testes finalizados, aguardando finalização da arte da embalagem para recebimento dos laudos dos ensaios.
11/07 - Novas amostras (5 unidades Uni - 050403293) estão prontas para coleta.
</t>
    </r>
    <r>
      <rPr>
        <rFont val="Trebuchet MS"/>
        <b/>
        <color theme="1"/>
        <sz val="9.0"/>
      </rPr>
      <t xml:space="preserve">
</t>
    </r>
    <r>
      <rPr>
        <rFont val="Trebuchet MS"/>
        <color theme="1"/>
        <sz val="9.0"/>
      </rPr>
      <t>04/07 - Novas amostras ficarão prontas na próxima semana.
Relatório de Amostragem será enviado hoje para Brics China.</t>
    </r>
  </si>
  <si>
    <t>050403293</t>
  </si>
  <si>
    <r>
      <rPr>
        <rFont val="Trebuchet MS"/>
        <b/>
        <color theme="1"/>
        <sz val="9.0"/>
      </rPr>
      <t xml:space="preserve">18/07/24 - Certificado encerrado.
</t>
    </r>
    <r>
      <rPr>
        <rFont val="Trebuchet MS"/>
        <color theme="1"/>
        <sz val="9.0"/>
      </rPr>
      <t>10/11/23 - Item excluído do certificado/registro.</t>
    </r>
    <r>
      <rPr>
        <rFont val="Trebuchet MS"/>
        <b/>
        <color theme="1"/>
        <sz val="9.0"/>
      </rPr>
      <t xml:space="preserve">
</t>
    </r>
    <r>
      <rPr>
        <rFont val="Trebuchet MS"/>
        <color theme="1"/>
        <sz val="9.0"/>
      </rPr>
      <t>25/10 - ETA CD: 10/11.</t>
    </r>
    <r>
      <rPr>
        <rFont val="Trebuchet MS"/>
        <b/>
        <color theme="1"/>
        <sz val="9.0"/>
      </rPr>
      <t xml:space="preserve">
</t>
    </r>
    <r>
      <rPr>
        <rFont val="Trebuchet MS"/>
        <color theme="1"/>
        <sz val="9.0"/>
      </rPr>
      <t xml:space="preserve">19/09 - Booking confirmado, chegada CD: 03/11.
08/09 - Etiquetagem finalizada na China.
25/08 - Registro concedido, Número do Registro: 009074/2022.
18/08 - Recebido o certificado atualizado e solicitado o Número de Registro no Orquestra.
09/08 - Certificado de conformidade emitido.
04/08 - Enviado memorial revisado, aguardando emissão do certificado final para solicitação do Registro.
25/07 - Testes finalizados, aguardando finalização da arte da embalagem para recebimento dos laudos dos ensaios.
11/07 - Novas amostras (5 unidades Uni - 050403293) estão prontas para coleta.
</t>
    </r>
    <r>
      <rPr>
        <rFont val="Trebuchet MS"/>
        <b/>
        <color theme="1"/>
        <sz val="9.0"/>
      </rPr>
      <t xml:space="preserve">
</t>
    </r>
    <r>
      <rPr>
        <rFont val="Trebuchet MS"/>
        <color theme="1"/>
        <sz val="9.0"/>
      </rPr>
      <t>04/07 - Novas amostras ficarão prontas na próxima semana.
Relatório de Amostragem será enviado hoje para Brics China.</t>
    </r>
  </si>
  <si>
    <t>050403299</t>
  </si>
  <si>
    <t>CHAVEIRO PELUCIA COALA</t>
  </si>
  <si>
    <r>
      <rPr>
        <rFont val="Trebuchet MS"/>
        <b/>
        <color theme="1"/>
        <sz val="9.0"/>
      </rPr>
      <t xml:space="preserve">18/07/24 - Certificado encerrado.
</t>
    </r>
    <r>
      <rPr>
        <rFont val="Trebuchet MS"/>
        <color theme="1"/>
        <sz val="9.0"/>
      </rPr>
      <t>25/10 - ETA CD: 10/11.</t>
    </r>
    <r>
      <rPr>
        <rFont val="Trebuchet MS"/>
        <b/>
        <color theme="1"/>
        <sz val="9.0"/>
      </rPr>
      <t xml:space="preserve">
</t>
    </r>
    <r>
      <rPr>
        <rFont val="Trebuchet MS"/>
        <color theme="1"/>
        <sz val="9.0"/>
      </rPr>
      <t xml:space="preserve">19/09 - Booking confirmado, chegada CD: 03/11.
08/09 - Etiquetagem finalizada na China.
25/08 - Registro concedido, Número do Registro: 009074/2022.
18/08 - Recebido o certificado atualizado e solicitado o Número de Registro no Orquestra.
09/08 - Certificado de conformidade emitido.
04/08 - Enviado memorial revisado, aguardando emissão do certificado final para solicitação do Registro.
25/07 - Testes finalizados, aguardando finalização da arte da embalagem para recebimento dos laudos dos ensaios.
11/07 - Novas amostras (5 unidades Uni - 050403293) estão prontas para coleta.
</t>
    </r>
    <r>
      <rPr>
        <rFont val="Trebuchet MS"/>
        <b/>
        <color theme="1"/>
        <sz val="9.0"/>
      </rPr>
      <t xml:space="preserve">
</t>
    </r>
    <r>
      <rPr>
        <rFont val="Trebuchet MS"/>
        <color theme="1"/>
        <sz val="9.0"/>
      </rPr>
      <t>04/07 - Novas amostras ficarão prontas na próxima semana.
Relatório de Amostragem será enviado hoje para Brics China.</t>
    </r>
  </si>
  <si>
    <t>050403300</t>
  </si>
  <si>
    <t>CHAVEIRO PELUCIA PANDA</t>
  </si>
  <si>
    <r>
      <rPr>
        <rFont val="Trebuchet MS"/>
        <b/>
        <color theme="1"/>
        <sz val="9.0"/>
      </rPr>
      <t xml:space="preserve">18/07/24 - Certificado encerrado.
</t>
    </r>
    <r>
      <rPr>
        <rFont val="Trebuchet MS"/>
        <color theme="1"/>
        <sz val="9.0"/>
      </rPr>
      <t>25/10 - ETA CD: 10/11.</t>
    </r>
    <r>
      <rPr>
        <rFont val="Trebuchet MS"/>
        <b/>
        <color theme="1"/>
        <sz val="9.0"/>
      </rPr>
      <t xml:space="preserve">
</t>
    </r>
    <r>
      <rPr>
        <rFont val="Trebuchet MS"/>
        <color theme="1"/>
        <sz val="9.0"/>
      </rPr>
      <t xml:space="preserve">19/09 - Booking confirmado, chegada CD: 03/11.
08/09 - Etiquetagem finalizada na China.
25/08 - Registro concedido, Número do Registro: 009074/2022.
18/08 - Recebido o certificado atualizado e solicitado o Número de Registro no Orquestra.
09/08 - Certificado de conformidade emitido.
04/08 - Enviado memorial revisado, aguardando emissão do certificado final para solicitação do Registro.
25/07 - Testes finalizados, aguardando finalização da arte da embalagem para recebimento dos laudos dos ensaios.
11/07 - Novas amostras (5 unidades Uni - 050403293) estão prontas para coleta.
</t>
    </r>
    <r>
      <rPr>
        <rFont val="Trebuchet MS"/>
        <b/>
        <color theme="1"/>
        <sz val="9.0"/>
      </rPr>
      <t xml:space="preserve">
</t>
    </r>
    <r>
      <rPr>
        <rFont val="Trebuchet MS"/>
        <color theme="1"/>
        <sz val="9.0"/>
      </rPr>
      <t>04/07 - Novas amostras ficarão prontas na próxima semana.
Relatório de Amostragem será enviado hoje para Brics China.</t>
    </r>
  </si>
  <si>
    <t>050403659</t>
  </si>
  <si>
    <r>
      <rPr>
        <rFont val="Trebuchet MS"/>
        <b/>
        <color theme="1"/>
        <sz val="9.0"/>
      </rPr>
      <t xml:space="preserve">18/07/24 - Certificado encerrado.
</t>
    </r>
    <r>
      <rPr>
        <rFont val="Trebuchet MS"/>
        <color theme="1"/>
        <sz val="9.0"/>
      </rPr>
      <t>01/09 - Inclusão aprovada no Orquestra, processo concluído.
01/08 - Adicionado ao registro no Orquestra</t>
    </r>
  </si>
  <si>
    <t>050403653</t>
  </si>
  <si>
    <r>
      <rPr>
        <rFont val="Trebuchet MS"/>
        <b/>
        <color theme="1"/>
        <sz val="9.0"/>
      </rPr>
      <t xml:space="preserve">18/07/24 - Certificado encerrado.
</t>
    </r>
    <r>
      <rPr>
        <rFont val="Trebuchet MS"/>
        <color theme="1"/>
        <sz val="9.0"/>
      </rPr>
      <t>01/09 - Inclusão aprovada no Orquestra, processo concluído.
01/08 - Adicionado ao registro no Orquestra</t>
    </r>
  </si>
  <si>
    <t>050403654</t>
  </si>
  <si>
    <r>
      <rPr>
        <rFont val="Trebuchet MS"/>
        <b/>
        <color theme="1"/>
        <sz val="9.0"/>
      </rPr>
      <t xml:space="preserve">18/07/24 - Certificado encerrado.
</t>
    </r>
    <r>
      <rPr>
        <rFont val="Trebuchet MS"/>
        <color theme="1"/>
        <sz val="9.0"/>
      </rPr>
      <t>01/09 - Inclusão aprovada no Orquestra, processo concluído.
01/08 - Adicionado ao registro no Orquestra</t>
    </r>
  </si>
  <si>
    <t>050403655</t>
  </si>
  <si>
    <t>CHAVEIRO PELUCIA DRAGÃO</t>
  </si>
  <si>
    <r>
      <rPr>
        <rFont val="Trebuchet MS"/>
        <b/>
        <color theme="1"/>
        <sz val="9.0"/>
      </rPr>
      <t xml:space="preserve">18/07/24 - Certificado encerrado.
</t>
    </r>
    <r>
      <rPr>
        <rFont val="Trebuchet MS"/>
        <color theme="1"/>
        <sz val="9.0"/>
      </rPr>
      <t>01/09 - Inclusão aprovada no Orquestra, processo concluído.
01/08 - Adicionado ao registro no Orquestra</t>
    </r>
  </si>
  <si>
    <t>050403656</t>
  </si>
  <si>
    <r>
      <rPr>
        <rFont val="Trebuchet MS"/>
        <b/>
        <color theme="1"/>
        <sz val="9.0"/>
      </rPr>
      <t xml:space="preserve">18/07/24 - Certificado encerrado.
</t>
    </r>
    <r>
      <rPr>
        <rFont val="Trebuchet MS"/>
        <color theme="1"/>
        <sz val="9.0"/>
      </rPr>
      <t>01/09 - Inclusão aprovada no Orquestra, processo concluído.
01/08 - Adicionado ao registro no Orquestra</t>
    </r>
  </si>
  <si>
    <t>050403657</t>
  </si>
  <si>
    <t>CHAVEIRO PELUCIA DONUT</t>
  </si>
  <si>
    <r>
      <rPr>
        <rFont val="Trebuchet MS"/>
        <b/>
        <color theme="1"/>
        <sz val="9.0"/>
      </rPr>
      <t xml:space="preserve">18/07/24 - Certificado encerrado.
</t>
    </r>
    <r>
      <rPr>
        <rFont val="Trebuchet MS"/>
        <color theme="1"/>
        <sz val="9.0"/>
      </rPr>
      <t>01/09 - Inclusão aprovada no Orquestra, processo concluído.
01/08 - Adicionado ao registro no Orquestra</t>
    </r>
  </si>
  <si>
    <t>050403658</t>
  </si>
  <si>
    <r>
      <rPr>
        <rFont val="Trebuchet MS"/>
        <b/>
        <color theme="1"/>
        <sz val="9.0"/>
      </rPr>
      <t xml:space="preserve">18/07/24 - Certificado encerrado.
</t>
    </r>
    <r>
      <rPr>
        <rFont val="Trebuchet MS"/>
        <color theme="1"/>
        <sz val="9.0"/>
      </rPr>
      <t>01/09 - Inclusão aprovada no Orquestra, processo concluído.
01/08 - Adicionado ao registro no Orquestra</t>
    </r>
  </si>
  <si>
    <t>United Quanzhou</t>
  </si>
  <si>
    <t>United Quanzhou Familia 01 - Estojo
United Quanzhou Familia 03 - Lancheira sem gel</t>
  </si>
  <si>
    <r>
      <rPr>
        <rFont val="Trebuchet MS"/>
        <b/>
        <color theme="1"/>
        <sz val="9.0"/>
      </rPr>
      <t xml:space="preserve">18/09/24 - Registro Inativado.
</t>
    </r>
    <r>
      <rPr>
        <rFont val="Trebuchet MS"/>
        <color theme="1"/>
        <sz val="9.0"/>
      </rPr>
      <t>12/01/24 - ESTOJOS W24 &amp; HW24 incluídos com sucesso.
29/11/23 - Enviado memorial descritivo com inclusões para W24 e HW24.
20/08 - Atualizado registro 006613/2020, com as inclusões de itens de HS24.</t>
    </r>
  </si>
  <si>
    <t>Fujian Tengmao Light Industrial Co.,Ltd Taiwanese Investment Zone Branch</t>
  </si>
  <si>
    <t>9459/2023-AE-1
9459/2023-AE-3</t>
  </si>
  <si>
    <t xml:space="preserve"> 006613/2020
 006615/2020</t>
  </si>
  <si>
    <t>050403747</t>
  </si>
  <si>
    <r>
      <rPr>
        <rFont val="Trebuchet MS"/>
        <b/>
        <color theme="1"/>
        <sz val="9.0"/>
      </rPr>
      <t xml:space="preserve">18/07/24 - Certificado encerrado.
</t>
    </r>
    <r>
      <rPr>
        <rFont val="Trebuchet MS"/>
        <b val="0"/>
        <color theme="1"/>
        <sz val="9.0"/>
      </rPr>
      <t>14/11/23 - Solicitação concluída, certificação finalizada.</t>
    </r>
    <r>
      <rPr>
        <rFont val="Trebuchet MS"/>
        <b/>
        <color theme="1"/>
        <sz val="9.0"/>
      </rPr>
      <t xml:space="preserve">
</t>
    </r>
    <r>
      <rPr>
        <rFont val="Trebuchet MS"/>
        <b val="0"/>
        <color theme="1"/>
        <sz val="9.0"/>
      </rPr>
      <t>10/11/23 - Solicitada inclusão no Orquestra.</t>
    </r>
    <r>
      <rPr>
        <rFont val="Trebuchet MS"/>
        <b/>
        <color theme="1"/>
        <sz val="9.0"/>
      </rPr>
      <t xml:space="preserve">
</t>
    </r>
    <r>
      <rPr>
        <rFont val="Trebuchet MS"/>
        <b val="0"/>
        <color theme="1"/>
        <sz val="9.0"/>
      </rPr>
      <t>07/71/23 - Itens incluídos no certificado de conformidade sem ensaios.</t>
    </r>
  </si>
  <si>
    <t>050403748</t>
  </si>
  <si>
    <t>CHAVEIRO PELUCIA GATA SEREIA</t>
  </si>
  <si>
    <r>
      <rPr>
        <rFont val="Trebuchet MS"/>
        <b/>
        <color theme="1"/>
        <sz val="9.0"/>
      </rPr>
      <t xml:space="preserve">18/07/24 - Certificado encerrado.
</t>
    </r>
    <r>
      <rPr>
        <rFont val="Trebuchet MS"/>
        <b val="0"/>
        <color theme="1"/>
        <sz val="9.0"/>
      </rPr>
      <t>14/11/23 - Solicitação concluída, certificação finalizada.</t>
    </r>
    <r>
      <rPr>
        <rFont val="Trebuchet MS"/>
        <b/>
        <color theme="1"/>
        <sz val="9.0"/>
      </rPr>
      <t xml:space="preserve">
</t>
    </r>
    <r>
      <rPr>
        <rFont val="Trebuchet MS"/>
        <b val="0"/>
        <color theme="1"/>
        <sz val="9.0"/>
      </rPr>
      <t>10/11/23 - Solicitada inclusão no Orquestra.</t>
    </r>
    <r>
      <rPr>
        <rFont val="Trebuchet MS"/>
        <b/>
        <color theme="1"/>
        <sz val="9.0"/>
      </rPr>
      <t xml:space="preserve">
</t>
    </r>
    <r>
      <rPr>
        <rFont val="Trebuchet MS"/>
        <b val="0"/>
        <color theme="1"/>
        <sz val="9.0"/>
      </rPr>
      <t>07/71/23 - Itens incluídos no certificado de conformidade sem ensaios.</t>
    </r>
  </si>
  <si>
    <t>100400440</t>
  </si>
  <si>
    <t>FONE DE OUVIDO COLOR BLOCK MNA</t>
  </si>
  <si>
    <r>
      <rPr>
        <rFont val="Trebuchet MS"/>
        <b/>
        <color theme="1"/>
        <sz val="9.0"/>
      </rPr>
      <t xml:space="preserve">23/10/25 - Manutenção finalizada.
</t>
    </r>
    <r>
      <rPr>
        <rFont val="Trebuchet MS"/>
        <b val="0"/>
        <color theme="1"/>
        <sz val="9.0"/>
      </rPr>
      <t>23/08 - Certificado de Homologação recebido.</t>
    </r>
  </si>
  <si>
    <t>MODERNA-1658/23</t>
  </si>
  <si>
    <t>13912-23-11617</t>
  </si>
  <si>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13912-23-11617.
Para maiores informações, consulte o site da ANATEL em </t>
    </r>
    <r>
      <rPr>
        <rFont val="Calibri"/>
        <color rgb="FF1155CC"/>
        <u/>
      </rPr>
      <t>www.anatel.gov.br</t>
    </r>
  </si>
  <si>
    <t>100400441</t>
  </si>
  <si>
    <t>FONE DE OUVIDO COLOR BLOCK MNO</t>
  </si>
  <si>
    <r>
      <rPr>
        <rFont val="Trebuchet MS"/>
        <b/>
        <color theme="1"/>
        <sz val="9.0"/>
      </rPr>
      <t xml:space="preserve">23/10/25 - Manutenção finalizada.
</t>
    </r>
    <r>
      <rPr>
        <rFont val="Trebuchet MS"/>
        <b val="0"/>
        <color theme="1"/>
        <sz val="9.0"/>
      </rPr>
      <t>23/08 - Certificado de Homologação recebido.</t>
    </r>
  </si>
  <si>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13912-23-11617.
Para maiores informações, consulte o site da ANATEL em </t>
    </r>
    <r>
      <rPr>
        <rFont val="Calibri"/>
        <color rgb="FF1155CC"/>
        <u/>
      </rPr>
      <t>www.anatel.gov.br</t>
    </r>
  </si>
  <si>
    <t>100400442</t>
  </si>
  <si>
    <t>FONE DE OUVIDO BLUETOOTH UNICORNIO</t>
  </si>
  <si>
    <r>
      <rPr>
        <rFont val="Trebuchet MS"/>
        <b/>
        <color theme="1"/>
        <sz val="9.0"/>
      </rPr>
      <t xml:space="preserve">23/10/25 - Manutenção finalizada.
</t>
    </r>
    <r>
      <rPr>
        <rFont val="Trebuchet MS"/>
        <b val="0"/>
        <color theme="1"/>
        <sz val="9.0"/>
      </rPr>
      <t>23/08 - Certificado de Homologação recebido.</t>
    </r>
  </si>
  <si>
    <t>MODERNA-1659/23</t>
  </si>
  <si>
    <t>13911-23-11617</t>
  </si>
  <si>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13911-23-11617.
Para maiores informações, consulte o site da ANATEL em </t>
    </r>
    <r>
      <rPr>
        <rFont val="Calibri"/>
        <color rgb="FF1155CC"/>
        <u/>
      </rPr>
      <t>www.anatel.gov.br</t>
    </r>
  </si>
  <si>
    <t>100400443</t>
  </si>
  <si>
    <t>FONE DE OUVIDO BLUETOOTH DRAGÃO STREET</t>
  </si>
  <si>
    <r>
      <rPr>
        <rFont val="Trebuchet MS"/>
        <b/>
        <color theme="1"/>
        <sz val="9.0"/>
      </rPr>
      <t xml:space="preserve">23/10/25 - Manutenção finalizada.
</t>
    </r>
    <r>
      <rPr>
        <rFont val="Trebuchet MS"/>
        <b val="0"/>
        <color theme="1"/>
        <sz val="9.0"/>
      </rPr>
      <t>23/08 - Certificado de Homologação recebido.</t>
    </r>
  </si>
  <si>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13911-23-11617.
Para maiores informações, consulte o site da ANATEL em </t>
    </r>
    <r>
      <rPr>
        <rFont val="Calibri"/>
        <color rgb="FF1155CC"/>
        <u/>
      </rPr>
      <t>www.anatel.gov.br</t>
    </r>
  </si>
  <si>
    <t>Não requer</t>
  </si>
  <si>
    <t>050403749</t>
  </si>
  <si>
    <r>
      <rPr>
        <rFont val="Trebuchet MS"/>
        <b/>
        <color theme="1"/>
        <sz val="9.0"/>
      </rPr>
      <t xml:space="preserve">18/07/24 - Certificado encerrado.
</t>
    </r>
    <r>
      <rPr>
        <rFont val="Trebuchet MS"/>
        <b val="0"/>
        <color theme="1"/>
        <sz val="9.0"/>
      </rPr>
      <t>14/11/23 - Solicitação concluída, certificação finalizada.</t>
    </r>
    <r>
      <rPr>
        <rFont val="Trebuchet MS"/>
        <b/>
        <color theme="1"/>
        <sz val="9.0"/>
      </rPr>
      <t xml:space="preserve">
</t>
    </r>
    <r>
      <rPr>
        <rFont val="Trebuchet MS"/>
        <b val="0"/>
        <color theme="1"/>
        <sz val="9.0"/>
      </rPr>
      <t>10/11/23 - Solicitada inclusão no Orquestra.</t>
    </r>
    <r>
      <rPr>
        <rFont val="Trebuchet MS"/>
        <b/>
        <color theme="1"/>
        <sz val="9.0"/>
      </rPr>
      <t xml:space="preserve">
</t>
    </r>
    <r>
      <rPr>
        <rFont val="Trebuchet MS"/>
        <b val="0"/>
        <color theme="1"/>
        <sz val="9.0"/>
      </rPr>
      <t>07/71/23 - Itens incluídos no certificado de conformidade sem ensaios.</t>
    </r>
  </si>
  <si>
    <t>050403751</t>
  </si>
  <si>
    <r>
      <rPr>
        <rFont val="Trebuchet MS"/>
        <b/>
        <color theme="1"/>
        <sz val="9.0"/>
      </rPr>
      <t xml:space="preserve">18/07/24 - Certificado encerrado.
</t>
    </r>
    <r>
      <rPr>
        <rFont val="Trebuchet MS"/>
        <b val="0"/>
        <color theme="1"/>
        <sz val="9.0"/>
      </rPr>
      <t>14/11/23 - Solicitação concluída, certificação finalizada.</t>
    </r>
    <r>
      <rPr>
        <rFont val="Trebuchet MS"/>
        <b/>
        <color theme="1"/>
        <sz val="9.0"/>
      </rPr>
      <t xml:space="preserve">
</t>
    </r>
    <r>
      <rPr>
        <rFont val="Trebuchet MS"/>
        <b val="0"/>
        <color theme="1"/>
        <sz val="9.0"/>
      </rPr>
      <t>10/11/23 - Solicitada inclusão no Orquestra.</t>
    </r>
    <r>
      <rPr>
        <rFont val="Trebuchet MS"/>
        <b/>
        <color theme="1"/>
        <sz val="9.0"/>
      </rPr>
      <t xml:space="preserve">
</t>
    </r>
    <r>
      <rPr>
        <rFont val="Trebuchet MS"/>
        <b val="0"/>
        <color theme="1"/>
        <sz val="9.0"/>
      </rPr>
      <t>07/71/23 - Itens incluídos no certificado de conformidade sem ensaios.</t>
    </r>
  </si>
  <si>
    <t>050403180</t>
  </si>
  <si>
    <t>MALA PATINETE DINO SKATE</t>
  </si>
  <si>
    <r>
      <rPr>
        <rFont val="Trebuchet MS"/>
        <b/>
        <color theme="1"/>
        <sz val="9.0"/>
      </rPr>
      <t xml:space="preserve">01/10/24 - Registro inativado.
</t>
    </r>
    <r>
      <rPr>
        <rFont val="Trebuchet MS"/>
        <color theme="1"/>
        <sz val="9.0"/>
      </rPr>
      <t>18/01 - Registro concedido, 010967/2022.</t>
    </r>
    <r>
      <rPr>
        <rFont val="Trebuchet MS"/>
        <b/>
        <color theme="1"/>
        <sz val="9.0"/>
      </rPr>
      <t xml:space="preserve">
</t>
    </r>
    <r>
      <rPr>
        <rFont val="Trebuchet MS"/>
        <color theme="1"/>
        <sz val="9.0"/>
      </rPr>
      <t>02/12 - Número de Registro recebido e informado para a equipe de produto/design.
01/12 - Enviado o certificado revisado no Prodcert.
26/09 - Certificado atualizado.
20/09 - Inmetro solicitou adequação no Certificado e Prodcert.
18/09 - Solicitadação de Registro realizada nesta data. ETA 08/12.
30/09 - Certificado de Conformidade emitido. Seguiremos com a solicitação do número de registro ao Inmetro.
28/09 - O lote está com problemas de Qualidade, novo ETD: 20/10.
23/09 - Resultados dos testes finais ok, aguardando certificado. Inspeção será dia 27/09. Processo PKT-HS2327-SZ ETD 02/10.
19/09 - Previsão de finalização dos testes: 26/09.
08/09 - Emily informou que houve atraso com algumas partes do produto, e a data prevista de finalização e envio de amostras é 12/09.
02/09 - Produção será finalizada dia 16/09.
25/08 - Fornecedor enviará as amostras para o laboratório em 06/09. Ready date previsto: 16/09.
11/08 - Amostras de testes estarão prontas por volta de final de Setembro.
28/07 - Custo do pré-teste: R$ 1.898,99.
25/07 - Amostra enviada para pré-teste, aguardando ok do Produto se vamos seguir com a produção após a finalização do mesmo.
18/07 - Reprovação em teste de ftalatos, avaliando os novos schedules para definição.
14/06 - Enviada ficha técnica. United informou que a fábrica está pronta para ser auditada.
06/05 - Fornecedor está preparando as amostras e estará ok para auditoria + coleta por volta do dia 23/05.</t>
    </r>
  </si>
  <si>
    <t>7830/2022-BRI-1</t>
  </si>
  <si>
    <t>010967/2022</t>
  </si>
  <si>
    <t>Certificação INMETRO: Produto certificado por BRICS OCP 0098 Nº Registro 010967/2022</t>
  </si>
  <si>
    <t>050403179</t>
  </si>
  <si>
    <t>MALA PATINETE UNICORNIO SKATE</t>
  </si>
  <si>
    <r>
      <rPr>
        <rFont val="Trebuchet MS"/>
        <b/>
        <color theme="1"/>
        <sz val="9.0"/>
      </rPr>
      <t xml:space="preserve">01/10/24 - Registro inativado
</t>
    </r>
    <r>
      <rPr>
        <rFont val="Trebuchet MS"/>
        <color theme="1"/>
        <sz val="9.0"/>
      </rPr>
      <t>18/01 - Registro concedido, 010967/2022.</t>
    </r>
    <r>
      <rPr>
        <rFont val="Trebuchet MS"/>
        <b/>
        <color theme="1"/>
        <sz val="9.0"/>
      </rPr>
      <t xml:space="preserve">
</t>
    </r>
    <r>
      <rPr>
        <rFont val="Trebuchet MS"/>
        <color theme="1"/>
        <sz val="9.0"/>
      </rPr>
      <t>02/12 - Número de Registro recebido e informado para a equipe de produto/design.
01/12 - Enviado o certificado revisado no Prodcert.
26/09 - Certificado atualizado.
20/09 - Inmetro solicitou adequação no Certificado e Prodcert.
18/09 - Solicitadação de Registro realizada nesta data. ETA 08/12.
30/09 - Certificado de Conformidade emitido. Seguiremos com a solicitação do número de registro ao Inmetro.
28/09 - O lote está com problemas de Qualidade, novo ETD: 20/10.
23/09 - Resultados dos testes finais ok, aguardando certificado. Inspeção será dia 27/09. Processo PKT-HS2327-SZ ETD 02/10.
19/09 - Previsão de finalização dos testes: 26/09.
08/09 - Emily informou que houve atraso com algumas partes do produto, e a data prevista de finalização e envio de amostras é 12/09.
02/09 - Produção será finalizada dia 16/09.
25/08 - Fornecedor enviará as amostras para o laboratório em 06/09. Ready date previsto: 16/09.
11/08 - Amostras de testes estarão prontas por volta de final de Setembro.
28/07 - Custo do pré-teste: R$ 1.898,99.
25/07 - Amostra enviada para pré-teste, aguardando ok do Produto se vamos seguir com a produção após a finalização do mesmo.
18/07 - Reprovação em teste de ftalatos, avaliando os novos schedules para definição.
14/06 - Enviada ficha técnica. United informou que a fábrica está pronta para ser auditada.
06/05 - Fornecedor está preparando as amostras e estará ok para auditoria + coleta por volta do dia 23/05.</t>
    </r>
  </si>
  <si>
    <t>990400023</t>
  </si>
  <si>
    <t>GUANGZHOU TONGRU ELECTRONIC TECHNOLOGY CO.,LTD</t>
  </si>
  <si>
    <t>BICHO MACHINE</t>
  </si>
  <si>
    <t>1 amostra para ensaio na China</t>
  </si>
  <si>
    <r>
      <rPr>
        <rFont val="Trebuchet MS"/>
        <b/>
        <color theme="1"/>
        <sz val="9.0"/>
      </rPr>
      <t xml:space="preserve">18/11/25 - Certificação encerrado.
</t>
    </r>
    <r>
      <rPr>
        <rFont val="Trebuchet MS"/>
        <color theme="1"/>
        <sz val="9.0"/>
      </rPr>
      <t>29/10/24 - Manutenção finalizada.</t>
    </r>
    <r>
      <rPr>
        <rFont val="Trebuchet MS"/>
        <b/>
        <color theme="1"/>
        <sz val="9.0"/>
      </rPr>
      <t xml:space="preserve">
</t>
    </r>
    <r>
      <rPr>
        <rFont val="Trebuchet MS"/>
        <color theme="1"/>
        <sz val="9.0"/>
      </rPr>
      <t>23/11 - Certificado de conformidade emitido, processo finalizado.</t>
    </r>
    <r>
      <rPr>
        <rFont val="Trebuchet MS"/>
        <b/>
        <color theme="1"/>
        <sz val="9.0"/>
      </rPr>
      <t xml:space="preserve">
</t>
    </r>
    <r>
      <rPr>
        <rFont val="Trebuchet MS"/>
        <color theme="1"/>
        <sz val="9.0"/>
      </rPr>
      <t>08/09 - Auditoria reagendada para 11/09 devido as fortes chuvas na região.</t>
    </r>
  </si>
  <si>
    <t>9859/2023-ELE-1</t>
  </si>
  <si>
    <t>United Quanzhou Familia 01 - Estojos
United Quanzhou Familia 02 - Lancheiras</t>
  </si>
  <si>
    <r>
      <rPr>
        <rFont val="Trebuchet MS"/>
        <b/>
        <color theme="1"/>
        <sz val="9.0"/>
      </rPr>
      <t xml:space="preserve">21/10/25 - Inclusão 5 finalizada.
</t>
    </r>
    <r>
      <rPr>
        <rFont val="Trebuchet MS"/>
        <b val="0"/>
        <color theme="1"/>
        <sz val="9.0"/>
      </rPr>
      <t>14/05/25 - Manutenção finalizada.</t>
    </r>
    <r>
      <rPr>
        <rFont val="Trebuchet MS"/>
        <b/>
        <color theme="1"/>
        <sz val="9.0"/>
      </rPr>
      <t xml:space="preserve">
</t>
    </r>
    <r>
      <rPr>
        <rFont val="Trebuchet MS"/>
        <b val="0"/>
        <color theme="1"/>
        <sz val="9.0"/>
      </rPr>
      <t xml:space="preserve">12/05/25 - Inclusão 2 finalizada. </t>
    </r>
    <r>
      <rPr>
        <rFont val="Trebuchet MS"/>
        <b/>
        <color theme="1"/>
        <sz val="9.0"/>
      </rPr>
      <t xml:space="preserve">
</t>
    </r>
    <r>
      <rPr>
        <rFont val="Trebuchet MS"/>
        <b val="0"/>
        <color theme="1"/>
        <sz val="9.0"/>
      </rPr>
      <t>08/11/24 - Inclusão 1 finalizada.</t>
    </r>
    <r>
      <rPr>
        <rFont val="Trebuchet MS"/>
        <b/>
        <color theme="1"/>
        <sz val="9.0"/>
      </rPr>
      <t xml:space="preserve">
</t>
    </r>
    <r>
      <rPr>
        <rFont val="Trebuchet MS"/>
        <b val="0"/>
        <color theme="1"/>
        <sz val="9.0"/>
      </rPr>
      <t>17/07/24 - Registro concedido, processo finalizado.</t>
    </r>
  </si>
  <si>
    <t>Quanzhou Cheng Jian Bags Co., Ltd</t>
  </si>
  <si>
    <t>10584/2024-AE-1
10584/2024-AE-2</t>
  </si>
  <si>
    <t>010208/2024
010213/2024</t>
  </si>
  <si>
    <t>050404003</t>
  </si>
  <si>
    <t>2025 SUMMER</t>
  </si>
  <si>
    <t>Nice Garden</t>
  </si>
  <si>
    <r>
      <rPr>
        <rFont val="Trebuchet MS"/>
        <b/>
        <color theme="1"/>
        <sz val="9.0"/>
      </rPr>
      <t xml:space="preserve">30/04/25 - Registro inativado.
</t>
    </r>
    <r>
      <rPr>
        <rFont val="Trebuchet MS"/>
        <b val="0"/>
        <color theme="1"/>
        <sz val="9.0"/>
      </rPr>
      <t>22/07/24 - Registro concedido.</t>
    </r>
    <r>
      <rPr>
        <rFont val="Trebuchet MS"/>
        <b/>
        <color theme="1"/>
        <sz val="9.0"/>
      </rPr>
      <t xml:space="preserve">
</t>
    </r>
    <r>
      <rPr>
        <rFont val="Trebuchet MS"/>
        <b val="0"/>
        <color theme="1"/>
        <sz val="9.0"/>
      </rPr>
      <t>04/04/24 - Relatório de amostragem recebido.</t>
    </r>
  </si>
  <si>
    <t>10648/2024-BRI-1</t>
  </si>
  <si>
    <t>009961/2024</t>
  </si>
  <si>
    <t>Certificação INMETRO: Produto certificado por BRICS OCP 0098 Nº Registro 009961/2024</t>
  </si>
  <si>
    <t>050404004</t>
  </si>
  <si>
    <t>CHAVEIRO PELÚCIA DINO</t>
  </si>
  <si>
    <r>
      <rPr>
        <rFont val="Trebuchet MS"/>
        <b/>
        <color theme="1"/>
        <sz val="9.0"/>
      </rPr>
      <t xml:space="preserve">30/04/25 - Registro inativado.
</t>
    </r>
    <r>
      <rPr>
        <rFont val="Trebuchet MS"/>
        <b val="0"/>
        <color theme="1"/>
        <sz val="9.0"/>
      </rPr>
      <t>22/07/24 - Registro concedido.</t>
    </r>
    <r>
      <rPr>
        <rFont val="Trebuchet MS"/>
        <b/>
        <color theme="1"/>
        <sz val="9.0"/>
      </rPr>
      <t xml:space="preserve">
</t>
    </r>
    <r>
      <rPr>
        <rFont val="Trebuchet MS"/>
        <b val="0"/>
        <color theme="1"/>
        <sz val="9.0"/>
      </rPr>
      <t>04/04/24 - Relatório de amostragem recebido.</t>
    </r>
  </si>
  <si>
    <t>050404005</t>
  </si>
  <si>
    <t>CHAVEIRO PELUCIA UNI</t>
  </si>
  <si>
    <r>
      <rPr>
        <rFont val="Trebuchet MS"/>
        <b/>
        <color theme="1"/>
        <sz val="9.0"/>
      </rPr>
      <t xml:space="preserve">30/04/25 - Registro inativado.
</t>
    </r>
    <r>
      <rPr>
        <rFont val="Trebuchet MS"/>
        <b val="0"/>
        <color theme="1"/>
        <sz val="9.0"/>
      </rPr>
      <t>22/07/24 - Registro concedido.</t>
    </r>
    <r>
      <rPr>
        <rFont val="Trebuchet MS"/>
        <b/>
        <color theme="1"/>
        <sz val="9.0"/>
      </rPr>
      <t xml:space="preserve">
</t>
    </r>
    <r>
      <rPr>
        <rFont val="Trebuchet MS"/>
        <b val="0"/>
        <color theme="1"/>
        <sz val="9.0"/>
      </rPr>
      <t>04/04/24 - Relatório de amostragem recebido.</t>
    </r>
  </si>
  <si>
    <t>050404006</t>
  </si>
  <si>
    <r>
      <rPr>
        <rFont val="Trebuchet MS"/>
        <b/>
        <color theme="1"/>
        <sz val="9.0"/>
      </rPr>
      <t xml:space="preserve">30/04/25 - Registro inativado.
</t>
    </r>
    <r>
      <rPr>
        <rFont val="Trebuchet MS"/>
        <b val="0"/>
        <color theme="1"/>
        <sz val="9.0"/>
      </rPr>
      <t>22/07/24 - Registro concedido.</t>
    </r>
    <r>
      <rPr>
        <rFont val="Trebuchet MS"/>
        <b/>
        <color theme="1"/>
        <sz val="9.0"/>
      </rPr>
      <t xml:space="preserve">
</t>
    </r>
    <r>
      <rPr>
        <rFont val="Trebuchet MS"/>
        <b val="0"/>
        <color theme="1"/>
        <sz val="9.0"/>
      </rPr>
      <t>04/04/24 - Relatório de amostragem recebido.</t>
    </r>
  </si>
  <si>
    <t>050404008</t>
  </si>
  <si>
    <r>
      <rPr>
        <rFont val="Trebuchet MS"/>
        <b/>
        <color theme="1"/>
        <sz val="9.0"/>
      </rPr>
      <t xml:space="preserve">30/04/25 - Registro inativado.
</t>
    </r>
    <r>
      <rPr>
        <rFont val="Trebuchet MS"/>
        <b val="0"/>
        <color theme="1"/>
        <sz val="9.0"/>
      </rPr>
      <t>22/07/24 - Registro concedido.</t>
    </r>
    <r>
      <rPr>
        <rFont val="Trebuchet MS"/>
        <b/>
        <color theme="1"/>
        <sz val="9.0"/>
      </rPr>
      <t xml:space="preserve">
</t>
    </r>
    <r>
      <rPr>
        <rFont val="Trebuchet MS"/>
        <b val="0"/>
        <color theme="1"/>
        <sz val="9.0"/>
      </rPr>
      <t>04/04/24 - Relatório de amostragem recebido.</t>
    </r>
  </si>
  <si>
    <t>050404009</t>
  </si>
  <si>
    <r>
      <rPr>
        <rFont val="Trebuchet MS"/>
        <b/>
        <color theme="1"/>
        <sz val="9.0"/>
      </rPr>
      <t xml:space="preserve">30/04/25 - Registro inativado.
</t>
    </r>
    <r>
      <rPr>
        <rFont val="Trebuchet MS"/>
        <b val="0"/>
        <color theme="1"/>
        <sz val="9.0"/>
      </rPr>
      <t>22/07/24 - Registro concedido.</t>
    </r>
    <r>
      <rPr>
        <rFont val="Trebuchet MS"/>
        <b/>
        <color theme="1"/>
        <sz val="9.0"/>
      </rPr>
      <t xml:space="preserve">
</t>
    </r>
    <r>
      <rPr>
        <rFont val="Trebuchet MS"/>
        <b val="0"/>
        <color theme="1"/>
        <sz val="9.0"/>
      </rPr>
      <t>04/04/24 - Relatório de amostragem recebido.</t>
    </r>
  </si>
  <si>
    <t>050403707</t>
  </si>
  <si>
    <t>2025 HIGH SUMMER</t>
  </si>
  <si>
    <t>JOGO DE BORRACHAS MULTIBICHOS MNA</t>
  </si>
  <si>
    <r>
      <rPr>
        <rFont val="Trebuchet MS"/>
        <b/>
        <color theme="1"/>
        <sz val="9.0"/>
      </rPr>
      <t xml:space="preserve">17/07/25 - Manutenção finalizada.
</t>
    </r>
    <r>
      <rPr>
        <rFont val="Trebuchet MS"/>
        <b val="0"/>
        <color theme="1"/>
        <sz val="9.0"/>
      </rPr>
      <t>14/08/24 - Registro concedido, processo finalizado.</t>
    </r>
  </si>
  <si>
    <t>JIANGSU L&amp;C STATIONERY CO.,LTD.</t>
  </si>
  <si>
    <t>10861/2024-AE-1</t>
  </si>
  <si>
    <t>012269/2024</t>
  </si>
  <si>
    <t>Certificação INMETRO: Produto certificado por BRICS OCP 0098 Nº Registro 012269/2024</t>
  </si>
  <si>
    <t>100400497</t>
  </si>
  <si>
    <r>
      <rPr>
        <rFont val="Trebuchet MS"/>
        <b/>
        <color theme="1"/>
        <sz val="9.0"/>
      </rPr>
      <t xml:space="preserve">23/10/25 - Manutenção finalizada.
</t>
    </r>
    <r>
      <rPr>
        <rFont val="Trebuchet MS"/>
        <b val="0"/>
        <color theme="1"/>
        <sz val="9.0"/>
      </rPr>
      <t>09/07/24 - Certificado de Homologação recebido, inclusão finalizada.</t>
    </r>
  </si>
  <si>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13912-23-11617.
Para maiores informações, consulte o site da ANATEL em </t>
    </r>
    <r>
      <rPr>
        <rFont val="Calibri"/>
        <color rgb="FF1155CC"/>
        <u/>
      </rPr>
      <t>www.anatel.gov.br</t>
    </r>
  </si>
  <si>
    <t>100400495</t>
  </si>
  <si>
    <r>
      <rPr>
        <rFont val="Trebuchet MS"/>
        <b/>
        <color theme="1"/>
        <sz val="9.0"/>
      </rPr>
      <t xml:space="preserve">23/10/25 - Manutenção finalizada.
</t>
    </r>
    <r>
      <rPr>
        <rFont val="Trebuchet MS"/>
        <b val="0"/>
        <color theme="1"/>
        <sz val="9.0"/>
      </rPr>
      <t>09/07/24 - Certificado de Homologação recebido, inclusão finalizada.</t>
    </r>
  </si>
  <si>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13912-23-11617.
Para maiores informações, consulte o site da ANATEL em </t>
    </r>
    <r>
      <rPr>
        <rFont val="Calibri"/>
        <color rgb="FF1155CC"/>
        <u/>
      </rPr>
      <t>www.anatel.gov.br</t>
    </r>
  </si>
  <si>
    <t>100400496</t>
  </si>
  <si>
    <t>FONE DE OUVIDO UNICORNIO</t>
  </si>
  <si>
    <r>
      <rPr>
        <rFont val="Trebuchet MS"/>
        <b/>
        <color theme="1"/>
        <sz val="9.0"/>
      </rPr>
      <t xml:space="preserve">23/10/25 - Manutenção finalizada.
</t>
    </r>
    <r>
      <rPr>
        <rFont val="Trebuchet MS"/>
        <b val="0"/>
        <color theme="1"/>
        <sz val="9.0"/>
      </rPr>
      <t>09/07/24 - Certificado de Homologação recebido, inclusão finalizada.</t>
    </r>
  </si>
  <si>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13911-23-11617.
Para maiores informações, consulte o site da ANATEL em </t>
    </r>
    <r>
      <rPr>
        <rFont val="Calibri"/>
        <color rgb="FF1155CC"/>
        <u/>
      </rPr>
      <t>www.anatel.gov.br</t>
    </r>
  </si>
  <si>
    <t>100400494</t>
  </si>
  <si>
    <t>FONE DE OUVIDO TUBARÃO</t>
  </si>
  <si>
    <r>
      <rPr>
        <rFont val="Trebuchet MS"/>
        <b/>
        <color theme="1"/>
        <sz val="9.0"/>
      </rPr>
      <t xml:space="preserve">23/10/25 - Manutenção finalizada.
</t>
    </r>
    <r>
      <rPr>
        <rFont val="Trebuchet MS"/>
        <b val="0"/>
        <color theme="1"/>
        <sz val="9.0"/>
      </rPr>
      <t>09/07/24 - Certificado de Homologação recebido, inclusão finalizada.</t>
    </r>
  </si>
  <si>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13911-23-11617.
Para maiores informações, consulte o site da ANATEL em </t>
    </r>
    <r>
      <rPr>
        <rFont val="Calibri"/>
        <color rgb="FF1155CC"/>
        <u/>
      </rPr>
      <t>www.anatel.gov.br</t>
    </r>
  </si>
  <si>
    <t>100400503</t>
  </si>
  <si>
    <t>FONE DE OUVIDO LED COLOR BLOCK</t>
  </si>
  <si>
    <t>3 Amostras</t>
  </si>
  <si>
    <t>17/09/24 - Certificado de Homologação recebido, processo finalizado.</t>
  </si>
  <si>
    <t>MODERNA-3766/24</t>
  </si>
  <si>
    <t>08336-24-11617</t>
  </si>
  <si>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08336-24-11617.
Para maiores informações, consulte o site da ANATEL em </t>
    </r>
    <r>
      <rPr>
        <rFont val="Calibri"/>
        <color rgb="FF1155CC"/>
        <u/>
      </rPr>
      <t>www.anatel.gov.br</t>
    </r>
  </si>
  <si>
    <t>050404073</t>
  </si>
  <si>
    <t>Dongguan Bogao Silicone Products Co.,Ltd.</t>
  </si>
  <si>
    <t>ESTOJO PEQUENO SILICONE PANDA</t>
  </si>
  <si>
    <r>
      <rPr>
        <rFont val="Trebuchet MS"/>
        <b/>
        <color theme="1"/>
        <sz val="9.0"/>
      </rPr>
      <t xml:space="preserve">17/07/24 - Registro inativado.
</t>
    </r>
    <r>
      <rPr>
        <rFont val="Trebuchet MS"/>
        <b val="0"/>
        <color theme="1"/>
        <sz val="9.0"/>
      </rPr>
      <t>19/09/24 - Registro concedido, processo finalizado.</t>
    </r>
  </si>
  <si>
    <t xml:space="preserve">Dongguan Bogao Silicone Products Co.,Ltd.                                                                                   </t>
  </si>
  <si>
    <t>11061/2024-AE-1</t>
  </si>
  <si>
    <t>014611/2024</t>
  </si>
  <si>
    <t>Certificação INMETRO: Produto certificado por BRICS OCP 0098 Nº Registro 014611/2024</t>
  </si>
  <si>
    <t>050404074</t>
  </si>
  <si>
    <t>ESTOJO PEQUENO SILICONE DINO</t>
  </si>
  <si>
    <t>25 Amostras</t>
  </si>
  <si>
    <r>
      <rPr>
        <rFont val="Trebuchet MS"/>
        <b/>
        <color theme="1"/>
        <sz val="9.0"/>
      </rPr>
      <t xml:space="preserve">17/07/24 - Registro inativado.
</t>
    </r>
    <r>
      <rPr>
        <rFont val="Trebuchet MS"/>
        <b val="0"/>
        <color theme="1"/>
        <sz val="9.0"/>
      </rPr>
      <t>19/09/24 - Registro concedido, processo finalizado.</t>
    </r>
  </si>
  <si>
    <t>050404287</t>
  </si>
  <si>
    <t>2026 HIGH SUMMER</t>
  </si>
  <si>
    <r>
      <rPr>
        <rFont val="Trebuchet MS"/>
        <b val="0"/>
        <color theme="1"/>
        <sz val="9.0"/>
      </rPr>
      <t xml:space="preserve">17/07/25 - Manutenção finalizada.
</t>
    </r>
    <r>
      <rPr>
        <rFont val="Trebuchet MS"/>
        <b/>
        <color theme="1"/>
        <sz val="9.0"/>
      </rPr>
      <t>07/05/25 - Inclusão finalizada.</t>
    </r>
  </si>
  <si>
    <t>990400036</t>
  </si>
  <si>
    <t>JOGO DE 8 BORRACHAS</t>
  </si>
  <si>
    <r>
      <rPr>
        <rFont val="Trebuchet MS"/>
        <b val="0"/>
        <color theme="1"/>
        <sz val="9.0"/>
      </rPr>
      <t xml:space="preserve">17/07/25 - Manutenção finalizada.
</t>
    </r>
    <r>
      <rPr>
        <rFont val="Trebuchet MS"/>
        <b/>
        <color theme="1"/>
        <sz val="9.0"/>
      </rPr>
      <t>07/05/25 - Inclusão finalizada.</t>
    </r>
  </si>
  <si>
    <t>100400534</t>
  </si>
  <si>
    <t>FONE DE OUVIDO EMBORRACHADO JACA</t>
  </si>
  <si>
    <r>
      <rPr>
        <rFont val="Trebuchet MS"/>
        <b/>
        <color theme="1"/>
        <sz val="9.0"/>
      </rPr>
      <t xml:space="preserve">23/10/25 - Manutenção finalizada.
</t>
    </r>
    <r>
      <rPr>
        <rFont val="Trebuchet MS"/>
        <b val="0"/>
        <color theme="1"/>
        <sz val="9.0"/>
      </rPr>
      <t>17/06/25 - Certificado de Homologação recebido, inclusão finalizada.</t>
    </r>
  </si>
  <si>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13911-23-11617.
Para maiores informações, consulte o site da ANATEL em </t>
    </r>
    <r>
      <rPr>
        <rFont val="Calibri"/>
        <color rgb="FF1155CC"/>
        <u/>
      </rPr>
      <t>www.anatel.gov.br</t>
    </r>
  </si>
  <si>
    <t>100400532</t>
  </si>
  <si>
    <r>
      <rPr>
        <rFont val="Trebuchet MS"/>
        <b/>
        <color theme="1"/>
        <sz val="9.0"/>
      </rPr>
      <t xml:space="preserve">23/10/25 - Manutenção finalizada.
</t>
    </r>
    <r>
      <rPr>
        <rFont val="Trebuchet MS"/>
        <b val="0"/>
        <color theme="1"/>
        <sz val="9.0"/>
      </rPr>
      <t>21/05/25 - Certificado de Homologação recebido, inclusão finalizada.</t>
    </r>
  </si>
  <si>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13912-23-11617.
Para maiores informações, consulte o site da ANATEL em </t>
    </r>
    <r>
      <rPr>
        <rFont val="Calibri"/>
        <color rgb="FF1155CC"/>
        <u/>
      </rPr>
      <t>www.anatel.gov.br</t>
    </r>
  </si>
  <si>
    <t>100400531</t>
  </si>
  <si>
    <t>FONE DE OUVIDO LED UNICORNIO</t>
  </si>
  <si>
    <t>17/06/25 - Certificado de Homologação recebido, inclusão finalizada.</t>
  </si>
  <si>
    <r>
      <rPr>
        <rFont val="Calibri"/>
      </rPr>
      <t xml:space="preserve">Este produto está homologado pela Anatel de acordo com os procedimentos regulamentados para avaliação da conformidade de produtos para telecomunicações e atende aos requisitos técnicos aplicados, sendo referenciado pelo código de homologação Anatel: 08336-24-11617.
Para maiores informações, consulte o site da ANATEL em </t>
    </r>
    <r>
      <rPr>
        <rFont val="Calibri"/>
        <color rgb="FF1155CC"/>
        <u/>
      </rPr>
      <t>www.anatel.gov.br</t>
    </r>
  </si>
  <si>
    <t>100400522</t>
  </si>
  <si>
    <t>2026 SUMMER</t>
  </si>
  <si>
    <t>BICHINHO PELUCIA CAPIVARA</t>
  </si>
  <si>
    <t>25/04/25 - Inclusão concluída</t>
  </si>
  <si>
    <t>050404255</t>
  </si>
  <si>
    <t>CHAVEIRO PELUCIA JACA</t>
  </si>
  <si>
    <t>27/05/25 - Inclusão finalizada no Orquestra.</t>
  </si>
  <si>
    <t>050404254</t>
  </si>
  <si>
    <t>050404251</t>
  </si>
  <si>
    <t>050404252</t>
  </si>
  <si>
    <t>050404250</t>
  </si>
  <si>
    <t>050404253</t>
  </si>
  <si>
    <t>050404326</t>
  </si>
  <si>
    <t>CHAVEIRO PELUCIA TIGRE</t>
  </si>
  <si>
    <t>050404329</t>
  </si>
  <si>
    <t>CHAVEIRO PELUCIA STITCH</t>
  </si>
  <si>
    <t>050404315</t>
  </si>
  <si>
    <t>Hubei</t>
  </si>
  <si>
    <t>CHAVEIRO EMBORRACHADO PANDA</t>
  </si>
  <si>
    <t>23/09/25 - Inclusão concedida, processo finalizado.</t>
  </si>
  <si>
    <t>Hubei Story Crafts Gifts Co., Ltd.</t>
  </si>
  <si>
    <t>12236/2025-BRI-1</t>
  </si>
  <si>
    <t>010239/2025</t>
  </si>
  <si>
    <t>Certificação INMETRO: Produto certificado por BRICS OCP 0098 Nº Registro 010239/2025</t>
  </si>
  <si>
    <t>050404316</t>
  </si>
  <si>
    <t>CHAVEIRO EMBORRACHADO VACA</t>
  </si>
  <si>
    <t>050404314</t>
  </si>
  <si>
    <t>CHAVEIRO EMBORRACHADO UNI</t>
  </si>
  <si>
    <t>050404313</t>
  </si>
  <si>
    <t>CHAVEIRO EMBORRACHADO GATA</t>
  </si>
  <si>
    <t>050404318</t>
  </si>
  <si>
    <t>CHAVEIRO EMBORRACHADO DINO</t>
  </si>
  <si>
    <t>050404319</t>
  </si>
  <si>
    <t>CHAVEIRO EMBORRACHADO CAPIVARA</t>
  </si>
  <si>
    <t>050404320</t>
  </si>
  <si>
    <t>PELUCIA TIARA UNI</t>
  </si>
  <si>
    <t>07/01/26 - Inclusão concedida, processo finalizado.</t>
  </si>
  <si>
    <t>12290/2025-BRI-1</t>
  </si>
  <si>
    <t>014796/2025</t>
  </si>
  <si>
    <t>Certificação INMETRO: Produto certificado por BRICS OCP 0098 Nº Registro 014796/2025</t>
  </si>
  <si>
    <t>050404321</t>
  </si>
  <si>
    <t>PELUCIA TIARA ONCA</t>
  </si>
  <si>
    <t>050404322</t>
  </si>
  <si>
    <t>PELUCIA TIARA PANDA</t>
  </si>
  <si>
    <t>050404323</t>
  </si>
  <si>
    <t>PELUCIA TIARA VACA</t>
  </si>
  <si>
    <t>050404324</t>
  </si>
  <si>
    <t>PELUCIA TIARA CAPIVARA</t>
  </si>
  <si>
    <t>050404414</t>
  </si>
  <si>
    <t>CHAVEIRO PELUCIA CAPIVARA</t>
  </si>
  <si>
    <t>17/07/25 - Inclusão finalizada no Orquestra.</t>
  </si>
  <si>
    <t>990400037</t>
  </si>
  <si>
    <t>2026 WINTER</t>
  </si>
  <si>
    <t>UNIK BEST</t>
  </si>
  <si>
    <t>CATA VENTO HOLOGRAFICO G</t>
  </si>
  <si>
    <t>OUTROS</t>
  </si>
  <si>
    <t>28/11/25 - Registro concedido no Orquestra.</t>
  </si>
  <si>
    <t>Taizhou Huangyan Weihuang Plastic Co., Ltd</t>
  </si>
  <si>
    <t>12596/2025-BRI-1</t>
  </si>
  <si>
    <t>013405/2025</t>
  </si>
  <si>
    <t>Certificação INMETRO: Produto certificado por BRICS OCP 0098 Nº Registro 013405/2025</t>
  </si>
  <si>
    <t>070400047</t>
  </si>
  <si>
    <t>CATA VENTO HOLOGRAFICO P</t>
  </si>
  <si>
    <t>100400556</t>
  </si>
  <si>
    <t>2027 SUMMER</t>
  </si>
  <si>
    <t>NEW SUCCESS</t>
  </si>
  <si>
    <t>BOLA DE PRAIA MENINO</t>
  </si>
  <si>
    <t>NEW TIME PLASTIC MANUFACTURING LIMITED</t>
  </si>
  <si>
    <t>13146/2025-BRI</t>
  </si>
  <si>
    <t>Em andamento</t>
  </si>
  <si>
    <t>100400555</t>
  </si>
  <si>
    <t>BOLA DE PRAIA MENINA</t>
  </si>
  <si>
    <t>NOME COMERCIAL</t>
  </si>
  <si>
    <t>TIPO</t>
  </si>
  <si>
    <t>CERTIFICADO</t>
  </si>
  <si>
    <t>REGISTRO</t>
  </si>
  <si>
    <t>INCLUSÃO</t>
  </si>
  <si>
    <t>Coleção</t>
  </si>
  <si>
    <t>050403838</t>
  </si>
  <si>
    <t>ESTOJO GRANDE DINO MIAMI</t>
  </si>
  <si>
    <t>ESTOJO</t>
  </si>
  <si>
    <t>10584/2024-AE-1</t>
  </si>
  <si>
    <t>010208/2024</t>
  </si>
  <si>
    <t>Inicial</t>
  </si>
  <si>
    <t>Certificação INMETRO: Produto certificado por BRICS OCP 0098 Nº Registro 010208/2024</t>
  </si>
  <si>
    <t>2025 - SUMMER</t>
  </si>
  <si>
    <t>050403847</t>
  </si>
  <si>
    <t>ESTOJO GRANDE TUBA ALOHA</t>
  </si>
  <si>
    <t>050403818</t>
  </si>
  <si>
    <t>ESTOJO GRANDE UNICÓRNIO ALOHA</t>
  </si>
  <si>
    <t>2025 - HIGH SUMMER</t>
  </si>
  <si>
    <t>050403794</t>
  </si>
  <si>
    <t>ESTOJO GRANDE VACA ROMÂNTICA</t>
  </si>
  <si>
    <t>050403803</t>
  </si>
  <si>
    <t>ESTOJO GRANDE PET SEREIA</t>
  </si>
  <si>
    <t>050403790</t>
  </si>
  <si>
    <t>ESTOJO DUPLO UNICÓRNIO ALOHA</t>
  </si>
  <si>
    <t>050403845</t>
  </si>
  <si>
    <t>ESTOJO DUPLO TUBA ALOHA</t>
  </si>
  <si>
    <t>050403796</t>
  </si>
  <si>
    <t>ESTOJO DUPLO PET SEREIA</t>
  </si>
  <si>
    <t>050403788</t>
  </si>
  <si>
    <t>ESTOJO DUPLO PANDA MIAMI</t>
  </si>
  <si>
    <t>050403831</t>
  </si>
  <si>
    <t>ESTOJO DUPLO DINO MIAMI</t>
  </si>
  <si>
    <t>050403897</t>
  </si>
  <si>
    <t>ESTOJO PEQUENO UNICÓRNIO ALOHA</t>
  </si>
  <si>
    <t>050403846</t>
  </si>
  <si>
    <t>ESTOJO TRIPLO TUBA ALOHA</t>
  </si>
  <si>
    <t>050403802</t>
  </si>
  <si>
    <t>ESTOJO TRIPLO PET SEREIA</t>
  </si>
  <si>
    <t>050403813</t>
  </si>
  <si>
    <t>ESTOJO TRIPLO PANDA MIAMI</t>
  </si>
  <si>
    <t>050403830</t>
  </si>
  <si>
    <t>ESTOJO TRIPLO DINO MIAMI</t>
  </si>
  <si>
    <t>050403784</t>
  </si>
  <si>
    <t>050403779</t>
  </si>
  <si>
    <t>ESTOJO GRANDE PANDA MIAMI</t>
  </si>
  <si>
    <t>050403772</t>
  </si>
  <si>
    <t>050403771</t>
  </si>
  <si>
    <t>ESTOJO TRIPLO UNICÓRNIO ALOHA</t>
  </si>
  <si>
    <t>050403778</t>
  </si>
  <si>
    <t>ESTOJO TRIPLO VACA ROMÂNTICA</t>
  </si>
  <si>
    <t>050403811</t>
  </si>
  <si>
    <t>LANCHEIRA SEM GEL UNICÓRNIO ALOHA</t>
  </si>
  <si>
    <t>LANCHEIRA</t>
  </si>
  <si>
    <t>10584/2024-AE-2</t>
  </si>
  <si>
    <t>010213/2024</t>
  </si>
  <si>
    <t>Certificação INMETRO: Produto certificado por BRICS OCP 0098 Nº Registro 010213/2024</t>
  </si>
  <si>
    <t>050403827</t>
  </si>
  <si>
    <t>LANCHEIRA SEM GEL TUBA ALOHA</t>
  </si>
  <si>
    <t>050403839</t>
  </si>
  <si>
    <t>LANCHEIRA SEM GEL DINO MIAMI</t>
  </si>
  <si>
    <t>050403800</t>
  </si>
  <si>
    <t>LANCHEIRA SEM GEL PET SEREIA</t>
  </si>
  <si>
    <t>050403833</t>
  </si>
  <si>
    <t>050403806
050404398</t>
  </si>
  <si>
    <t>050403814</t>
  </si>
  <si>
    <t>LANCHEIRA TÉRMICA PANDA MIAMI</t>
  </si>
  <si>
    <t>050403809</t>
  </si>
  <si>
    <t>LANCHEIRA TÉRMICA UNI ALOHA</t>
  </si>
  <si>
    <t>050403785</t>
  </si>
  <si>
    <t>050403770</t>
  </si>
  <si>
    <t>050403780</t>
  </si>
  <si>
    <t>LANCHEIRA SEM GEL PANDA MIAMI</t>
  </si>
  <si>
    <t>050403776</t>
  </si>
  <si>
    <t>LANCHEIRA SEM GEL VACA ROMÂNTICA</t>
  </si>
  <si>
    <t>050403768</t>
  </si>
  <si>
    <t>050403782
050404399</t>
  </si>
  <si>
    <t>050403844
050404396</t>
  </si>
  <si>
    <t>LANCHEIRA SEM GEL TUBARÃO ALOHA</t>
  </si>
  <si>
    <t>050404032</t>
  </si>
  <si>
    <t>ESTOJO PEQUENO TRIPLO PANDA</t>
  </si>
  <si>
    <t>050404027</t>
  </si>
  <si>
    <t>ESTOJO PEQUENO DUPLO LILO &amp; STITCH</t>
  </si>
  <si>
    <t>050404024</t>
  </si>
  <si>
    <t>ESTOJO GRANDE LILO &amp; STITCH</t>
  </si>
  <si>
    <t>050404026</t>
  </si>
  <si>
    <t>LANCHEIRA SEM GEL LILO &amp; STITCH</t>
  </si>
  <si>
    <t>050403832</t>
  </si>
  <si>
    <t>LANCHEIRA DINO</t>
  </si>
  <si>
    <t>050403989</t>
  </si>
  <si>
    <t>ESTOJO GRANDE DRAGÃO</t>
  </si>
  <si>
    <t>Inclusão 1</t>
  </si>
  <si>
    <t>2025 - WINTER</t>
  </si>
  <si>
    <t>050403955</t>
  </si>
  <si>
    <t>ESTOJO GRANDE ONÇA FANTÁSTICA</t>
  </si>
  <si>
    <t>2025 - HIGH WINTER</t>
  </si>
  <si>
    <t>050403951</t>
  </si>
  <si>
    <t>ESTOJO GRANDE UNI FLORESTA ENCANTADA</t>
  </si>
  <si>
    <t>050403933</t>
  </si>
  <si>
    <t>ESTOJO GRANDE VACA CHOCOLATE</t>
  </si>
  <si>
    <t>050403971</t>
  </si>
  <si>
    <t>ESTOJO PEQUENO DUPLO UNI FLORESTA</t>
  </si>
  <si>
    <t>050403985</t>
  </si>
  <si>
    <t>ESTOJO PEQUENO TRIPLO GORILA</t>
  </si>
  <si>
    <t>050403945</t>
  </si>
  <si>
    <t>ESTOJO AMPLO TRIPLO ONÇA FANTÁSTICA</t>
  </si>
  <si>
    <t>050403990</t>
  </si>
  <si>
    <t>LANCHEIRA SEM GEL DRAGÃO</t>
  </si>
  <si>
    <t>050403991</t>
  </si>
  <si>
    <t>LANCHEIRA SEM GEL GORILA</t>
  </si>
  <si>
    <t>050403944</t>
  </si>
  <si>
    <t>LANCHEIRA SEM GEL ONÇA FANTÁSTICA</t>
  </si>
  <si>
    <t>050403950</t>
  </si>
  <si>
    <t>LANCHEIRA SEM GEL UNI FLORESTA ENCANTADA</t>
  </si>
  <si>
    <t>050403954</t>
  </si>
  <si>
    <t>LANCHEIRA SEM GEL DIF UNI FLORESTA</t>
  </si>
  <si>
    <t>050403936</t>
  </si>
  <si>
    <t>LANCHEIRA SEM GEL VACA CHOCOLATE</t>
  </si>
  <si>
    <t>050403949</t>
  </si>
  <si>
    <t>LANCHEIRA SEM GEL UNI FUN DE LEVE</t>
  </si>
  <si>
    <t>050403986</t>
  </si>
  <si>
    <t>050403941</t>
  </si>
  <si>
    <t>LANCHEIRA SEM GEL ONÇA</t>
  </si>
  <si>
    <t>050403982</t>
  </si>
  <si>
    <t>LANCHEIRA SEM GEL UNI FLORESTA</t>
  </si>
  <si>
    <t>050404011</t>
  </si>
  <si>
    <t>LANCHEIRA TÉRMICA GORILA</t>
  </si>
  <si>
    <t>050403932</t>
  </si>
  <si>
    <t>ESTOJO PEQUENO VACA CHOCOLATE</t>
  </si>
  <si>
    <t>050404117</t>
  </si>
  <si>
    <t>ESTOJO GRANDE 3D MULTIBICHOS BFF</t>
  </si>
  <si>
    <t>Inclusão 2</t>
  </si>
  <si>
    <t>2026 - HIGH SUMMER</t>
  </si>
  <si>
    <t>050404231</t>
  </si>
  <si>
    <t>ESTOJO GRANDE PAETÊ GATA SEREIA</t>
  </si>
  <si>
    <t>050404307</t>
  </si>
  <si>
    <t>ESTOJO GRANDE GATA SEREIA</t>
  </si>
  <si>
    <t>050404150</t>
  </si>
  <si>
    <t>ESTOJO GRANDE JACA RELAX</t>
  </si>
  <si>
    <t>2026 - SUMMER</t>
  </si>
  <si>
    <t>050404114</t>
  </si>
  <si>
    <t>ESTOJO GRANDE PANDA ROMÂNTICO</t>
  </si>
  <si>
    <t>050404144</t>
  </si>
  <si>
    <t>ESTOJO GRANDE TUBA FUTEVOLEI</t>
  </si>
  <si>
    <t>050404094</t>
  </si>
  <si>
    <t>ESTOJO GRANDE UNI TENNIS</t>
  </si>
  <si>
    <t>050404110</t>
  </si>
  <si>
    <t>ESTOJO GRANDE VACA DRINKS</t>
  </si>
  <si>
    <t>050404272</t>
  </si>
  <si>
    <t>050404306</t>
  </si>
  <si>
    <t>ESTOJO GRANDE TIGRE</t>
  </si>
  <si>
    <t>050404118</t>
  </si>
  <si>
    <t>ESTOJO PEQUENO TRIPLO MULTIBICHOS BFF</t>
  </si>
  <si>
    <t>050404241</t>
  </si>
  <si>
    <t>ESTOJO TRIPLO PAETÊ GATA SEREIA</t>
  </si>
  <si>
    <t>050404147</t>
  </si>
  <si>
    <t>ESTOJO TRIPLO JACA RELAX</t>
  </si>
  <si>
    <t>050404185</t>
  </si>
  <si>
    <t>ESTOJO PEQUENO TRIPLO TIGRE</t>
  </si>
  <si>
    <t>050404143</t>
  </si>
  <si>
    <t>ESTOJO PEQUENO TRIPLO TUBA FUTEVOLEI</t>
  </si>
  <si>
    <t>050404095</t>
  </si>
  <si>
    <t>ESTOJO AMPLO TRIPLO UNI TENNIS</t>
  </si>
  <si>
    <t>050404301</t>
  </si>
  <si>
    <t>050404273</t>
  </si>
  <si>
    <t>ESTOJO TRIPLO LILO &amp; STITCH</t>
  </si>
  <si>
    <t>050404124</t>
  </si>
  <si>
    <t>ESTOJO PEQUENO DUPLO MULTIBICHOS BFF</t>
  </si>
  <si>
    <t>050404149</t>
  </si>
  <si>
    <t>ESTOJO PEQUENO DUPLO JACA RELAX</t>
  </si>
  <si>
    <t>050404145</t>
  </si>
  <si>
    <t>ESTOJO PEQUENO DUPLO TUBA FUTEVOLEI</t>
  </si>
  <si>
    <t>050404135</t>
  </si>
  <si>
    <t>ESTOJO PEQUENO DUPLO UNI TENNIS</t>
  </si>
  <si>
    <t>050404263</t>
  </si>
  <si>
    <t>ESTOJO PEQUENO DUPLO CAPIVARA</t>
  </si>
  <si>
    <t>050404119</t>
  </si>
  <si>
    <t>LANCHEIRA SEM GEL MULTIBICHOS BFF</t>
  </si>
  <si>
    <t>050404242</t>
  </si>
  <si>
    <t>LANCHEIRA SEM GEL DIF GATA SEREIA</t>
  </si>
  <si>
    <t>050404246</t>
  </si>
  <si>
    <t>LANCHEIRA SEM GEL GATA SEREIA</t>
  </si>
  <si>
    <t>050404148</t>
  </si>
  <si>
    <t>LANCHEIRA SEM GEL JACA RELAX</t>
  </si>
  <si>
    <t>050404130</t>
  </si>
  <si>
    <t>LANCHEIRA SEM GEL PANDA ROMÂNTICO</t>
  </si>
  <si>
    <t>050404186</t>
  </si>
  <si>
    <t>LANCHEIRA SEM GEL TIGRE</t>
  </si>
  <si>
    <t>050404142</t>
  </si>
  <si>
    <t>LANCHEIRA SEM GEL TUBA FUTEVOLEI</t>
  </si>
  <si>
    <t>050404096</t>
  </si>
  <si>
    <t>LANCHEIRA SEM GEL UNI TENNIS</t>
  </si>
  <si>
    <t>050404137</t>
  </si>
  <si>
    <t>LANCHEIRA SEM GEL VACA DRINKS</t>
  </si>
  <si>
    <t>050404262</t>
  </si>
  <si>
    <t>LANCHEIRA SEM GEL CAPIVARA</t>
  </si>
  <si>
    <t>050404274</t>
  </si>
  <si>
    <t>050404121</t>
  </si>
  <si>
    <t>LANCHEIRA MULTIBICHOS BFF</t>
  </si>
  <si>
    <t>050404153</t>
  </si>
  <si>
    <t>LANCHEIRA JACA RELAX</t>
  </si>
  <si>
    <t>050404140</t>
  </si>
  <si>
    <t>LANCHEIRA TUBA FUTEVOLEI</t>
  </si>
  <si>
    <t>050404099</t>
  </si>
  <si>
    <t>LANCHEIRA UNI TENNIS</t>
  </si>
  <si>
    <t>050404296</t>
  </si>
  <si>
    <t>LANCHEIRA GATA SEREIA</t>
  </si>
  <si>
    <t>050404232</t>
  </si>
  <si>
    <t>050404168</t>
  </si>
  <si>
    <t>050404133</t>
  </si>
  <si>
    <t>050404405</t>
  </si>
  <si>
    <t>LANCHEIRA PANDA MIAMI</t>
  </si>
  <si>
    <t>Inclusão 3</t>
  </si>
  <si>
    <t>050404403</t>
  </si>
  <si>
    <t>LANCHEIRA SEM GEL STITCH</t>
  </si>
  <si>
    <t>050404327</t>
  </si>
  <si>
    <t>LANCHEIRA SEM GEL UNI KAWAII LAVANDA</t>
  </si>
  <si>
    <t>050404407</t>
  </si>
  <si>
    <t>050403611</t>
  </si>
  <si>
    <t>ESTOJO GRANDE LILAS UNI KAWAII</t>
  </si>
  <si>
    <t>050404408</t>
  </si>
  <si>
    <t>ESTOJO PEQUENO TRIPLO VACA ROMÂNTICA</t>
  </si>
  <si>
    <t>050404406</t>
  </si>
  <si>
    <t>ESTOJO PEQUENO DUPLO PANDA MIAMI</t>
  </si>
  <si>
    <t>050404423</t>
  </si>
  <si>
    <t>ESTOJO GRANDE CAPIVARA</t>
  </si>
  <si>
    <t>Inclusão 4</t>
  </si>
  <si>
    <t>050404349</t>
  </si>
  <si>
    <t>Inclusão 5</t>
  </si>
  <si>
    <t>2026 - HIGH WINTER</t>
  </si>
  <si>
    <t>050404386</t>
  </si>
  <si>
    <t>ESTOJO PEQUENO TRIPLO UNI DIAMANTE</t>
  </si>
  <si>
    <t>2026 - WINTER</t>
  </si>
  <si>
    <t>050404382</t>
  </si>
  <si>
    <t>ESTOJO PEQUENO TRIPLO TIGRE LUCHA</t>
  </si>
  <si>
    <t>050404332</t>
  </si>
  <si>
    <t>ESTOJO PEQUENO DUPLO GATA SEREIA</t>
  </si>
  <si>
    <t>050404387</t>
  </si>
  <si>
    <t>LANCHEIRA SEM GEL UNI DIAMANTE</t>
  </si>
  <si>
    <t>050404345</t>
  </si>
  <si>
    <t>050404377</t>
  </si>
  <si>
    <t>LANCHEIRA SEM GEL TIGRE LUCHA</t>
  </si>
  <si>
    <t>050404334</t>
  </si>
  <si>
    <t>LANCHEIRA TIGRE LUCHA</t>
  </si>
  <si>
    <t>Solicitado</t>
  </si>
  <si>
    <t>Enviado</t>
  </si>
  <si>
    <t>Recebido</t>
  </si>
  <si>
    <t>Tracking</t>
  </si>
  <si>
    <t>Custo</t>
  </si>
  <si>
    <t>Ano</t>
  </si>
  <si>
    <t>PI6613Y PELUCIA X SALADINHO E MARIA BATATINHA</t>
  </si>
  <si>
    <t>PI6732Y ELETRIC POPCORN 220V</t>
  </si>
  <si>
    <t>FedEx 774948179810</t>
  </si>
  <si>
    <t>PI6074Y PELUCIA EDWIGES</t>
  </si>
  <si>
    <t>FedEx 777656597885</t>
  </si>
  <si>
    <t>050404006 - CHAVEIRO PELUCIA TUBA - AZUL</t>
  </si>
  <si>
    <t>PI6014Y ALMOFADA COM SOM MANDRAGORA HP</t>
  </si>
  <si>
    <t>PI6831Y WALK PENS KIT</t>
  </si>
  <si>
    <t>PI6559Y CHAVEIRO CATITA</t>
  </si>
  <si>
    <t>100400503 FONE DE OUVIDO LED COLOR BLOCK</t>
  </si>
  <si>
    <t>DHL 6014616764</t>
  </si>
  <si>
    <t>050404262 LANCHEIRA SEM GEL CAPIVARA</t>
  </si>
  <si>
    <t>FedEx 880104519606</t>
  </si>
  <si>
    <t>100400555 BOLA DE PRAIA MENINA</t>
  </si>
  <si>
    <t>ESTOQUE INFORMADO</t>
  </si>
  <si>
    <t>DATA NOTIFICAÇÃO</t>
  </si>
  <si>
    <t>DATA LEMBRETE</t>
  </si>
  <si>
    <t>PRAZO FINAL VENDA</t>
  </si>
  <si>
    <t>CÓDIGO DE BARRAS</t>
  </si>
  <si>
    <t>PELUCIA SQUISHADINHOS HARRY POTTER</t>
  </si>
  <si>
    <t>PELUCIA SQUISHADINHOS EDWIGES</t>
  </si>
  <si>
    <t>LANTERNA PROJETOR MULTIBICHOS VERDE AGUA</t>
  </si>
  <si>
    <t>IP-AESC-3488/2020-01</t>
  </si>
  <si>
    <t>050402750</t>
  </si>
  <si>
    <t>Kit 3 Lápis</t>
  </si>
  <si>
    <t>050402752</t>
  </si>
  <si>
    <t>050402749</t>
  </si>
  <si>
    <t>Kit 3 Lápis Holográfico</t>
  </si>
  <si>
    <t>050402987</t>
  </si>
  <si>
    <t>KIT LAPIS UNI LOVE</t>
  </si>
  <si>
    <t>050403308</t>
  </si>
  <si>
    <t>KIT LAPIS DIFERENCIADO MNA</t>
  </si>
  <si>
    <t>7909692130152</t>
  </si>
  <si>
    <t>IP-AESC-3488/2020-03</t>
  </si>
  <si>
    <t>050402290</t>
  </si>
  <si>
    <t>KIT BORRACHAS SHAPE FRUTA</t>
  </si>
  <si>
    <t>050402291</t>
  </si>
  <si>
    <t>KIT BORRACHAS SHAPE NARWAL</t>
  </si>
  <si>
    <t>100400318</t>
  </si>
  <si>
    <t>Kit Borracha Menina</t>
  </si>
  <si>
    <t>100400317</t>
  </si>
  <si>
    <t>Kit Borracha Menino</t>
  </si>
  <si>
    <t>050402755</t>
  </si>
  <si>
    <t>KIT BORRACHAS</t>
  </si>
  <si>
    <t>050402754</t>
  </si>
  <si>
    <t>050402989</t>
  </si>
  <si>
    <t>KIT BORRACHAS UNI LOVE</t>
  </si>
  <si>
    <t>IP-AESC-3488/2020-02</t>
  </si>
  <si>
    <t>050402301</t>
  </si>
  <si>
    <t>Caneta com LED Flamingo</t>
  </si>
  <si>
    <t>050402303</t>
  </si>
  <si>
    <t>Caneta com LED Unicórnio</t>
  </si>
  <si>
    <t>050402304</t>
  </si>
  <si>
    <t>Caneta com LED Tubarão</t>
  </si>
  <si>
    <t>050402313</t>
  </si>
  <si>
    <t>Caneta com LED Dino</t>
  </si>
  <si>
    <t>050402747</t>
  </si>
  <si>
    <t>050402748</t>
  </si>
  <si>
    <t>Caneta com LED Cisne</t>
  </si>
  <si>
    <t>050402753</t>
  </si>
  <si>
    <t>Caneta com LED Jacaré</t>
  </si>
  <si>
    <t>050402985</t>
  </si>
  <si>
    <t>CANETA COM LED UNI LOVE</t>
  </si>
  <si>
    <t>7909692197650</t>
  </si>
  <si>
    <t>7909692197643</t>
  </si>
  <si>
    <t>TRAVESSEIRO MANDRAKE COM SOM HP</t>
  </si>
  <si>
    <t>7909692122560</t>
  </si>
  <si>
    <t>7909692130206</t>
  </si>
  <si>
    <t>7909692122577</t>
  </si>
  <si>
    <t>7909692130190</t>
  </si>
  <si>
    <t>CHAVEIRO PELUCIA PANDA DONUTS</t>
  </si>
  <si>
    <t>7909692186753</t>
  </si>
  <si>
    <t>7909692186746</t>
  </si>
  <si>
    <t>CHAVEIRO PELUCIA UNICORNIO COM ASAS</t>
  </si>
  <si>
    <t>7909692186739</t>
  </si>
  <si>
    <t>7909692186722</t>
  </si>
  <si>
    <t>7909692186715</t>
  </si>
  <si>
    <t>7909692189914</t>
  </si>
  <si>
    <t>7909692186708</t>
  </si>
  <si>
    <t xml:space="preserve">ALMOFADA DE VIAGEM COM MÁSCARA HP LUNA
</t>
  </si>
  <si>
    <t>9459/2023-AE-1</t>
  </si>
  <si>
    <t>050402564</t>
  </si>
  <si>
    <t>ESTOJO GRANDE TRIPLO GATA CEREJA</t>
  </si>
  <si>
    <t>050402867</t>
  </si>
  <si>
    <t>ESTOJO GRANDE COLOR BLOCK</t>
  </si>
  <si>
    <t>050402885</t>
  </si>
  <si>
    <t>ESTOJO GRANDE PANDA SHAKE</t>
  </si>
  <si>
    <t>050402901</t>
  </si>
  <si>
    <t>ESTOJO PEQUENO TRIPLO UNI LOVE</t>
  </si>
  <si>
    <t>050403023</t>
  </si>
  <si>
    <t>050403136</t>
  </si>
  <si>
    <t>ESTOJO TRIPLO UNI SKATE</t>
  </si>
  <si>
    <t>7909692099725</t>
  </si>
  <si>
    <t>050403216</t>
  </si>
  <si>
    <t>ESTOJO PEQUENO TRIPLO COLOR BLOCK</t>
  </si>
  <si>
    <t>7909692102203</t>
  </si>
  <si>
    <t>050403286</t>
  </si>
  <si>
    <t>ESTOJO TRIPLO DINO FOSSEIS</t>
  </si>
  <si>
    <t>7909692122263</t>
  </si>
  <si>
    <t>050403281</t>
  </si>
  <si>
    <t>ESTOJO GRANDE TUBA ROCK</t>
  </si>
  <si>
    <t>7909692122188</t>
  </si>
  <si>
    <t>050403274</t>
  </si>
  <si>
    <t>ESTOJO TRIPLO VACA</t>
  </si>
  <si>
    <t>7909692122010</t>
  </si>
  <si>
    <t>050403342</t>
  </si>
  <si>
    <t>ESTOJO TRIPLO JACARÉ</t>
  </si>
  <si>
    <t>7909692136772</t>
  </si>
  <si>
    <t>050403322</t>
  </si>
  <si>
    <t>ESTOJO GRANDE PANDA BALLET</t>
  </si>
  <si>
    <t>7909692142421</t>
  </si>
  <si>
    <t>050403339</t>
  </si>
  <si>
    <t>ESTOJO GRANDE DINO FÓSSEIS</t>
  </si>
  <si>
    <t>7909692135225</t>
  </si>
  <si>
    <t>050403502</t>
  </si>
  <si>
    <t>7909692164003</t>
  </si>
  <si>
    <t>050403500</t>
  </si>
  <si>
    <t>ESTOJO TRIPLO GATA SEREIA</t>
  </si>
  <si>
    <t>7909692163990</t>
  </si>
  <si>
    <t>050403499</t>
  </si>
  <si>
    <t>ESTOJO TRIPLO PANDA DONUTS</t>
  </si>
  <si>
    <t>7909692166304</t>
  </si>
  <si>
    <t>050403553</t>
  </si>
  <si>
    <t>ESTOJO TRIPLO DRAGÃO STREET</t>
  </si>
  <si>
    <t>7909692164195</t>
  </si>
  <si>
    <t>050403557</t>
  </si>
  <si>
    <t>ESTOJO TRIPLO MONSTER TRUCK</t>
  </si>
  <si>
    <t>7909692164218</t>
  </si>
  <si>
    <t>050403555</t>
  </si>
  <si>
    <t>ESTOJO TRIPLO TUBA HIP HOP</t>
  </si>
  <si>
    <t>7909692164201</t>
  </si>
  <si>
    <t>050403497</t>
  </si>
  <si>
    <t>ESTOJO PEQUENO DUPLO UNI KAWAII</t>
  </si>
  <si>
    <t>7909692163976</t>
  </si>
  <si>
    <t>050403498</t>
  </si>
  <si>
    <t>ESTOJO PEQUENO DUPLO PANDA DONUTS</t>
  </si>
  <si>
    <t>7909692163983</t>
  </si>
  <si>
    <t>050403548</t>
  </si>
  <si>
    <t>ESTOJO PEQUENO DUPLO TUBA HIP HOP</t>
  </si>
  <si>
    <t>7909692164171</t>
  </si>
  <si>
    <t>7909692183974</t>
  </si>
  <si>
    <t>050403503</t>
  </si>
  <si>
    <t>ESTOJO GRANDE RÍGIDO PANDA DONUTS</t>
  </si>
  <si>
    <t>7909692166311</t>
  </si>
  <si>
    <t>050403561</t>
  </si>
  <si>
    <t>ESTOJO GRANDE TUBA HIP HOP</t>
  </si>
  <si>
    <t>7909692164232</t>
  </si>
  <si>
    <t>050403505</t>
  </si>
  <si>
    <t>ESTOJO GRANDE DIFERENCIADO UNI KAWAII</t>
  </si>
  <si>
    <t>7909692179816</t>
  </si>
  <si>
    <t>050403444</t>
  </si>
  <si>
    <t>ESTOJO TRIPLO UNI KAWAII</t>
  </si>
  <si>
    <t>7909692166229</t>
  </si>
  <si>
    <t>050403458</t>
  </si>
  <si>
    <t>ESTOJO TRIPLO DÁLMATA</t>
  </si>
  <si>
    <t>7909692174026</t>
  </si>
  <si>
    <t>050403551</t>
  </si>
  <si>
    <t>ESTOJO DUPLO DRAGÃO</t>
  </si>
  <si>
    <t>7909692164188</t>
  </si>
  <si>
    <t>050403445</t>
  </si>
  <si>
    <t>ESTOJO GRANDE UNI KAWAII</t>
  </si>
  <si>
    <t>7909692166236</t>
  </si>
  <si>
    <t>050403504</t>
  </si>
  <si>
    <t>7909692164010</t>
  </si>
  <si>
    <t>050403430</t>
  </si>
  <si>
    <t>7909692174002</t>
  </si>
  <si>
    <t>050403111</t>
  </si>
  <si>
    <t>ESTOJO GRANDE TUBA GAMES</t>
  </si>
  <si>
    <t>050403143</t>
  </si>
  <si>
    <t>ESTOJO GRANDE UNICORNIO SKATE</t>
  </si>
  <si>
    <t>7909692099794</t>
  </si>
  <si>
    <t>050403134</t>
  </si>
  <si>
    <t>ESTOJO PEQUENO DUPLO DINO SKATE</t>
  </si>
  <si>
    <t>7909692099701</t>
  </si>
  <si>
    <t>050403132</t>
  </si>
  <si>
    <t>ESTOJO PEQUENO DUPLO PANDA SUMMER</t>
  </si>
  <si>
    <t>7909692099688</t>
  </si>
  <si>
    <t>050403137</t>
  </si>
  <si>
    <t>ESTOJO PEQUENO TRIPLO PANDA SUMMER</t>
  </si>
  <si>
    <t>7909692099732</t>
  </si>
  <si>
    <t>050403666</t>
  </si>
  <si>
    <t>ESTOJO GRANDE UNI CHERRY</t>
  </si>
  <si>
    <t>7909692193027</t>
  </si>
  <si>
    <t>050403671</t>
  </si>
  <si>
    <t>ESTOJO GRANDE GATA ROMÂNTICA</t>
  </si>
  <si>
    <t>7909692192990</t>
  </si>
  <si>
    <t>050403624</t>
  </si>
  <si>
    <t>ESTOJO PEQUENO TRIPLO UNI CHERRY</t>
  </si>
  <si>
    <t>7909692186098</t>
  </si>
  <si>
    <t>050403630</t>
  </si>
  <si>
    <t>ESTOJO PEQUENO TRIPLO SPACE FOOD</t>
  </si>
  <si>
    <t>7909692186180</t>
  </si>
  <si>
    <t>050403643</t>
  </si>
  <si>
    <t>ESTOJO GRANDE VACA PATCHES</t>
  </si>
  <si>
    <t>7909692186340</t>
  </si>
  <si>
    <t>050403627</t>
  </si>
  <si>
    <t>ESTOJO GRANDE DINO TRIO</t>
  </si>
  <si>
    <t>7909692186241</t>
  </si>
  <si>
    <t>050403752</t>
  </si>
  <si>
    <t>ESTOJO PEQUENO DUPLO MINIONS</t>
  </si>
  <si>
    <t>7909692212193</t>
  </si>
  <si>
    <t>050403765</t>
  </si>
  <si>
    <t>ESTOJO GRANDE MINIONS</t>
  </si>
  <si>
    <t>7909692212728</t>
  </si>
  <si>
    <t>050403644</t>
  </si>
  <si>
    <t>ESTOJO PEQUENO DUPLO SNOOPY</t>
  </si>
  <si>
    <t>7909692186555</t>
  </si>
  <si>
    <t>9459/2023-AE-3</t>
  </si>
  <si>
    <t>050402903</t>
  </si>
  <si>
    <t>LANCHEIRA SEM GEL UNI LOVE</t>
  </si>
  <si>
    <t>050402883</t>
  </si>
  <si>
    <t>LANCHEIRA SEM GEL PANDA SHAKE</t>
  </si>
  <si>
    <t>050403148</t>
  </si>
  <si>
    <t>LANCHEIRA SEM GEL UNI SKATE</t>
  </si>
  <si>
    <t>7909692100155</t>
  </si>
  <si>
    <t>050403152</t>
  </si>
  <si>
    <t>LANCHEIRA SEM GEL COLOR BLOCK</t>
  </si>
  <si>
    <t>7909692100193</t>
  </si>
  <si>
    <t>050403336</t>
  </si>
  <si>
    <t>LANCHEIRA SEM GEL VACA QUAD</t>
  </si>
  <si>
    <t>7909692132286</t>
  </si>
  <si>
    <t>050403273</t>
  </si>
  <si>
    <t>LANCHEIRA SEM GEL VACA</t>
  </si>
  <si>
    <t>7909692122003</t>
  </si>
  <si>
    <t>050403337</t>
  </si>
  <si>
    <t>LANCHEIRA SEM GEL DINO FOSSEIS</t>
  </si>
  <si>
    <t>7909692132293</t>
  </si>
  <si>
    <t>050403324</t>
  </si>
  <si>
    <t>LANCHEIRA SEM GEL PANDA BALLET</t>
  </si>
  <si>
    <t>7909692142414</t>
  </si>
  <si>
    <t>050403332</t>
  </si>
  <si>
    <t>LANCHEIRA PANDA</t>
  </si>
  <si>
    <t>7909692142087</t>
  </si>
  <si>
    <t>050403340</t>
  </si>
  <si>
    <t>LANCHEIRA JACA</t>
  </si>
  <si>
    <t>7909692135232</t>
  </si>
  <si>
    <t>050403492</t>
  </si>
  <si>
    <t>LANCHEIRA SEM GEL ASA UNI KAWAII LILÁS</t>
  </si>
  <si>
    <t>7909692166298</t>
  </si>
  <si>
    <t>050403493</t>
  </si>
  <si>
    <t>LANCHEIRA SEM GEL PANDA DONUTS</t>
  </si>
  <si>
    <t>7909692170707</t>
  </si>
  <si>
    <t>050403496</t>
  </si>
  <si>
    <t>LANCHEIRA SEM GEL GATA SEREIA CALDA</t>
  </si>
  <si>
    <t>7909692163969</t>
  </si>
  <si>
    <t>050403494</t>
  </si>
  <si>
    <t>7909692163945</t>
  </si>
  <si>
    <t>050403495</t>
  </si>
  <si>
    <t>7909692163952</t>
  </si>
  <si>
    <t>050403606</t>
  </si>
  <si>
    <t>LANCHEIRA SEM GEL SNOOPY</t>
  </si>
  <si>
    <t>7909692180409</t>
  </si>
  <si>
    <t>050403543</t>
  </si>
  <si>
    <t>LANCHEIRA SEM GEL TUBA HIP HOP</t>
  </si>
  <si>
    <t>7909692164140</t>
  </si>
  <si>
    <t>050403546</t>
  </si>
  <si>
    <t>LANCHEIRA SEM GEL MONSTER TRUCK</t>
  </si>
  <si>
    <t>7909692164164</t>
  </si>
  <si>
    <t>050403532</t>
  </si>
  <si>
    <t>LANCHEIRA DRAGAO STREET</t>
  </si>
  <si>
    <t>7909692164096</t>
  </si>
  <si>
    <t>050403647</t>
  </si>
  <si>
    <t>LANCHEIRA SNOOPY</t>
  </si>
  <si>
    <t>7909692187910</t>
  </si>
  <si>
    <t>050403582</t>
  </si>
  <si>
    <t>LANCHEIRA TUBA HIP HOP</t>
  </si>
  <si>
    <t>7909692164089</t>
  </si>
  <si>
    <t>050403490</t>
  </si>
  <si>
    <t>LANCHEIRA UNI KAWAII</t>
  </si>
  <si>
    <t>7909692166274</t>
  </si>
  <si>
    <t>050403491</t>
  </si>
  <si>
    <t>LANCHEIRA PANDA DONUTS</t>
  </si>
  <si>
    <t>7909692166281</t>
  </si>
  <si>
    <t>050403583</t>
  </si>
  <si>
    <t>7909692180041</t>
  </si>
  <si>
    <t>050403443</t>
  </si>
  <si>
    <t>LANCHEIRA SEM GEL UNI KAWAII</t>
  </si>
  <si>
    <t>7909692166212</t>
  </si>
  <si>
    <t>050403437</t>
  </si>
  <si>
    <t>LANCHEIRA SEM GEL DÁLMATA</t>
  </si>
  <si>
    <t>7909692174125</t>
  </si>
  <si>
    <t>050403429</t>
  </si>
  <si>
    <t>7909692173999</t>
  </si>
  <si>
    <t>050403474</t>
  </si>
  <si>
    <t>7909692173982</t>
  </si>
  <si>
    <t>050403481</t>
  </si>
  <si>
    <t>7909692173975</t>
  </si>
  <si>
    <t>050403169</t>
  </si>
  <si>
    <t>7909692101589</t>
  </si>
  <si>
    <t>050403167</t>
  </si>
  <si>
    <t>7909692101527</t>
  </si>
  <si>
    <t>050403149</t>
  </si>
  <si>
    <t>LANCHEIRA SEM GEL PANDA SUMMER</t>
  </si>
  <si>
    <t>7909692100162</t>
  </si>
  <si>
    <t>050403113</t>
  </si>
  <si>
    <t>LANCHEIRA SEM GEL TUBA GAMES</t>
  </si>
  <si>
    <t>050403153</t>
  </si>
  <si>
    <t>LANCHEIRA SEM GEL UNICORNIO SKATE</t>
  </si>
  <si>
    <t>7909692100209</t>
  </si>
  <si>
    <t>050403623</t>
  </si>
  <si>
    <t>LANCHEIRA SEM GEL UNI CHERRY</t>
  </si>
  <si>
    <t>7909692186272</t>
  </si>
  <si>
    <t>050403642</t>
  </si>
  <si>
    <t>LANCHEIRA SEM GEL VACA PATCHES</t>
  </si>
  <si>
    <t>7909692186364</t>
  </si>
  <si>
    <t>050403626</t>
  </si>
  <si>
    <t>LANCHEIRA SEM GEL DINO TRIO</t>
  </si>
  <si>
    <t>7909692186258</t>
  </si>
  <si>
    <t>050403670</t>
  </si>
  <si>
    <t>LANCHEIRA SEM GEL GATA ROMÂNTICA</t>
  </si>
  <si>
    <t>7909692193003</t>
  </si>
  <si>
    <t>050403679</t>
  </si>
  <si>
    <t>LANCHEIRA SEM GEL OVELHA FUN</t>
  </si>
  <si>
    <t>7909692193126</t>
  </si>
  <si>
    <t>050403717</t>
  </si>
  <si>
    <t>LANCHEIRA SEM GEL SPACE FOOD</t>
  </si>
  <si>
    <t>7909692201944</t>
  </si>
  <si>
    <t>050403673</t>
  </si>
  <si>
    <t>LANCHEIRA UNI CHERRY</t>
  </si>
  <si>
    <t>7909692192976</t>
  </si>
  <si>
    <t>050403660</t>
  </si>
  <si>
    <t>LANCHEIRA DINO TRIO</t>
  </si>
  <si>
    <t>7909692193065</t>
  </si>
  <si>
    <t>050403753</t>
  </si>
  <si>
    <t>LANCHEIRA MINIONS</t>
  </si>
  <si>
    <t>7909692212346</t>
  </si>
  <si>
    <t>050403766</t>
  </si>
  <si>
    <t>LANCHEIRA SEM GEL MINIONS</t>
  </si>
  <si>
    <t>7909692212735</t>
  </si>
  <si>
    <t>050403177</t>
  </si>
  <si>
    <t>LANCHEIRA UNICORNIO SKATE</t>
  </si>
  <si>
    <t>7909692101664</t>
  </si>
  <si>
    <t>7909692101787</t>
  </si>
  <si>
    <t>7909692101770</t>
  </si>
  <si>
    <t>LAPIS TUDO PODE FLORESCER</t>
  </si>
  <si>
    <t>JOGO DA MEMÓRIA</t>
  </si>
  <si>
    <t>7909692239640</t>
  </si>
  <si>
    <t>7909692239633</t>
  </si>
  <si>
    <t>7909692239626</t>
  </si>
  <si>
    <t>7909692239619</t>
  </si>
  <si>
    <t>7909692239596</t>
  </si>
  <si>
    <t>7909692239589</t>
  </si>
  <si>
    <t>11061/2024-AE</t>
  </si>
  <si>
    <t>7909692252151</t>
  </si>
  <si>
    <t>7909692252168</t>
  </si>
  <si>
    <t>Processo</t>
  </si>
  <si>
    <t>Item</t>
  </si>
  <si>
    <t>Marca</t>
  </si>
  <si>
    <t>Custo Original</t>
  </si>
  <si>
    <t>Custo Unificado</t>
  </si>
  <si>
    <t>Valor Economizado</t>
  </si>
  <si>
    <t>Pago por</t>
  </si>
  <si>
    <t>100400522 BICHINHO PELUCIA CAPIVARA</t>
  </si>
  <si>
    <t>Puket</t>
  </si>
  <si>
    <t>CHAVEIROS PELÚCIA</t>
  </si>
  <si>
    <t>Imaginarium</t>
  </si>
  <si>
    <t>TOTAL</t>
  </si>
  <si>
    <t>Documents Required per certification</t>
  </si>
  <si>
    <t>Certification</t>
  </si>
  <si>
    <t>Scope</t>
  </si>
  <si>
    <t>Ordinance</t>
  </si>
  <si>
    <t>Specific Details</t>
  </si>
  <si>
    <t>Solicitação ERP</t>
  </si>
  <si>
    <t>Required info/documents</t>
  </si>
  <si>
    <t>Possible Risks</t>
  </si>
  <si>
    <t>Seals</t>
  </si>
  <si>
    <t>Documents Links:</t>
  </si>
  <si>
    <t>Nº of Samples</t>
  </si>
  <si>
    <t>Call com a Master Certificação</t>
  </si>
  <si>
    <t>ibagens</t>
  </si>
  <si>
    <t>Anatel Certification</t>
  </si>
  <si>
    <t>Type of Bluetooth (EDR, LE or EDR+LE)</t>
  </si>
  <si>
    <t>Hi Everyone,
This product must be certified by ANATEL Homologation Standard for products with Bluetooth and radio frequency communications. 
For the ANATEL BT samples, we'll need to send to Brazil 2 complete sample and 1 test mode sample (with RF cable entrance attached to the board, and connectors) this sample must contain the final internal components from the product we'll develop with our partner.
The documents for this type of certification are listed in the image attached, all of them are required to complete the certification process.
We also need to specify the type of signal and it's levels (maximum and minimum gain from the antenna):
a.       Constant frequency conduction
b.       Constant frequency radiation
c.       Module adaptation
**IMPORTANT NOTE**: the ISO file is now mandatory for the Anatel certification.
Best regards!</t>
  </si>
  <si>
    <r>
      <rPr>
        <rFont val="Trebuchet MS"/>
        <b/>
        <color theme="1"/>
        <sz val="8.0"/>
      </rPr>
      <t>Supplier Info</t>
    </r>
    <r>
      <rPr>
        <rFont val="Trebuchet MS"/>
        <color theme="1"/>
        <sz val="8.0"/>
      </rPr>
      <t xml:space="preserve"> - Enterprise name, Address, Phone #, Email and Contact Person;
</t>
    </r>
    <r>
      <rPr>
        <rFont val="Trebuchet MS"/>
        <b/>
        <color theme="1"/>
        <sz val="8.0"/>
      </rPr>
      <t xml:space="preserve">Factory Info </t>
    </r>
    <r>
      <rPr>
        <rFont val="Trebuchet MS"/>
        <color theme="1"/>
        <sz val="8.0"/>
      </rPr>
      <t xml:space="preserve">- Enterprise name, Address, ISO in portuguese or sworn translation with scope of the approved product;
</t>
    </r>
    <r>
      <rPr>
        <rFont val="Trebuchet MS"/>
        <b/>
        <color theme="1"/>
        <sz val="8.0"/>
      </rPr>
      <t>Requestor Info</t>
    </r>
    <r>
      <rPr>
        <rFont val="Trebuchet MS"/>
        <color theme="1"/>
        <sz val="8.0"/>
      </rPr>
      <t xml:space="preserve"> - I'll provide them;
</t>
    </r>
    <r>
      <rPr>
        <rFont val="Trebuchet MS"/>
        <b/>
        <color theme="1"/>
        <sz val="8.0"/>
      </rPr>
      <t>External Pictures of the Product</t>
    </r>
    <r>
      <rPr>
        <rFont val="Trebuchet MS"/>
        <color theme="1"/>
        <sz val="8.0"/>
      </rPr>
      <t xml:space="preserve">: All angles with a ruler and the name of the module beside it; (TOP VIEW, LEFT SIDE, FRONT, RIGHT , REAR , BOTTOM, HIGHLIGHTING THE MODEL NAME)
</t>
    </r>
    <r>
      <rPr>
        <rFont val="Trebuchet MS"/>
        <b/>
        <color theme="1"/>
        <sz val="8.0"/>
      </rPr>
      <t>Internal Pictures</t>
    </r>
    <r>
      <rPr>
        <rFont val="Trebuchet MS"/>
        <color theme="1"/>
        <sz val="8.0"/>
      </rPr>
      <t xml:space="preserve"> - Front and back of the Modules, without protection and in high quality; (THE PRODUCT OPEN WITH THE PCBS SHOWING, THEN PICTURES, WITH 
</t>
    </r>
    <r>
      <rPr>
        <rFont val="Trebuchet MS"/>
        <b/>
        <color theme="1"/>
        <sz val="8.0"/>
      </rPr>
      <t>User manual in Portuguese</t>
    </r>
    <r>
      <rPr>
        <rFont val="Trebuchet MS"/>
        <color theme="1"/>
        <sz val="8.0"/>
      </rPr>
      <t xml:space="preserve">; (IDENTIFYING THE MODEL NAME), TECHNICAL SPECIFICATIONS IN THE MANUAL OR SENT SEPARATELY
</t>
    </r>
    <r>
      <rPr>
        <rFont val="Trebuchet MS"/>
        <b/>
        <color theme="1"/>
        <sz val="8.0"/>
      </rPr>
      <t>Data Sheet</t>
    </r>
    <r>
      <rPr>
        <rFont val="Trebuchet MS"/>
        <color theme="1"/>
        <sz val="8.0"/>
      </rPr>
      <t xml:space="preserve"> (Techinical Specifications) - Technical Info of the Signal
</t>
    </r>
    <r>
      <rPr>
        <rFont val="Trebuchet MS"/>
        <b/>
        <color theme="1"/>
        <sz val="8.0"/>
      </rPr>
      <t>Representation Letter</t>
    </r>
    <r>
      <rPr>
        <rFont val="Trebuchet MS"/>
        <color theme="1"/>
        <sz val="8.0"/>
      </rPr>
      <t xml:space="preserve"> (Model is atached to this e-mail) - A Letter from our supplier where he informs that he allows us to sell products with his module in Brazil;
</t>
    </r>
    <r>
      <rPr>
        <rFont val="Trebuchet MS"/>
        <b/>
        <color theme="1"/>
        <sz val="8.0"/>
      </rPr>
      <t>Declarations</t>
    </r>
    <r>
      <rPr>
        <rFont val="Trebuchet MS"/>
        <color theme="1"/>
        <sz val="8.0"/>
      </rPr>
      <t xml:space="preserve"> - The certifier will inform us if they are indeed required and will send us the models if so.
</t>
    </r>
    <r>
      <rPr>
        <rFont val="Trebuchet MS"/>
        <b/>
        <color theme="1"/>
        <sz val="8.0"/>
      </rPr>
      <t>Samples and their Configuration</t>
    </r>
    <r>
      <rPr>
        <rFont val="Trebuchet MS"/>
        <color theme="1"/>
        <sz val="8.0"/>
      </rPr>
      <t xml:space="preserve"> - 2 complete samples and 1 test mode sample (with rf cable entrance attached to the board and the software to manipulate the signal);
</t>
    </r>
    <r>
      <rPr>
        <rFont val="Trebuchet MS"/>
        <b/>
        <color theme="1"/>
        <sz val="8.0"/>
      </rPr>
      <t>Techincal Information</t>
    </r>
    <r>
      <rPr>
        <rFont val="Trebuchet MS"/>
        <color theme="1"/>
        <sz val="8.0"/>
      </rPr>
      <t xml:space="preserve"> - Information about the Frequency and Type of Signal;</t>
    </r>
  </si>
  <si>
    <t>Low risk</t>
  </si>
  <si>
    <t>Product, Package, Manual</t>
  </si>
  <si>
    <t>2 complete samples and 1 test mode sample (with rf cable entrance attached to the board and the software to manipulate the signal);</t>
  </si>
  <si>
    <r>
      <rPr>
        <rFont val="Trebuchet MS"/>
        <b/>
        <color theme="1"/>
        <sz val="8.0"/>
      </rPr>
      <t>Cartão CNPJ</t>
    </r>
    <r>
      <rPr>
        <rFont val="Trebuchet MS"/>
        <color theme="1"/>
        <sz val="8.0"/>
      </rPr>
      <t xml:space="preserve"> da Empresa
</t>
    </r>
    <r>
      <rPr>
        <rFont val="Trebuchet MS"/>
        <b/>
        <color theme="1"/>
        <sz val="8.0"/>
      </rPr>
      <t>Contrato Social</t>
    </r>
    <r>
      <rPr>
        <rFont val="Trebuchet MS"/>
        <color theme="1"/>
        <sz val="8.0"/>
      </rPr>
      <t xml:space="preserve"> (versão mais atual da empresa)
</t>
    </r>
    <r>
      <rPr>
        <rFont val="Trebuchet MS"/>
        <b/>
        <color theme="1"/>
        <sz val="8.0"/>
      </rPr>
      <t>Objeto Social</t>
    </r>
    <r>
      <rPr>
        <rFont val="Trebuchet MS"/>
        <color theme="1"/>
        <sz val="8.0"/>
      </rPr>
      <t xml:space="preserve"> precisa estar de acordo com oq vamos estar importando 
</t>
    </r>
  </si>
  <si>
    <t>Wifi</t>
  </si>
  <si>
    <t>Wifi Standard (a/b/g/n/ac) and frequency (2.4 GHz / 5 GHz)</t>
  </si>
  <si>
    <t>Carta de representação (empresa detentora da tecnologia do produto). Assinada ou carimbada
Documentos do Data Sheet - Da Placa PCB Inteira</t>
  </si>
  <si>
    <t>NFC/QI (Induction Charger) CARREGADORES SEM FIO</t>
  </si>
  <si>
    <t>Hi Everyone,
This product must be certified by ANATEL Homologation Standard for products with Wireless Chargers. 
For the ANATEL Chargers samples, we'll need to send to Brazil 2 complete samples for testing in Brazil.
The documents for this type of certification are listed in the image attached, all of them are required to complete the certification process.
**IMPORTANT NOTE**: the ISO file is now mandatory for the Anatel certification.
Best regards!</t>
  </si>
  <si>
    <t>Documentos podem estar ou em português ou em ingles</t>
  </si>
  <si>
    <t>Inmetro Certification</t>
  </si>
  <si>
    <t>Toys</t>
  </si>
  <si>
    <t>Composition and Dimensions</t>
  </si>
  <si>
    <t>Hi Everyone,
This product needs to be certified by INMETRO ToysStandard for products destinated for children.
We'll proceed with the tests in China, the number of samples will be definided by the type of certification aligned with creation team (Factory or Batch), and based on the possible risks offered by this type of product.
The document for this type of certification is attached in this message, we need that our supplier fulfills this spreadsheet with the information about the product we're developing. We also need the following information:
-ISO 9001 from Factory or equivalent certificate;
-Composition and Dimensions
Best regards!</t>
  </si>
  <si>
    <t>Descriptive Memorial Complete</t>
  </si>
  <si>
    <t>Phtalates and Pointy Metals</t>
  </si>
  <si>
    <t>Product and Package</t>
  </si>
  <si>
    <t>36 for each Family</t>
  </si>
  <si>
    <t>Apresentar a ISO 9001:2015 da fábrica que faz o carregador do celular</t>
  </si>
  <si>
    <t>Link do Memorial Descritivo - Brinquedos</t>
  </si>
  <si>
    <t>Link de Solicitação de Certificação</t>
  </si>
  <si>
    <t>Scholarship</t>
  </si>
  <si>
    <r>
      <rPr>
        <rFont val="Trebuchet MS"/>
        <color theme="1"/>
        <sz val="8.0"/>
      </rPr>
      <t xml:space="preserve">Hi Everyone,
This product needs to be certified by INMETRO Scholarship Standard for products destinated for children.
</t>
    </r>
    <r>
      <rPr>
        <rFont val="Trebuchet MS"/>
        <b/>
        <color theme="1"/>
        <sz val="8.0"/>
      </rPr>
      <t xml:space="preserve">(Canetas) We'll proceed with the tests in Brazil, the number of samples will be definided by the type of certification aligned with creation team (Factory or Batch), and based on the possible risks offered by this type of product.
(Geral) We'll proceed with the tests in China, the number of samples will be definided by the type of certification aligned with creation team (Factory or Batch), and based on the possible risks offered by this type of product.
</t>
    </r>
    <r>
      <rPr>
        <rFont val="Trebuchet MS"/>
        <color theme="1"/>
        <sz val="8.0"/>
      </rPr>
      <t xml:space="preserve">
The document for this type of certification is attached in this message, we need that our supplier fulfills this spreadsheet with the information about the product we're developing. We also need the following information:
-ISO 9001 from Factory or equivalent certificate;
-Composition and Dimensions
</t>
    </r>
    <r>
      <rPr>
        <rFont val="Trebuchet MS"/>
        <b/>
        <color theme="1"/>
        <sz val="8.0"/>
      </rPr>
      <t xml:space="preserve">- (Canetas) - Self declaration of ink from pens - non-toxic components </t>
    </r>
    <r>
      <rPr>
        <rFont val="Trebuchet MS"/>
        <color theme="1"/>
        <sz val="8.0"/>
      </rPr>
      <t xml:space="preserve">
Best regards!</t>
    </r>
  </si>
  <si>
    <t>Phtalates</t>
  </si>
  <si>
    <t>Nos outros produtos só vamos precisar do ISO se tiver duas fábricas ou mais</t>
  </si>
  <si>
    <t>Link do Memorial Descritivo - Escolares</t>
  </si>
  <si>
    <t>Link de Declaração da Tinta da Caneta</t>
  </si>
  <si>
    <t>Electrical Security (Home Appliances)</t>
  </si>
  <si>
    <t>If it produces heat, sound or anything else that may disturb the nature, it may also need to have the Ibama Certifcation.</t>
  </si>
  <si>
    <t>Hi Everyone,
This product needs to be certified by INMETRO Electrical Security (Home Appliances).
We'll proceed with the tests in China, the number of samples required for testing is 2 (4 others may need to be separeted for back-up tests).
Our supplier needs to fulfill the spreadsheet attached with the information about the product we're developing. We also need the following information:
-Factory Audit Documents;
-ISO 9001 from Factory or equivalent certificate;
-Rating Label
-User Manual
-List of components and their suppliers, informing if they are certified;
-Electrical Circuit Schemes;
-Assembly drawings or photographic records of the prodict and subassemblies.
Best regards!</t>
  </si>
  <si>
    <r>
      <rPr>
        <rFont val="Trebuchet MS"/>
        <color theme="1"/>
        <sz val="8.0"/>
      </rPr>
      <t xml:space="preserve">Descriptive Memorial Complete
Brazil - Application Form;
Brazil - Model Confirmation;
Brazil - Final User Manual;
Brazil - Requestor Info;
China - Factory Audit Documents;
China - ISO 9001 from Factory or equivalent certificate;
China - Rating Label
China - User Manual
</t>
    </r>
    <r>
      <rPr>
        <rFont val="Trebuchet MS"/>
        <b/>
        <color theme="1"/>
        <sz val="8.0"/>
      </rPr>
      <t>China - List of components and their suppliers, informing if they are certified;
China - Electrical Circuit Schemes;
China - Assembly drawings or photographic records of the prodict and subassemblies.</t>
    </r>
  </si>
  <si>
    <t>2 for each product</t>
  </si>
  <si>
    <t xml:space="preserve">Autorização de Selo no Manual , mandar carta com a solitação para utilização da Marcação mínima </t>
  </si>
  <si>
    <t>Pegar as cartas recebidas no email e preencher as mesmas e assinar e enviar para a ANATEL</t>
  </si>
  <si>
    <t>Link do Memorial Descritivo - Eletrodomésticos</t>
  </si>
  <si>
    <t>Power Plugs</t>
  </si>
  <si>
    <t>Product</t>
  </si>
  <si>
    <t>No produto devemos incluir a frase nos produtos que só possuem o modulo certificado que "esse produto possui o módulo XXX cerettificado na anatel Código XXXX</t>
  </si>
  <si>
    <t>Ibama</t>
  </si>
  <si>
    <t>Indicar em qual face do produto e qual marcação eu realizo nos produtos (modelo a modelo)</t>
  </si>
  <si>
    <t>Se o manual não tiver o nome de modelo, mandamos a "Declaração de nome comercial" para passar para Anatel qual a referência de ual produto</t>
  </si>
  <si>
    <t>Certificados IMG</t>
  </si>
  <si>
    <t>COUNTA de CÓDIGO</t>
  </si>
  <si>
    <t>Quantidade de Certificados</t>
  </si>
  <si>
    <t>Certificados PKT</t>
  </si>
  <si>
    <t>Total geral</t>
  </si>
  <si>
    <t>Certificados PKT - Escolares</t>
  </si>
  <si>
    <t>Quantidade de SKUs</t>
  </si>
  <si>
    <t>COUNTUNIQUE de CERTIFICADO</t>
  </si>
  <si>
    <t>COUNTA de TIPO DE CERTIFICAÇÃO</t>
  </si>
  <si>
    <t>COUNTA de SKU</t>
  </si>
  <si>
    <t>Link para todos os produtos e portarias:</t>
  </si>
  <si>
    <t>http://www.inmetro.gov.br/qualidade/rtepac/compulsorios.asp</t>
  </si>
  <si>
    <t>Portaria 148/2022 - Segurança Elétrica</t>
  </si>
  <si>
    <t>Portaria 423/2021- Artigos Escolares</t>
  </si>
  <si>
    <t>Portaria 302/2021 - Brinquedos</t>
  </si>
  <si>
    <t>Portaria 299/2021 - Ventiladores</t>
  </si>
  <si>
    <t>ANATEL CATEGORIA 1</t>
  </si>
  <si>
    <t>ANATEL CATEGORIA 2</t>
  </si>
  <si>
    <t>ANATEL CATEGORIA 3</t>
  </si>
  <si>
    <t>Portaria 377/2021 - Televisores</t>
  </si>
  <si>
    <t>Nome Português</t>
  </si>
  <si>
    <t>English Name</t>
  </si>
  <si>
    <t>Chinese (Simplified) Name</t>
  </si>
  <si>
    <t>Grupo 1: Máquinas e aparelhos de cozinha</t>
  </si>
  <si>
    <t>Apontadores;</t>
  </si>
  <si>
    <t>Acessórios de moda e joias de fantasias (Acessórios e joias de fantasia não descartáveis, como tiara de princesa, cintos, coletes, colares, tornozeleiras, braceletes, chapéus lúdicos, bigodes, óculos, martelos, espadas, entre outros relacionados ao universo de brinquedos.</t>
  </si>
  <si>
    <t>Ventiladores de Mesa, Parede, Coluna, Pedestal e Circuladores de Ar. (Ventiladores compactos que utilizam pilhas não requerem certificação)</t>
  </si>
  <si>
    <t>Telefone Celular;</t>
  </si>
  <si>
    <t>Equipamentos de Rede Wifi;</t>
  </si>
  <si>
    <t xml:space="preserve">Cabos de Fibra Óptica;
</t>
  </si>
  <si>
    <t>Tubos de raios catódicos;</t>
  </si>
  <si>
    <t>Abridor elétrico de latas</t>
  </si>
  <si>
    <t>Borrachas;</t>
  </si>
  <si>
    <t>Animais ou bichinhos em borracha (Brinquedo confeccionado em material macio feito em borracha).</t>
  </si>
  <si>
    <t xml:space="preserve">Bateria para telefone celular;
</t>
  </si>
  <si>
    <t>Equipamentos de Automação por Radiofrequência;</t>
  </si>
  <si>
    <t>Conectores de cabos.</t>
  </si>
  <si>
    <t>Tela de plasma;</t>
  </si>
  <si>
    <t>Amolador elétrico de facas</t>
  </si>
  <si>
    <t>Canetas esferográficas e rollers, com corpo e carga manufaturados em resinas plásticas(polímeros), conforme definido no item 4.5 da Portaria Inmetro 481/2010;</t>
  </si>
  <si>
    <t>Balões metalizados e bexigas de látex (bolas de festa) (Espécie de bolas, com ou sem motivo lúdico, utilizadas para decoração de festas ou para as crianças brincarem).</t>
  </si>
  <si>
    <t xml:space="preserve">Carregadores para telefone celular;
</t>
  </si>
  <si>
    <t>Antenas e Transmissores de Rádio e Televisão.</t>
  </si>
  <si>
    <t>Painéis de LCD e LED;</t>
  </si>
  <si>
    <t>Aquecedor elétrico de mamadeira</t>
  </si>
  <si>
    <t>Canetas hidrográficas (hidrocor);</t>
  </si>
  <si>
    <t>Bambolê (Aro de plástico ou de metal com até 1 m de diâmetro).</t>
  </si>
  <si>
    <t>Modem.</t>
  </si>
  <si>
    <t>Monitores com função de televisor;</t>
  </si>
  <si>
    <t>Aquecedor elétrico de pratos e bandejas</t>
  </si>
  <si>
    <t>Colas (líquidas ou sólidas);</t>
  </si>
  <si>
    <t>Bancadas de ferramentas de brinquedo e ferramentas (Ferramentas e bancadas com peças para martelar, rosquear, parafusar, encaixar, entre outros).</t>
  </si>
  <si>
    <t>Batedeira elétrica</t>
  </si>
  <si>
    <t>Compassos;</t>
  </si>
  <si>
    <t>Barracas, casas ou cabanas (Barracas, casas ou cabanas, independente do material confeccionado, com ou sem motivo lúdico, destinadas ao uso por crianças).</t>
  </si>
  <si>
    <t>Cafeteira elétrica / Chaleira elétrica</t>
  </si>
  <si>
    <t>Corretores (adesivos ou tintas);</t>
  </si>
  <si>
    <t>Bola (Todos os tipos de bolas para brincar, destinadas a arremessar, chutar, rolar, pingar, saltar, pular, tenham elas motivo lúdico ou não, assim como as que acendem, tremem, emitem sons, iluminem no escuro, entre outras interações que possam ter, independente do produto.</t>
  </si>
  <si>
    <t>Centrifuga elétrica para alimentos</t>
  </si>
  <si>
    <t>Curvas francesas;</t>
  </si>
  <si>
    <t>Bolhas de sabão (Qualquer brinquedo que solte bolhas de sabão).</t>
  </si>
  <si>
    <t>Coifa / Exaustor elétrico</t>
  </si>
  <si>
    <t>Esquadros;</t>
  </si>
  <si>
    <t>Boliches, jogos de bocha, jogos de argolas (Bolas e pinos para boliche; bolas para jogo de bocha, e jogos de argolas para arremessar e encaixar em um eixo, com finalidade lúdica, de uso não profissional).</t>
  </si>
  <si>
    <t>Desidratador elétrico de alimentos</t>
  </si>
  <si>
    <t>Estojos que apresentem motivos ou personagens infantis;</t>
  </si>
  <si>
    <t>Bolsas de brinquedo (Bolsas para crianças similares às bolsas de bonecas, com motivo lúdico posterior ao seu uso principal).</t>
  </si>
  <si>
    <t>Espremedor elétrico de frutas</t>
  </si>
  <si>
    <t>Giz de cera, exceto giz para quadro-negro;</t>
  </si>
  <si>
    <t>Bonecas bebês (Bonecos imitando bebês, podendo ser banhados, sem cabelos e olhos móveis ou pintados).</t>
  </si>
  <si>
    <t>Esterilizador elétrico de utensílios de cozinha</t>
  </si>
  <si>
    <t>Lápis (preto ou de cor), exceto aqueles claramente definidos pelo fabricante na embalagem expositora como de uso artístico ou profissional;</t>
  </si>
  <si>
    <t>Bonecos e animais com movimento vai e vem (Bonecos e animais tipo “joão-bobo”, feitos em plástico rígido ou material inflável).</t>
  </si>
  <si>
    <t>Faca elétrica</t>
  </si>
  <si>
    <t>Lapiseiras, exceto aquelas com grafite com diâmetro superior a 1.6 mm;</t>
  </si>
  <si>
    <t>Bonecas e bichinhos de primeira idade (Bonecas feitas em tecidos com roupas fixas e animais em tecido (não em pelúcia)).</t>
  </si>
  <si>
    <t>Fatiador elétrico</t>
  </si>
  <si>
    <t>Marcadores de texto;</t>
  </si>
  <si>
    <t>Bonecas leves e vestidas (Bonecas plásticas ou de tecido, com olhos fixos, cabelos no próprio plástico ou lã).</t>
  </si>
  <si>
    <t>Fritadeira elétrica / Frigideira elétrica</t>
  </si>
  <si>
    <t>Massas de modelar, exceto aquelas associadas a brinquedos ou claramente definidas pelo fabricante na embalagem do produto como de uso artístico ou profissional;</t>
  </si>
  <si>
    <t>Bonecos interativos para vídeo game (Boneco que possui chip e é reconhecido ao ser colocado sobre o console do vídeo game, permitindo ao personagem físico ganhar uma versão virtual no jogo. O produto também pode ser utilizado sem estar associado ao vídeo game.</t>
  </si>
  <si>
    <t>Grill elétrico / Grelha elétrica</t>
  </si>
  <si>
    <t>Massas plásticas, exceto argilas de modelar ou aquelas claramente definidas pelo fabricante na embalagem do produto como de uso artístico ou profissional;</t>
  </si>
  <si>
    <t>Brinquedos animados que rolam (Animais ou veículos sem cordão ou cabo, com sons e/ou luzes coloridas).</t>
  </si>
  <si>
    <t>Iogurteira elétrica</t>
  </si>
  <si>
    <t>Merendeiras e seus acessórios (porta-sanduíche, garrafa térmica, dentre outros, desde que vendidos junto à merendeira);</t>
  </si>
  <si>
    <t>Brinquedo aquático (Brinquedos confeccionados para a criança brincar na água).</t>
  </si>
  <si>
    <t>Liquidificador</t>
  </si>
  <si>
    <t>Pastas com aba elástica, confeccionadas em plástico ou papel cartão;</t>
  </si>
  <si>
    <t>Bicicleta de brinquedo (Veículo de duas rodas, com ou sem pedais, com ou sem estabilizadores, impulsionado somente pela energia muscular da criança, e com altura máxima alcançada pelo selim de 435 mm..</t>
  </si>
  <si>
    <t>Máquina elétrica de gelo</t>
  </si>
  <si>
    <t>Réguas;</t>
  </si>
  <si>
    <t>Brinquedos de flutuação (Artigos, infláveis ou não, projetados para suportar a massa de uma criança, tais como: boias de braço, com ou sem motivo lúdico; boias de cintura com diâmetro interno inferior a 0,80 m; boias para a criança sentar.</t>
  </si>
  <si>
    <t>Máquina elétrica de pão</t>
  </si>
  <si>
    <t>Tesouras de ponta redonda;</t>
  </si>
  <si>
    <t>Brinquedos de pelúcia ou tecido (Brinquedos confeccionados em pelúcia ou tecido, independente do tamanho).</t>
  </si>
  <si>
    <t>Marmita elétrica</t>
  </si>
  <si>
    <t>Tintas (guache, nanquim, plástica, aquarela, pintura a dedo), exceto aquelas claramente definidas pelo fabricante na embalagem do produto como de uso artístico ou profissional;</t>
  </si>
  <si>
    <t>Brinquedos animados mecânicos (Brinquedos de plástico, metal ou pelúcia com movimentos a pilha ou bateria).</t>
  </si>
  <si>
    <t>Moedor elétrico de grãos</t>
  </si>
  <si>
    <t>Ponteira de borracha;</t>
  </si>
  <si>
    <t>Brinquedo de apertar (Brinquedo flexível incorporando um recurso sonoro ativado através da passagem de ar por uma abertura, projetado para emitir som quando apertado).</t>
  </si>
  <si>
    <t>Panela elétrica / Panela elétrica a vapor / Panela de pressão elétrica</t>
  </si>
  <si>
    <t>Transferidores.</t>
  </si>
  <si>
    <t>Brinquedos de Balanço (Cadeiras ou brinquedos de balanço para a criança balançar e simular cavalgada).</t>
  </si>
  <si>
    <t>Pipoqueira elétrica</t>
  </si>
  <si>
    <t>Brinquedos de construção com peças (Conjunto de peças com o objetivo de a criança montar um brinquedo pré-definido na embalagem).</t>
  </si>
  <si>
    <t>Processador elétrico de alimentos</t>
  </si>
  <si>
    <t>Brinquedos de habilidade e destreza eletroeletrônicos (Brinquedos eletroeletrônicos, recarregáveis ou não, alimentados por uma tensão de até 24 volts).</t>
  </si>
  <si>
    <t>Rolo elétrico para massa</t>
  </si>
  <si>
    <t>Brinquedo de mão (Brinquedo especialmente projetado para emitir som e feito para ser segurado com as mãos).</t>
  </si>
  <si>
    <t>Sanduicheira elétrica</t>
  </si>
  <si>
    <t>Brinquedo de mesa e de chão (Brinquedo destinado para ser usado sobre uma mesa ou no chão).</t>
  </si>
  <si>
    <t>Torradeira elétrica / Tostadeira elétrica</t>
  </si>
  <si>
    <t>Brinquedo com projétil com energia armazenada (Brinquedo com um projétil propulsionado por meio de um mecanismo de disparo capaz de armazenar e liberar energia).</t>
  </si>
  <si>
    <t>Torrador elétrico de grãos</t>
  </si>
  <si>
    <t>Brinquedo com projétil sem energia armazenada (Brinquedo com um projétil disparado pela criança).</t>
  </si>
  <si>
    <t>Grupo 2: Máquinas e aparelhos de uso comercial</t>
  </si>
  <si>
    <t>Brinquedo de puxar, impulsionar, empurrar e rolar (Brinquedo que é destinado para ser puxado, impulsionado, empurrado ou usado para rolar ao longo do piso ou do chão. Excluem-se as bicicletas de balanço).</t>
  </si>
  <si>
    <t>Abridor elétrico de latas de uso comercial</t>
  </si>
  <si>
    <t>Brinquedos e objetos transformáveis (Brinquedos que representam figuras cujas partes ao serem movimentadas passam a representar outros objetos).</t>
  </si>
  <si>
    <t>Amassadeira elétrica com capacidade menor ou igual a 40 kg de massa, de uso comercial</t>
  </si>
  <si>
    <t>Brinquedo funcional (Brinquedo usado imitando um produto ou instalação destinada para adultos, sem função real, e que, frequentemente, é um modelo em escala do original).</t>
  </si>
  <si>
    <t>Armário elétrico aquecido para louças de uso comercial</t>
  </si>
  <si>
    <t>Brinquedo inflável portátil (Brinquedo inflável destinado ao manuseio da criança).</t>
  </si>
  <si>
    <t>Assador elétrico rotativo (TV de cachorro)</t>
  </si>
  <si>
    <t>Brinquedo macio com enchimento (Brinquedo macio preenchido com bolinhas, tecido, espuma ou outro material macio).</t>
  </si>
  <si>
    <t>Balcão elétrico aquecido de uso comercial</t>
  </si>
  <si>
    <t>Brinquedo operado com pilhas (bateria) (Brinquedo em que pelo menos uma função depende de eletricidade e é alimentado por pilha ou bateria).</t>
  </si>
  <si>
    <t>Banho-Maria elétrico de uso comercial</t>
  </si>
  <si>
    <t>Brinquedos ou acessórios que simulam profissões (Brinquedos como barracas de feiras, cozinhas, mini fábricas, entre outros, em escala reduzida, ao tamanho da criança).</t>
  </si>
  <si>
    <t>Batedeira elétrica, com capacidade menor ou igual a 18 litros, de uso comercial</t>
  </si>
  <si>
    <t>Brinquedos para areia (Baldes, pazinhas, formas e utensílios utilizados para a criança brincar na areia e água).</t>
  </si>
  <si>
    <t>Chapa elétrica de uso comercial</t>
  </si>
  <si>
    <t>Brinquedo para o banho (Animais, personagens infantis, barquinhos e peças flutuantes para a criança brincar durante o banho).</t>
  </si>
  <si>
    <t>Cilindro sovador, laminador e automático, com comprimento de rolo menor ou igual a 500 mm, de uso comercial</t>
  </si>
  <si>
    <t>Brinquedos próximos ao ouvido (Brinquedo projetado para emitir som, para ser usado próximo ao ouvido. Por exemplo, em uma posição hipotética, seria a 2,5 cm da parte emitente de som que pode ser colocada no ouvido de uma criança).</t>
  </si>
  <si>
    <t>Cortador elétrico de massa para uso comercial</t>
  </si>
  <si>
    <t>Brinquedos que simulam locais públicos (Brinquedos que simulam locais públicos como postos de gasolina, postos de correio, estacionamentos, estação de trem, banco, hospital).</t>
  </si>
  <si>
    <t>Exaustor elétrico de uso comercial</t>
  </si>
  <si>
    <t>Caixas, arcas e baús para guardar brinquedos (Recipientes com motivo lúdico, com tampa, projetados para guardar brinquedos).</t>
  </si>
  <si>
    <t>Expositor elétrico aquecido para alimentos de uso comercial</t>
  </si>
  <si>
    <t>Caixas de encaixe de formas e cores (Caixas e brinquedos com orifícios com formas geométricas diferentes para receber peças que só passam pelas aberturas correspondentes ao formato geométrico delas).</t>
  </si>
  <si>
    <t>Fatiador elétrico para uso comercial</t>
  </si>
  <si>
    <t>Caixas de música para primeira idade (Pequenos brinquedos de pendurar com alça para puxar e acionar o mecanismo musical).</t>
  </si>
  <si>
    <t>Fermentador elétrico para uso comercial</t>
  </si>
  <si>
    <t>Carimbos para brincadeira (Carimbos de brinquedo, com desenhos e motivo infantil).</t>
  </si>
  <si>
    <t>Fritadeira elétrica de uso comercial</t>
  </si>
  <si>
    <t>Carrinhos (Carrinhos de uma maneira geral e carrinhos por controle remoto).</t>
  </si>
  <si>
    <t>Grill elétrico / tostadeira elétrica de uso comercial</t>
  </si>
  <si>
    <t>Carrinho de rolimã (Carrinho, geralmente construído de madeira e rolamentos de aço, para a disputa de corridas em ladeira, de uso não profissional, independente da carga máxima que suporta).</t>
  </si>
  <si>
    <t>Liquidificador de uso comercial</t>
  </si>
  <si>
    <t>Carrinhos para os primeiros passos (Carrinhos com base sólida e alça para a criança se apoiar ao começar a caminhar sozinha).</t>
  </si>
  <si>
    <t>Máquina elétrica de enxaguar de uso comercial</t>
  </si>
  <si>
    <t>Casa de bonecas (Casa, barraca ou cabana destinada ao uso com bonecas, sem permitir o acesso de uma criança).</t>
  </si>
  <si>
    <t>Máquina elétrica de lavagem e/ou secagem de alimentos de uso comercial</t>
  </si>
  <si>
    <t>Chaveiros (Chaveiros cujo o pendente seja um brinquedo, independente do tamanho e do material). Nota: Chaveiros planos (chatos) não são considerados brinquedos.</t>
  </si>
  <si>
    <t>Máquina elétrica para separação de porções de alimentos de uso comercial</t>
  </si>
  <si>
    <t>Chocalho (Brinquedo que é especialmente projetado para emitir som quando agitado, destinado a crianças, sendo acionado pela criança ou outra pessoa).</t>
  </si>
  <si>
    <t>Misturador elétrico de uso comercial</t>
  </si>
  <si>
    <t>Chupetas de brinquedo (Chupetas destinadas para brincadeiras com bonecas ou para fantasia).</t>
  </si>
  <si>
    <t>Modeladora elétrica de massa, com comprimento de rolo menor ou igual a 400 mm, de uso comercial</t>
  </si>
  <si>
    <t>Circuitos / pistas (Circuito ou pista com funcionamento elétrico ou manual, com ou sem disparador).</t>
  </si>
  <si>
    <t>Moedor elétrico de grãos elétrico de uso comercial</t>
  </si>
  <si>
    <t>Coleções de jogos (Caixa com jogos variados).</t>
  </si>
  <si>
    <t>Panela elétrica de uso comercial</t>
  </si>
  <si>
    <t>Contas, anéis ou pirâmides com eixo central (Peças que são empilhadas enfiando-as em eixos ou contas para enfiar em cordão).</t>
  </si>
  <si>
    <t>Processador elétrico de alimentos para uso comercial</t>
  </si>
  <si>
    <t>Cordas de pular (Corda com um cabo/pegada anatômico em cada extremidade da corda utilizada, que facilita o giro da corda. Não são consideradas brinquedo as de uso profissional).</t>
  </si>
  <si>
    <t>Retalhador / Ralador / Picador / Descascador elétrico para uso comercial</t>
  </si>
  <si>
    <t>Cubos e formas para empilhar (Peças que pelos seus tamanhos diferentes se encaixam umas nas outras e podem também ser empilhadas umas sobre as outras).</t>
  </si>
  <si>
    <t>Rolo elétrico de massa para uso comercial</t>
  </si>
  <si>
    <t>Dispenser lúdicos para alimentos (Embalagem, como as comumente utilizadas para doces e balas, com formato lúdico que induza à brincadeira durante e após o consumo).</t>
  </si>
  <si>
    <t>Grupo 3: Aparelhos para cuidado da pele ou cabelo / cortadores de cabelo</t>
  </si>
  <si>
    <t>Embalagens de brinquedos (Embalagens de brinquedos que possuam atividade lúdica posterior ao seu uso principal, como aquelas que se transformam em cenários; quebra-cabeças; bonecos, carrinhos, bichos, bolsas, além dos brinquedos acompanhados de doces em promoções.</t>
  </si>
  <si>
    <t>Aparelho elétrico para permanente de cabelo</t>
  </si>
  <si>
    <t>Embalagens em geral (Embalagens lúdicas com elementos móveis como articulações, rodas ou módulos de som, destinadas às crianças. Elementos lúdicos destacáveis da embalagem principal, que não tenham função de embalar o produto, são considerados brinquedos)..</t>
  </si>
  <si>
    <t>Barbeador elétrico</t>
  </si>
  <si>
    <t>Eletrodomésticos de brinquedo (Aparelhos eletrodomésticos reduzidos com aspecto realístico, sem função real).</t>
  </si>
  <si>
    <t>Chapa térmica elétrica (alisadora / chapinha / prancha)</t>
  </si>
  <si>
    <t>Equipamentos esportivos de brinquedo (Componentes esportivos para brincadeira que simulam os de uso profissional, com dimensões diferentes das medidas padrões).</t>
  </si>
  <si>
    <t>Depilador elétrico</t>
  </si>
  <si>
    <t>Equipamentos modelo playground em tamanho reduzido (Brinquedos similares aos modelos utilizados em playground, infláveis ou confeccionados em plástico, com tamanhos reduzidos para ambiente interno de residências, sem fixação permanente, projetado para a criança..</t>
  </si>
  <si>
    <t>Ferro elétrico de enrolar cabelo</t>
  </si>
  <si>
    <t>Espoletas (Cápsulas inflamáveis utilizadas em alguns brinquedos).</t>
  </si>
  <si>
    <t>Máquina elétrica de corte de cabelo</t>
  </si>
  <si>
    <t>Arco, flecha e catapulta de brinquedo (Brinquedos cujos arcos não tensionados não superem a distância de 1,20 m).</t>
  </si>
  <si>
    <t>Sauna elétrica facial</t>
  </si>
  <si>
    <t>Fantoches ou Marionetes de mão ou de dedo (Brinquedo que ganha movimento de acordo com a manipulação da mão ou do dedo destinados ao uso da criança para brincadeira).</t>
  </si>
  <si>
    <t>Secador elétrico de cabelo</t>
  </si>
  <si>
    <t>Instrumentos de sopro de brinquedo para festas, torcidas e datas comemorativas (Instrumentos de sopro manuais confeccionados para serem usados em eventos esportivos, festas e/ou datas comemorativas).</t>
  </si>
  <si>
    <t>Secador elétrico de mãos / unhas</t>
  </si>
  <si>
    <t>Instrumentos musicais eletrônicos de brinquedo (Teclados, guitarras, baterias eletrônicas, entre outros instrumentos eletrônicos de brinquedo, que não possuam função real).</t>
  </si>
  <si>
    <t>Grupo 4: Máquinas e aparelhos de auto atendimento</t>
  </si>
  <si>
    <t>Instrumentos musicais manuais de brinquedo (Instrumentos musicais que não possuam função real, não permitem afinação e não servem para o aprendizado, com ou sem aspecto lúdico).</t>
  </si>
  <si>
    <t>Dispensador elétrico de moedas</t>
  </si>
  <si>
    <t>Ioiô (Brinquedo constituído de dois discos, de material plástico ou madeira, unidos no centro por um eixo no qual se prende a uma corda).</t>
  </si>
  <si>
    <t>Maleiro elétrico / armário elétrico de bagagem</t>
  </si>
  <si>
    <t>Jogos da sorte (Jogos que utilizam dados).</t>
  </si>
  <si>
    <t>Máquina elétrica de diversão / vídeo game / pinball (fliperama)</t>
  </si>
  <si>
    <t>Jogos de Bilhar, Críquete, Mini Golfe, Pebolim, Futebol de Mesa e assemelhados (Equipamentos destinados à brincadeira, com ou sem motivo lúdico, de uso não profissional).</t>
  </si>
  <si>
    <t>Máquina elétrica de engraxar sapatos</t>
  </si>
  <si>
    <t>Jogos de cartas / famílias (Jogos de baralho, jogos com cartas, baralhos de famílias, baralhos de trunfo destinados ao público infantil).</t>
  </si>
  <si>
    <t>Máquina elétrica de bilhar</t>
  </si>
  <si>
    <t>Jogos de desenho (Brinquedos com tela para desenhar e apagar, brinquedos para reproduzir (pantógrafo) e imitação de fotocópia, jogos com quadros de escrever).</t>
  </si>
  <si>
    <t>Máquina elétrica de boliche</t>
  </si>
  <si>
    <t>Jogos de embutir em plástico (Brinquedo químico destinado à preservação de certos produtos em um material transparente).</t>
  </si>
  <si>
    <t>Máquina elétrica de pesagem</t>
  </si>
  <si>
    <t>Jogo de esmaltagem vítrea (Brinquedo químico que contém materiais de esmaltagem vítrea, os quais depois de adicionados à água são aplicados sobre moldes para obter superfícies lisas, por meio de processo de secagem e aquecimento).</t>
  </si>
  <si>
    <t>Máquina elétrica de preparação e venda de bebidas</t>
  </si>
  <si>
    <t>Jogos de estratégia para crianças (Xadrez, gamão, trilha, xadrez chinês, dama, jogos de estratégias com pistas, entre outros).</t>
  </si>
  <si>
    <t>Máquina elétrica para recarga de cartões</t>
  </si>
  <si>
    <t>Jogos de habilidade e destreza (Jogos com peças para equilibrar e que exigem rapidez nos reflexos).</t>
  </si>
  <si>
    <t>Máquina elétrica para venda de cigarros</t>
  </si>
  <si>
    <t>Jogo de moldagem de gesso (Brinquedo químico que contém mistura de água, gesso e moldes, onde esta mistura é derramada e solidificada para o preparo de gravuras e figuras).</t>
  </si>
  <si>
    <t>Máquina elétrica para venda de comida embalada (snacks) e bebida (refrigerantes, sucos, etc.)</t>
  </si>
  <si>
    <t>Jogo de modelar de PVC plastificado, endurecível em forno (Brinquedo químico destinado à criação de todos os tipos de figuras, broches, adereços, entre outros, por meio de processo de solidificação dentro de forno a temperatura de 100ºC a 130ºC).</t>
  </si>
  <si>
    <t>Máquina elétrica para venda de jornais e/ou produtos de audio e vídeo</t>
  </si>
  <si>
    <t>Jogo de moldagem de plástico (Brinquedo químico destinado à criação de artigos decorativos ou modelos pela fusão de um polímero, por meio de processo de aquecimento em forno de até 180ºC).</t>
  </si>
  <si>
    <t>Máquina elétrica para venda de sorvete / picolé / gelo</t>
  </si>
  <si>
    <t>Jogos de números e letras (Jogos de descoberta de palavras, números e letras).</t>
  </si>
  <si>
    <t>Simulador elétrico de condução</t>
  </si>
  <si>
    <t>Jogos de percurso (Jogos de tabuleiro com percurso a ser percorrido através de indicador por sorteio de dados).</t>
  </si>
  <si>
    <t>Grupo 5: Aparelhos vaporizadores</t>
  </si>
  <si>
    <t>Jogo de revelação de fotografia (Brinquedo químico que contém substâncias para processar filmes de fotografias preto e branco e cópias, destinados a ensinar os princípios básicos da fotografia).</t>
  </si>
  <si>
    <t>Aromatizador elétrico</t>
  </si>
  <si>
    <t>Jogos de simulação, conquistas e interpretação (Jogos de simulação, conquistas e aquisições onde os participantes devem, analisando diversas situações e fazendo uso de estratégias pessoais, tomar decisões para conquistar territórios, adquirir bens ou imóveis.</t>
  </si>
  <si>
    <t>Repelente elétrico de insetos (Vaporizador)</t>
  </si>
  <si>
    <t>Jogos de sociedade (Jogos para vários participantes, com regras pré-fixadas).</t>
  </si>
  <si>
    <t>Grupo 6: Aparelho exterminador de insetos</t>
  </si>
  <si>
    <t>Jogos de sorte ou azar (Jogos de lançamento de dados, cara-ou-coroa, bingos, roletas, entre outros).</t>
  </si>
  <si>
    <t>Exterminador elétrico de insetos (excluídos os de vapores químicos)</t>
  </si>
  <si>
    <t>Jogo de vídeo portátil (Jogo portátil – sem console – de videogame com tensão de até 24 volts).</t>
  </si>
  <si>
    <t>Grupo 7: Máquinas e aparelhos de uso comercial e industrial</t>
  </si>
  <si>
    <t>Jogos enciclopédicos (Jogos que envolvem o conhecimento de temas variados).</t>
  </si>
  <si>
    <t>Aspirador de pó elétrico (seco e úmido) para uso comercial e industrial</t>
  </si>
  <si>
    <t>Jogos químicos (Brinquedo que contém uma ou mais substâncias químicas e preparados, com ou sem equipamento, destinado a realizar experimentos químicos. Englobam-se neste conceito as áreas de mineralogia, biologia, física, microscopia e ciências ambientais.</t>
  </si>
  <si>
    <t>Máquina elétrica de tratamento e/ou limpeza de piso para uso comercial e industrial</t>
  </si>
  <si>
    <t>Jogo químico suplementar (Conjunto de substâncias químicas destinado a ser usado em suplemento a um jogo químico completo).</t>
  </si>
  <si>
    <t>Máquina elétrica para limpeza de carpete com spray para uso comercial e industrial</t>
  </si>
  <si>
    <t>Jogos sociais de estratégia, com merchandising de marcas do universo adulto (Jogos de tabuleiro destinado para às crianças, com imagens de marcas/logos, a exemplos de lojas, bancos e cartões de crédito, que representam explicitamente o universo de consumo.</t>
  </si>
  <si>
    <t>Grupo 8: Aparelhos de Jardinagem</t>
  </si>
  <si>
    <t>Kits para montagem (Brinquedos com todas as partes e peças necessárias para montar um produto final, a exemplo de bijuterias e roupas de bonecas).</t>
  </si>
  <si>
    <t>Assoprador elétrico para a limpeza de jardins</t>
  </si>
  <si>
    <t>Lanternas com imagens (Lanternas com motivo lúdico que projetem ou não imagens).</t>
  </si>
  <si>
    <t>Cortador elétrico / aparador elétrico de grama</t>
  </si>
  <si>
    <t>Livros brinquedos (com atividades lúdicas posteriores ao seu uso principal), livros de banho; livros de EVA, livros infláveis; livros de tecido; livros cenários cujas páginas sejam compostas por figuras destacáveis que dobradas podem ficar em pé..</t>
  </si>
  <si>
    <t>Roçadeira elétrica / Escarificador elétrico</t>
  </si>
  <si>
    <t>Lousas / quadros mágicos, verdes e negros de brinquedo (Quadros portáteis com massa de até 1,5 kg, com ou sem motivo lúdico, acompanhados ou não de acessórios como apagador, giz e canetas).</t>
  </si>
  <si>
    <t>Tesoura elétrica para corte de grama</t>
  </si>
  <si>
    <t>Maquiagem de boneca (Maquiagem destinada ao uso em bonecas).</t>
  </si>
  <si>
    <t>Grupo 9: Aparelhos de toalete</t>
  </si>
  <si>
    <t>Massa de modelar (Brinquedos que funcionem ou acompanhem massa de modelar).</t>
  </si>
  <si>
    <t>Aquecedor elétrico de água para ducha ou chuveiro</t>
  </si>
  <si>
    <t>Máscaras (Máscaras infantis destinadas a cobrir a face ou parte dela. Excluem-se as máscaras faciais ou semifaciais descartáveis, predominantemente de papel ou papelão, coloridas ou com motivos infantis).</t>
  </si>
  <si>
    <t>Assento elétrico aquecido para banheiro</t>
  </si>
  <si>
    <t>Miniaturas de figuras simples (Animais, soldadinhos, bichos, super-heróis, personagens de fantasia ou de temas históricos (cujas dimensões respeitem o gabarito de partes pequenas)).</t>
  </si>
  <si>
    <t>Cabine elétrica multifuncional de banho</t>
  </si>
  <si>
    <t>Móbiles (Brinquedos utilizados para estimular a percepção visual dos bebês, fixados em berço, carrinho de bebê e cercado, geralmente com bichinhos, esferas ou figuras enfiadas em cordão, com ou sem som).</t>
  </si>
  <si>
    <t>Dispensador elétrico de papel-toalha / papel higiênico</t>
  </si>
  <si>
    <t>Modelos técnicos para montar (Kits com partes e peças para montar ambientes, veículos, dinossauros e maquetes).</t>
  </si>
  <si>
    <t>Dispensador elétrico de sabão</t>
  </si>
  <si>
    <t>Móveis de brinquedo (Móveis destinados à brincadeira, projetados para que suportem a massa de uma criança, com ou sem motivo lúdico, geralmente imitando móveis de casa ou escola, confeccionados em escala reduzida quando comparado ao tamanho original).</t>
  </si>
  <si>
    <t>Pressurizador elétrico para banheiro</t>
  </si>
  <si>
    <t>Mordedor (Brinquedo projetado para ser levado à boca (uso oral), com ou sem líquido em seu interior, e destinado primariamente para alívio sintomático do desconforto do início da dentição).</t>
  </si>
  <si>
    <t>Grupo 10: Aparelhos umidificadores</t>
  </si>
  <si>
    <t>Mosaicos (Peças geométricas ou pinos, em madeira, MDF ou plástico, coloridos, utilizados para formar figuras).</t>
  </si>
  <si>
    <t>Umidificador elétrico com uso associado com aquecimento, ventilação ou sistema de ar condicionado.</t>
  </si>
  <si>
    <t>Naninhas (Produto confeccionado em tecido ou material macio, acompanhado de um objeto lúdico a exemplo da cabeça de um personagem ou bichinho).</t>
  </si>
  <si>
    <t>Umidificador elétrico</t>
  </si>
  <si>
    <t>Objetos voadores (Pipas, bumerangues de brinquedo, pequenos aviões simples com linha, entre outros brinquedos que são colocados para voar).</t>
  </si>
  <si>
    <t>Grupo 11: Motores e comandos elétricos</t>
  </si>
  <si>
    <t>Obstáculos e percursos (Brinquedos, com ou sem obstáculos, com tapetes plásticos, de tecido ou emborrachado, que possuam percursos, letras, animais, números, personagens, entre outras atividades lúdicas).</t>
  </si>
  <si>
    <t>Motor elétrico para portão de garagem</t>
  </si>
  <si>
    <t>Patinete (Veículo infantil de uso não profissional que consiste numa tábua montada em duas ou mais rodas e munida de haste de direção, projetado para crianças de até 14 (quatorze) anos, independente da carga máxima que suporta. Os elétricos, que funcionam..</t>
  </si>
  <si>
    <t>Comando elétrico ou motor elétrico para portas / Portas dobráveis / Portas giratórias / Portas de rolamento / Janelas / Clarabóias / Coberturas móveis e similares</t>
  </si>
  <si>
    <t>Patins ou roller de brinquedo (Calçado munido na sola de lâmina metálica (para deslizar no gelo) ou de rodinhas (para rolar sobre pavimento liso), de uso não profissional, independente da carga máxima que suporta).</t>
  </si>
  <si>
    <t>Comando elétrico ou motor elétrico para toldos / Cortinas / Grades / Telas de projeção / Venezianas e similares</t>
  </si>
  <si>
    <t>Peças de brinquedo para cabelo e bijuterias (Conjunto com peças para as crianças confeccionarem bijuterias; peças de brinquedo para cabelo (mini pente, escova, espelho – verdadeiro ou imitação – com ou sem motivo lúdico)).</t>
  </si>
  <si>
    <t>Grupo 12: Máquinas e aparelhos para uso com animais</t>
  </si>
  <si>
    <t>Petecas (Artefato esportivo constituído de uma base que concentra quase todo o seu peso, geralmente feita de borracha, e uma extensão mais leve, normalmente constituída de penas naturais ou sintéticas. Não é considerado brinquedo a peteca destinada a uso adulto..</t>
  </si>
  <si>
    <t>Alimentador elétrico de ração animal</t>
  </si>
  <si>
    <t>Pernas de pau de brinquedo (Equipamento que altera a estatura normal da criança, e permite locomoção com o equilíbrio sobre as pernas, destinado a brincadeiras. Exceto extensores de perna para esportes).</t>
  </si>
  <si>
    <t>Aparelho elétrico de aquecimento para criação e reprodução animal</t>
  </si>
  <si>
    <t>Personagens do universo infantil (Super-heróis, personagens de desenho animados, artistas e atletas famosos entre o público infanto-juvenil, com ou sem articulações, com ou sem base fixa que não possa ser retirada sem o auxílio de uma ferramenta).</t>
  </si>
  <si>
    <t>Equipamento elétrico para choque em animais</t>
  </si>
  <si>
    <t>Pião (Brinquedo em formato de pera que gira ao ser lançado com o auxílio de um fio ou friccionado). Nota: Com exceção dos piões profissionais com ponteiras de metal. Neste caso, o produto deve exibir a legenda: ADVERTÊNCIA! ESTE PRODUTO NÃO É UM BRINQUEDO..</t>
  </si>
  <si>
    <t>Ferramenta elétrica de corte de chifres (descornar)</t>
  </si>
  <si>
    <t>Pingue-pongue, jogo de tênis e raquetes de praia de brinquedo (Conjunto de raquetes, rede e bola de brinquedo para pingue-pongue, jogo de tênis e jogos com raquetes de praia que não sejam de uso profissional).</t>
  </si>
  <si>
    <t>Máquina elétrica de ordenha</t>
  </si>
  <si>
    <t>Pipa (Brinquedo inteiro ou kit para montar uma pipa).</t>
  </si>
  <si>
    <t>Máquina elétrica de pescaria</t>
  </si>
  <si>
    <t>Piscina ou banheira inflável infantil (Piscina ou banheira inflável com lâmina d’água de até 30 cm de altura, com ou sem motivo lúdico).</t>
  </si>
  <si>
    <t>Grupo 13: Ferramentas</t>
  </si>
  <si>
    <t>Pistola d’água (Arma com motivo lúdico, utilizada para a criança lançar água com fins de brincadeira).</t>
  </si>
  <si>
    <t>Alicate descascador elétrico</t>
  </si>
  <si>
    <t>Prendedor de chupeta (Prendedores que constituem um brinquedo, a exemplo da cabeça de um personagem ou bichinho).</t>
  </si>
  <si>
    <t>Decapante (descascador) elétrico de tinta</t>
  </si>
  <si>
    <t>Quadros de atividades para berços (Quadros com peças coloridas, de formas diversas, espelhos inquebráveis, guizos, sinos, peças que correm em trilho, janelinhas que se abrem para colocar no berço).</t>
  </si>
  <si>
    <t>Ferramenta elétrica de corte de plástico</t>
  </si>
  <si>
    <t>Relógios de brinquedo (Relógios comuns ou de pulso que permitam a interação com a criança, ou seja, que contenham função de brincadeira ou que possuam peças que se soltem ao manusear).</t>
  </si>
  <si>
    <t>Ferramenta elétrica de marcação (gravação)</t>
  </si>
  <si>
    <t>Skate de brinquedo (Veículo que consiste em pequena prancha (shape) com rodinhas, voltados para o público infantil, de uso não profissional, independente da carga máxima que suporta).</t>
  </si>
  <si>
    <t>Ferramenta elétrica de solda de conduite</t>
  </si>
  <si>
    <t>Tapetes lúdicos (Tapetes, inteiros ou de encaixe, com ou sem móbiles musicais, destinados ao uso por crianças da primeira infância, cuja função seja para a criança deitar, brincar ou interagir, com exceção para os tapetes lisos, inteiros ou de encaixe).</t>
  </si>
  <si>
    <t>Ferro / pistola elétrica de solda</t>
  </si>
  <si>
    <t>Tatuagens temporárias para crianças (Tatuagem adesiva temporária para a pele, a exemplo das que acompanham embalagens de alimentos ou chicletes).</t>
  </si>
  <si>
    <t>Pistola elétrica de ar quente</t>
  </si>
  <si>
    <t>Vant / Drones (Veículos aéreos não tripuláveis controlados por controle remoto com até 250 gramas e sem câmera).</t>
  </si>
  <si>
    <t>Pistola elétrica de cola quente</t>
  </si>
  <si>
    <t>Veículos com pedais, triciclos, karts e “tico-ticos” (Veículos com pedais imitando o real, motos e bicicletas com três rodas e karts para crianças).</t>
  </si>
  <si>
    <t>Pistola elétrica de dessoldar</t>
  </si>
  <si>
    <t>Veículos elétricos ou a bateria no tamanho da criança (Veículos elétricos para serem guiados pela criança, movidos à bateria ou pilha).</t>
  </si>
  <si>
    <t>Selador / soldador elétrico de plástico</t>
  </si>
  <si>
    <t>Veículos para encher e esvaziar (Veículos para a criança empurrar ou puxar que permita encher e esvaziar seu interior).</t>
  </si>
  <si>
    <t>Grupo 14: Aparelhos para higiene Oral</t>
  </si>
  <si>
    <t>Veículos sem pedais (Carrinhos baixos sem pedais que se movimentam pelo impulso dos pés das crianças. Excluem-se desta definição as bicicletas sem pedais).</t>
  </si>
  <si>
    <t>Escova de dentes elétrica</t>
  </si>
  <si>
    <t>Quadro branco (Quadro portátil com motivo lúdico).</t>
  </si>
  <si>
    <t>Irrigador oral elétrico</t>
  </si>
  <si>
    <t>Quebra-cabeças ou puzzels(Brinquedo com peças que se encaixam para construir uma imagem bidimensional ou tridimensional com até 500 peças).</t>
  </si>
  <si>
    <t>Grupo 15: Aparelhos para limpeza</t>
  </si>
  <si>
    <t>Aparelho elétrico para limpeza à vapor de superfícies</t>
  </si>
  <si>
    <t>Aparelho elétrico para sucção de lama de aquário e similares (fontes, lâminas d'água...)</t>
  </si>
  <si>
    <t>Aspirador de pó elétrico / Vassoura elétrica</t>
  </si>
  <si>
    <t>Limpador elétrico por alta pressão ou por vapor</t>
  </si>
  <si>
    <t>Máquina elétrica para limpeza de estofamento / Máquina elétrica para limpeza de carpetes</t>
  </si>
  <si>
    <t>Máquina elétrica para limpeza de tecidos à vapor</t>
  </si>
  <si>
    <t>Grupo 16: Aparelhos para aquecimento</t>
  </si>
  <si>
    <t>Aparelho elétrico para aquecimento de sauna</t>
  </si>
  <si>
    <t>Aquecedor elétrico de ambiente</t>
  </si>
  <si>
    <t>Aquecedor elétrico de camas d’água</t>
  </si>
  <si>
    <t>Aquecedor elétrico de piso acarpetado</t>
  </si>
  <si>
    <t>Aquecedor elétrico fixo ou portátil de imersão</t>
  </si>
  <si>
    <t>Aquecedor elétrico para aquários e similares (fontes, lâminas d'água...)</t>
  </si>
  <si>
    <t>Aquecedor elétrico para dreno de telhado</t>
  </si>
  <si>
    <t>Aquecedor elétrico para estufa</t>
  </si>
  <si>
    <t>Aquecedor para óleo e gás com conexão elétrica</t>
  </si>
  <si>
    <t>Folha / Chapa flexível para aquecimento de ambientes</t>
  </si>
  <si>
    <t>Grupo 17: Outros aparelhos domésticos</t>
  </si>
  <si>
    <t>Carregador de pilhas e baterias (A, AA, AAA, C, D, 9V e 12 V)</t>
  </si>
  <si>
    <t>Churrasqueira elétrica para uso externo</t>
  </si>
  <si>
    <t>Cobertor / Lençol elétrico</t>
  </si>
  <si>
    <t>Desumidificador elétrico</t>
  </si>
  <si>
    <t>Eletrificador de cercas</t>
  </si>
  <si>
    <t>Enceradeira / Polidora elétrica</t>
  </si>
  <si>
    <t>Ferro elétrico de passar roupa</t>
  </si>
  <si>
    <t>Filtro e/ou ionizador elétrico de ar</t>
  </si>
  <si>
    <t>Máquina elétrica de costura</t>
  </si>
  <si>
    <t>Piso elétrico aquecido</t>
  </si>
  <si>
    <t>Relógio elétrico / Despertador elétrico (excluído rádio-relógio)</t>
  </si>
  <si>
    <t>Trituradores elétrico de lixo alimentar</t>
  </si>
  <si>
    <t>Cód. de Barras</t>
  </si>
  <si>
    <t>Qtd</t>
  </si>
  <si>
    <t>Etiqueta</t>
  </si>
  <si>
    <t>ETA CD</t>
  </si>
  <si>
    <t>Retrabalho</t>
  </si>
  <si>
    <t>Urgentes</t>
  </si>
  <si>
    <t>Finalizado?</t>
  </si>
  <si>
    <t>Data</t>
  </si>
  <si>
    <t>Qtde de pessoas necessárias</t>
  </si>
  <si>
    <t>Custo total</t>
  </si>
  <si>
    <t>LOCAL</t>
  </si>
  <si>
    <t>1570_SZ</t>
  </si>
  <si>
    <t>PI3754Y</t>
  </si>
  <si>
    <t>ALMOFADA FELINISTA MISTICA</t>
  </si>
  <si>
    <t>Link Phrases and Stamps</t>
  </si>
  <si>
    <t>Concluído</t>
  </si>
  <si>
    <t>Inclusão de Tag do certificado (com pistola)</t>
  </si>
  <si>
    <t>LY2423</t>
  </si>
  <si>
    <t>ALMOFADA CHAVEIRO POMPETS MAISA</t>
  </si>
  <si>
    <t>LY2418</t>
  </si>
  <si>
    <t>ALMOFADA CHAVEIRO POMPETS GATA ABELHA</t>
  </si>
  <si>
    <t>LY2419</t>
  </si>
  <si>
    <t>ALMOFADA CHAVEIRO POMPETS GATA BORBOLETA</t>
  </si>
  <si>
    <t>LY2420</t>
  </si>
  <si>
    <t>ALMOFADA CHAVEIRO POMPETS GATA JOANINHA</t>
  </si>
  <si>
    <t>LY2421</t>
  </si>
  <si>
    <t>ALMOFADA CHAVEIRO POMPETS GATA LIBELULA</t>
  </si>
  <si>
    <t>LY2416</t>
  </si>
  <si>
    <t>ALMOFADA CHAVEIRO POMPETS AMIGAS ROSA</t>
  </si>
  <si>
    <t>LY2417</t>
  </si>
  <si>
    <t>ALMOFADA CHAVEIRO POMPETS AMIGAS PRETO</t>
  </si>
  <si>
    <t>LY2318</t>
  </si>
  <si>
    <t>COPO COM CANUDO POMPETS  GATA ABELHA</t>
  </si>
  <si>
    <t>Retirada da almofada da embalagem para Inclusão de Tag do certificado com pistola</t>
  </si>
  <si>
    <t>LY2319</t>
  </si>
  <si>
    <t>COPO COM CANUDO POMPETS  GATA BORBOLETA</t>
  </si>
  <si>
    <t>LY2320</t>
  </si>
  <si>
    <t>COPO COM CANUDO POMPETS  GATA JOANINHA</t>
  </si>
  <si>
    <t>LY2321</t>
  </si>
  <si>
    <t>COPO COM CANUDO POMPETS  GATA LIBELULA</t>
  </si>
  <si>
    <t>LY2385</t>
  </si>
  <si>
    <t>COPO CANUDO POMPETS AMIGAS TAMPA ROSA</t>
  </si>
  <si>
    <t>LY2386</t>
  </si>
  <si>
    <t>COPO CANUDO POMPETS AMIGAS TAMPA PRETO</t>
  </si>
  <si>
    <t>1574_NB</t>
  </si>
  <si>
    <t>LY2411</t>
  </si>
  <si>
    <t>BOIA LHAMA</t>
  </si>
  <si>
    <t>Inclusão de Tag do certificado (Não específicado)</t>
  </si>
  <si>
    <t>1583_SH</t>
  </si>
  <si>
    <t>LY2424</t>
  </si>
  <si>
    <t>ALMOFADA MANIA FOFA CACHORRO BINGO</t>
  </si>
  <si>
    <t>Inclusão de Tag do certificado (Sticker)</t>
  </si>
  <si>
    <t>LY2425</t>
  </si>
  <si>
    <t>ALMOFADA MANIA FOFA GATA CATI</t>
  </si>
  <si>
    <t>LY2426</t>
  </si>
  <si>
    <t>ALMOFADA MANIA FOFA URSO CACAU</t>
  </si>
  <si>
    <t>1606_SH</t>
  </si>
  <si>
    <t>LY2511 </t>
  </si>
  <si>
    <t>ALMOFADA HP EDWIGES</t>
  </si>
  <si>
    <t>Concluído (etiquetagem na origem</t>
  </si>
  <si>
    <t>Possível necessidade de Inclusão de Etiqueta caso registro não saia a tempo da conclusão da produção em massa</t>
  </si>
  <si>
    <t>1612_SZ</t>
  </si>
  <si>
    <t>PI3876Y</t>
  </si>
  <si>
    <t>Carregador Wireless</t>
  </si>
  <si>
    <t>Inclusão de Etiqueta do certificado no produto</t>
  </si>
  <si>
    <t>1605_XI</t>
  </si>
  <si>
    <t>LY2515</t>
  </si>
  <si>
    <t>LANCHEIRA EFEITO 3D HP HOGWARTS EXPRESS</t>
  </si>
  <si>
    <t>Já Finalizada</t>
  </si>
  <si>
    <t>1642_NB</t>
  </si>
  <si>
    <t>PI4113Y</t>
  </si>
  <si>
    <t>MINILIQUIDIFICADOR MEXE COMIGO 127V</t>
  </si>
  <si>
    <t>IBAMA - Estimado para 10/02</t>
  </si>
  <si>
    <t>Inclusão de Etiqueta INMETRO e IBAMA na embalagem do produto</t>
  </si>
  <si>
    <t>Prioridade Faturamento</t>
  </si>
  <si>
    <t>PI4114Y</t>
  </si>
  <si>
    <t>MINILIQUIDIFICADOR MEXE COMIGO 220V</t>
  </si>
  <si>
    <t>PI4094Y</t>
  </si>
  <si>
    <t>MINILIQUIDIFICADOR TUDO JUNTO 127V</t>
  </si>
  <si>
    <t>PI4095Y</t>
  </si>
  <si>
    <t>MINILIQUIDIFICADOR TUDO JUNTO 220V</t>
  </si>
  <si>
    <t>1641_SZ</t>
  </si>
  <si>
    <t xml:space="preserve">PI4145Y </t>
  </si>
  <si>
    <t>Já solicitada</t>
  </si>
  <si>
    <t>Inclusão de Etiqueta do certificado no produto, manual e na embalagem</t>
  </si>
  <si>
    <t>1647_XI</t>
  </si>
  <si>
    <t>PI3795Y</t>
  </si>
  <si>
    <t>ESTOJO DIVISORIAS HP LIVRO MONSTRUOSO</t>
  </si>
  <si>
    <t>Já encomendada (03/01/20) 009898/2019</t>
  </si>
  <si>
    <t>Inclusão de Etiqueta do certificado</t>
  </si>
  <si>
    <t>1656_SH</t>
  </si>
  <si>
    <t>Aguardando emissão do Nº de Registro - Data limite Orquestra para emissão: 21/02</t>
  </si>
  <si>
    <t>Prioridade 2 para pascoa</t>
  </si>
  <si>
    <t>1664_NB</t>
  </si>
  <si>
    <t>Solicitada no Apollo</t>
  </si>
  <si>
    <t>Prioridade 1 para pascoa</t>
  </si>
  <si>
    <t>1665_SZ</t>
  </si>
  <si>
    <t>Já impressa no CD</t>
  </si>
  <si>
    <t>1673_SZ</t>
  </si>
  <si>
    <t xml:space="preserve">PI4219Y </t>
  </si>
  <si>
    <t>Já Comprada, já se encontra no CD (marcação +3)</t>
  </si>
  <si>
    <t>Já Comprada, já se encontra no CD (marcação +4)</t>
  </si>
  <si>
    <t>Compra Solicitada 28/04</t>
  </si>
  <si>
    <t>GH-05 (Kit carregador indutivo + veicular) - PI4306Y</t>
  </si>
  <si>
    <t>Compra solicitada, etiquetas produtzidas, aguardando chegada</t>
  </si>
  <si>
    <t>ORGANIZADOR E CARREGADOR SEM FIO CORTICA
DESK ORGANIZER WITH CHARGER CORK</t>
  </si>
  <si>
    <t>Compra solicitada, etiquetas produzidas, aguardando chegada</t>
  </si>
  <si>
    <t>CANETA HP VARINHA HARRY</t>
  </si>
  <si>
    <t>Compra não solicitada, aguardando nº de registro pelo INMETRO</t>
  </si>
  <si>
    <t>1747_SZ A</t>
  </si>
  <si>
    <t>Etiqueta ANATEL na embalagem do produto / Etiqueta ANATEL no manual do produto</t>
  </si>
  <si>
    <t xml:space="preserve">1747_SZ C	</t>
  </si>
  <si>
    <t xml:space="preserve">CESTA DE PICNIC COM AMPLIFICADOR CESTOU	</t>
  </si>
  <si>
    <t xml:space="preserve">1762_SZ </t>
  </si>
  <si>
    <t xml:space="preserve">LUMINARIA CARREGADOR SEM FIO OFFICE
</t>
  </si>
  <si>
    <t>Será encaminhada para SC amanhã</t>
  </si>
  <si>
    <t>Finalizado, faltaram 7 unidades</t>
  </si>
  <si>
    <t>1807_SZ</t>
  </si>
  <si>
    <t>CARREGADOR SEM FIO BEATLES HELP</t>
  </si>
  <si>
    <t>Etiqueta está na Qualidade</t>
  </si>
  <si>
    <t>CARREGADOR SEM FIO FRIENDS SOFA</t>
  </si>
  <si>
    <t>Solicitado etiqueta para gráfica</t>
  </si>
  <si>
    <t>PKT-W2210-SZ</t>
  </si>
  <si>
    <t>Lanterna projetor Multi Bichos Verde Água</t>
  </si>
  <si>
    <t>Etiqueta entregue na Qualidade 07/02</t>
  </si>
  <si>
    <t>1881_NB</t>
  </si>
  <si>
    <t>Inclusão de Etiqueta do certificado na embalagem do produto</t>
  </si>
  <si>
    <t>PKT-S2312-SZ</t>
  </si>
  <si>
    <t>Entregue na Qualidade</t>
  </si>
  <si>
    <t>Inclusão da etiqueta Inmetro na TAG do produto.</t>
  </si>
  <si>
    <t>PKT-HS2301-SZ</t>
  </si>
  <si>
    <t>1998_QI</t>
  </si>
  <si>
    <t>Entregue na Qualidade - 04/10/2022</t>
  </si>
  <si>
    <t>Inclusão da etiqueta adesiva, com informações de certificação Inmetro, na TAG do produto.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</si>
</sst>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mmmm/d"/>
    <numFmt numFmtId="166" formatCode="mmmm/yyyy"/>
    <numFmt numFmtId="167" formatCode="dd/MM/yyyy"/>
    <numFmt numFmtId="168" formatCode="d/m/yyyy"/>
    <numFmt numFmtId="169" formatCode="[$R$ -416]#,##0.00"/>
    <numFmt numFmtId="170" formatCode="yyyy.m.d"/>
    <numFmt numFmtId="171" formatCode="dd&quot;/&quot;mm&quot;/&quot;yyyy"/>
  </numFmts>
  <fonts count="51">
    <font>
      <sz val="10.0"/>
      <color rgb="FF000000"/>
      <name val="Arial"/>
      <scheme val="minor"/>
    </font>
    <font>
      <color theme="1"/>
      <name val="Arial"/>
      <scheme val="minor"/>
    </font>
    <font>
      <color theme="1"/>
      <name val="Arial"/>
    </font>
    <font>
      <b/>
      <sz val="9.0"/>
      <color theme="1"/>
      <name val="Trebuchet MS"/>
    </font>
    <font>
      <b/>
      <sz val="9.0"/>
      <color rgb="FF000000"/>
      <name val="&quot;Trebuchet MS&quot;"/>
    </font>
    <font>
      <sz val="9.0"/>
      <color rgb="FF000000"/>
      <name val="Trebuchet MS"/>
    </font>
    <font>
      <u/>
      <sz val="9.0"/>
      <color rgb="FF000000"/>
      <name val="Trebuchet MS"/>
    </font>
    <font>
      <sz val="9.0"/>
      <color theme="1"/>
      <name val="Trebuchet MS"/>
    </font>
    <font>
      <sz val="9.0"/>
      <color rgb="FFFF0000"/>
      <name val="Trebuchet MS"/>
    </font>
    <font>
      <b/>
      <sz val="9.0"/>
      <color rgb="FF38761D"/>
      <name val="Trebuchet MS"/>
    </font>
    <font>
      <sz val="9.0"/>
      <color rgb="FF222222"/>
      <name val="Trebuchet MS"/>
    </font>
    <font>
      <u/>
      <sz val="9.0"/>
      <color rgb="FF0000FF"/>
      <name val="Trebuchet MS"/>
    </font>
    <font>
      <b/>
      <sz val="9.0"/>
      <color rgb="FF000000"/>
      <name val="Trebuchet MS"/>
    </font>
    <font>
      <sz val="9.0"/>
      <color rgb="FF000000"/>
      <name val="&quot;Trebuchet MS&quot;"/>
    </font>
    <font>
      <color theme="1"/>
      <name val="Calibri"/>
    </font>
    <font>
      <u/>
      <color rgb="FF0000FF"/>
      <name val="Calibri"/>
    </font>
    <font>
      <u/>
      <sz val="9.0"/>
      <color rgb="FF0000FF"/>
      <name val="Trebuchet MS"/>
    </font>
    <font>
      <sz val="9.0"/>
      <color theme="1"/>
      <name val="&quot;Trebuchet MS&quot;"/>
    </font>
    <font>
      <b/>
      <color theme="1"/>
      <name val="Calibri"/>
    </font>
    <font>
      <sz val="11.0"/>
      <color rgb="FF000000"/>
      <name val="Calibri"/>
    </font>
    <font>
      <b/>
      <color rgb="FF38761D"/>
      <name val="Calibri"/>
    </font>
    <font>
      <b/>
      <color theme="1"/>
      <name val="Arial"/>
      <scheme val="minor"/>
    </font>
    <font>
      <color rgb="FF222222"/>
      <name val="Arial"/>
    </font>
    <font>
      <color rgb="FFFF0000"/>
      <name val="Arial"/>
      <scheme val="minor"/>
    </font>
    <font>
      <b/>
      <color rgb="FF38761D"/>
      <name val="Arial"/>
      <scheme val="minor"/>
    </font>
    <font>
      <color rgb="FF000000"/>
      <name val="Arial"/>
      <scheme val="minor"/>
    </font>
    <font>
      <b/>
      <color rgb="FFFF0000"/>
      <name val="Arial"/>
      <scheme val="minor"/>
    </font>
    <font>
      <b/>
      <sz val="10.0"/>
      <color theme="1"/>
      <name val="Trebuchet MS"/>
    </font>
    <font/>
    <font>
      <sz val="8.0"/>
      <color theme="1"/>
      <name val="Trebuchet MS"/>
    </font>
    <font>
      <b/>
      <sz val="8.0"/>
      <color theme="1"/>
      <name val="Trebuchet MS"/>
    </font>
    <font>
      <b/>
      <sz val="8.0"/>
      <color rgb="FF000000"/>
      <name val="Trebuchet MS"/>
    </font>
    <font>
      <sz val="8.0"/>
      <color rgb="FF000000"/>
      <name val="Trebuchet MS"/>
    </font>
    <font>
      <u/>
      <sz val="8.0"/>
      <color rgb="FF1155CC"/>
      <name val="Trebuchet MS"/>
    </font>
    <font>
      <b/>
      <sz val="12.0"/>
      <color rgb="FFFFFFFF"/>
      <name val="Arial"/>
      <scheme val="minor"/>
    </font>
    <font>
      <b/>
      <u/>
      <sz val="14.0"/>
      <color rgb="FFFFFFFF"/>
    </font>
    <font>
      <b/>
      <sz val="14.0"/>
      <color rgb="FF18CA69"/>
      <name val="Arial"/>
      <scheme val="minor"/>
    </font>
    <font>
      <b/>
      <sz val="14.0"/>
      <color rgb="FFFFFFFF"/>
      <name val="Arial"/>
      <scheme val="minor"/>
    </font>
    <font>
      <sz val="11.0"/>
      <color rgb="FFFFFFFF"/>
      <name val="Arial"/>
    </font>
    <font>
      <color rgb="FF000000"/>
      <name val="Arial"/>
    </font>
    <font>
      <b/>
      <sz val="14.0"/>
      <color rgb="FF000000"/>
      <name val="Arial"/>
      <scheme val="minor"/>
    </font>
    <font>
      <sz val="11.0"/>
      <color theme="1"/>
      <name val="Arial"/>
    </font>
    <font>
      <strike/>
      <color rgb="FF000000"/>
      <name val="Arial"/>
    </font>
    <font>
      <b/>
      <sz val="11.0"/>
      <color rgb="FFFFFFFF"/>
      <name val="Arial"/>
    </font>
    <font>
      <b/>
      <sz val="11.0"/>
      <color theme="1"/>
      <name val="Arial"/>
    </font>
    <font>
      <b/>
      <sz val="10.0"/>
      <color rgb="FF000000"/>
      <name val="Trebuchet MS"/>
    </font>
    <font>
      <b/>
      <sz val="10.0"/>
      <color rgb="FFFFFFFF"/>
      <name val="Trebuchet MS"/>
    </font>
    <font>
      <sz val="10.0"/>
      <color theme="1"/>
      <name val="Trebuchet MS"/>
    </font>
    <font>
      <sz val="10.0"/>
      <color rgb="FF000000"/>
      <name val="Trebuchet MS"/>
    </font>
    <font>
      <sz val="10.0"/>
      <color theme="1"/>
      <name val="Arial"/>
      <scheme val="minor"/>
    </font>
    <font>
      <sz val="10.0"/>
      <color rgb="FF222222"/>
      <name val="Roboto"/>
    </font>
  </fonts>
  <fills count="61">
    <fill>
      <patternFill patternType="none"/>
    </fill>
    <fill>
      <patternFill patternType="lightGray"/>
    </fill>
    <fill>
      <patternFill patternType="solid">
        <fgColor rgb="FFA2C4C9"/>
        <bgColor rgb="FFA2C4C9"/>
      </patternFill>
    </fill>
    <fill>
      <patternFill patternType="solid">
        <fgColor rgb="FFF6B26B"/>
        <bgColor rgb="FFF6B26B"/>
      </patternFill>
    </fill>
    <fill>
      <patternFill patternType="solid">
        <fgColor rgb="FFFFFFFF"/>
        <bgColor rgb="FFFFFFFF"/>
      </patternFill>
    </fill>
    <fill>
      <patternFill patternType="solid">
        <fgColor rgb="FFFFF2CC"/>
        <bgColor rgb="FFFFF2CC"/>
      </patternFill>
    </fill>
    <fill>
      <patternFill patternType="solid">
        <fgColor rgb="FFF3F3F3"/>
        <bgColor rgb="FFF3F3F3"/>
      </patternFill>
    </fill>
    <fill>
      <patternFill patternType="solid">
        <fgColor rgb="FFD5A6BD"/>
        <bgColor rgb="FFD5A6BD"/>
      </patternFill>
    </fill>
    <fill>
      <patternFill patternType="solid">
        <fgColor rgb="FFFCE5CD"/>
        <bgColor rgb="FFFCE5CD"/>
      </patternFill>
    </fill>
    <fill>
      <patternFill patternType="solid">
        <fgColor theme="0"/>
        <bgColor theme="0"/>
      </patternFill>
    </fill>
    <fill>
      <patternFill patternType="solid">
        <fgColor rgb="FFA4C2F4"/>
        <bgColor rgb="FFA4C2F4"/>
      </patternFill>
    </fill>
    <fill>
      <patternFill patternType="solid">
        <fgColor rgb="FFFFE599"/>
        <bgColor rgb="FFFFE599"/>
      </patternFill>
    </fill>
    <fill>
      <patternFill patternType="solid">
        <fgColor rgb="FF6D9EEB"/>
        <bgColor rgb="FF6D9EEB"/>
      </patternFill>
    </fill>
    <fill>
      <patternFill patternType="solid">
        <fgColor rgb="FFFFFF00"/>
        <bgColor rgb="FFFFFF00"/>
      </patternFill>
    </fill>
    <fill>
      <patternFill patternType="solid">
        <fgColor rgb="FFC9DAF8"/>
        <bgColor rgb="FFC9DAF8"/>
      </patternFill>
    </fill>
    <fill>
      <patternFill patternType="solid">
        <fgColor rgb="FF93C47D"/>
        <bgColor rgb="FF93C47D"/>
      </patternFill>
    </fill>
    <fill>
      <patternFill patternType="solid">
        <fgColor rgb="FF6AA84F"/>
        <bgColor rgb="FF6AA84F"/>
      </patternFill>
    </fill>
    <fill>
      <patternFill patternType="solid">
        <fgColor rgb="FF000000"/>
        <bgColor rgb="FF000000"/>
      </patternFill>
    </fill>
    <fill>
      <patternFill patternType="solid">
        <fgColor rgb="FF0C343D"/>
        <bgColor rgb="FF0C343D"/>
      </patternFill>
    </fill>
    <fill>
      <patternFill patternType="solid">
        <fgColor rgb="FFBF9000"/>
        <bgColor rgb="FFBF9000"/>
      </patternFill>
    </fill>
    <fill>
      <patternFill patternType="solid">
        <fgColor rgb="FF4A86E8"/>
        <bgColor rgb="FF4A86E8"/>
      </patternFill>
    </fill>
    <fill>
      <patternFill patternType="solid">
        <fgColor rgb="FF38761D"/>
        <bgColor rgb="FF38761D"/>
      </patternFill>
    </fill>
    <fill>
      <patternFill patternType="solid">
        <fgColor rgb="FFCC0000"/>
        <bgColor rgb="FFCC0000"/>
      </patternFill>
    </fill>
    <fill>
      <patternFill patternType="solid">
        <fgColor rgb="FFE69138"/>
        <bgColor rgb="FFE69138"/>
      </patternFill>
    </fill>
    <fill>
      <patternFill patternType="solid">
        <fgColor rgb="FF351C75"/>
        <bgColor rgb="FF351C75"/>
      </patternFill>
    </fill>
    <fill>
      <patternFill patternType="solid">
        <fgColor rgb="FFA64D79"/>
        <bgColor rgb="FFA64D79"/>
      </patternFill>
    </fill>
    <fill>
      <patternFill patternType="solid">
        <fgColor rgb="FF007033"/>
        <bgColor rgb="FF007033"/>
      </patternFill>
    </fill>
    <fill>
      <patternFill patternType="solid">
        <fgColor rgb="FFD9EAD3"/>
        <bgColor rgb="FFD9EAD3"/>
      </patternFill>
    </fill>
    <fill>
      <patternFill patternType="solid">
        <fgColor rgb="FFF4CCCC"/>
        <bgColor rgb="FFF4CCCC"/>
      </patternFill>
    </fill>
    <fill>
      <patternFill patternType="solid">
        <fgColor rgb="FFD9D2E9"/>
        <bgColor rgb="FFD9D2E9"/>
      </patternFill>
    </fill>
    <fill>
      <patternFill patternType="solid">
        <fgColor rgb="FFEAD1DC"/>
        <bgColor rgb="FFEAD1DC"/>
      </patternFill>
    </fill>
    <fill>
      <patternFill patternType="solid">
        <fgColor rgb="FFE2EFD9"/>
        <bgColor rgb="FFE2EFD9"/>
      </patternFill>
    </fill>
    <fill>
      <patternFill patternType="solid">
        <fgColor rgb="FF00FF00"/>
        <bgColor rgb="FF00FF00"/>
      </patternFill>
    </fill>
    <fill>
      <patternFill patternType="solid">
        <fgColor rgb="FF2F5496"/>
        <bgColor rgb="FF2F5496"/>
      </patternFill>
    </fill>
    <fill>
      <patternFill patternType="solid">
        <fgColor rgb="FFD9E2F3"/>
        <bgColor rgb="FFD9E2F3"/>
      </patternFill>
    </fill>
    <fill>
      <patternFill patternType="solid">
        <fgColor rgb="FFFEF2CB"/>
        <bgColor rgb="FFFEF2CB"/>
      </patternFill>
    </fill>
    <fill>
      <patternFill patternType="solid">
        <fgColor rgb="FF7B7B7B"/>
        <bgColor rgb="FF7B7B7B"/>
      </patternFill>
    </fill>
    <fill>
      <patternFill patternType="solid">
        <fgColor rgb="FFECECEC"/>
        <bgColor rgb="FFECECEC"/>
      </patternFill>
    </fill>
    <fill>
      <patternFill patternType="solid">
        <fgColor rgb="FFC55A11"/>
        <bgColor rgb="FFC55A11"/>
      </patternFill>
    </fill>
    <fill>
      <patternFill patternType="solid">
        <fgColor rgb="FFFBE4D5"/>
        <bgColor rgb="FFFBE4D5"/>
      </patternFill>
    </fill>
    <fill>
      <patternFill patternType="solid">
        <fgColor rgb="FF2E75B5"/>
        <bgColor rgb="FF2E75B5"/>
      </patternFill>
    </fill>
    <fill>
      <patternFill patternType="solid">
        <fgColor rgb="FFDEEAF6"/>
        <bgColor rgb="FFDEEAF6"/>
      </patternFill>
    </fill>
    <fill>
      <patternFill patternType="solid">
        <fgColor rgb="FF333F4F"/>
        <bgColor rgb="FF333F4F"/>
      </patternFill>
    </fill>
    <fill>
      <patternFill patternType="solid">
        <fgColor rgb="FFD6DCE4"/>
        <bgColor rgb="FFD6DCE4"/>
      </patternFill>
    </fill>
    <fill>
      <patternFill patternType="solid">
        <fgColor rgb="FFC00000"/>
        <bgColor rgb="FFC00000"/>
      </patternFill>
    </fill>
    <fill>
      <patternFill patternType="solid">
        <fgColor rgb="FFFFD9D9"/>
        <bgColor rgb="FFFFD9D9"/>
      </patternFill>
    </fill>
    <fill>
      <patternFill patternType="solid">
        <fgColor rgb="FF7030A0"/>
        <bgColor rgb="FF7030A0"/>
      </patternFill>
    </fill>
    <fill>
      <patternFill patternType="solid">
        <fgColor rgb="FFE6CDFF"/>
        <bgColor rgb="FFE6CDFF"/>
      </patternFill>
    </fill>
    <fill>
      <patternFill patternType="solid">
        <fgColor rgb="FF0000CC"/>
        <bgColor rgb="FF0000CC"/>
      </patternFill>
    </fill>
    <fill>
      <patternFill patternType="solid">
        <fgColor rgb="FFD5D5FF"/>
        <bgColor rgb="FFD5D5FF"/>
      </patternFill>
    </fill>
    <fill>
      <patternFill patternType="solid">
        <fgColor rgb="FF00CC00"/>
        <bgColor rgb="FF00CC00"/>
      </patternFill>
    </fill>
    <fill>
      <patternFill patternType="solid">
        <fgColor rgb="FFCCFFCC"/>
        <bgColor rgb="FFCCFFCC"/>
      </patternFill>
    </fill>
    <fill>
      <patternFill patternType="solid">
        <fgColor rgb="FFFFF6DD"/>
        <bgColor rgb="FFFFF6DD"/>
      </patternFill>
    </fill>
    <fill>
      <patternFill patternType="solid">
        <fgColor rgb="FFBDD6EE"/>
        <bgColor rgb="FFBDD6EE"/>
      </patternFill>
    </fill>
    <fill>
      <patternFill patternType="solid">
        <fgColor rgb="FFF2CDFF"/>
        <bgColor rgb="FFF2CDFF"/>
      </patternFill>
    </fill>
    <fill>
      <patternFill patternType="solid">
        <fgColor rgb="FFFFC000"/>
        <bgColor rgb="FFFFC000"/>
      </patternFill>
    </fill>
    <fill>
      <patternFill patternType="solid">
        <fgColor rgb="FF9CC2E5"/>
        <bgColor rgb="FF9CC2E5"/>
      </patternFill>
    </fill>
    <fill>
      <patternFill patternType="solid">
        <fgColor rgb="FF0000FF"/>
        <bgColor rgb="FF0000FF"/>
      </patternFill>
    </fill>
    <fill>
      <patternFill patternType="solid">
        <fgColor rgb="FF00B050"/>
        <bgColor rgb="FF00B050"/>
      </patternFill>
    </fill>
    <fill>
      <patternFill patternType="solid">
        <fgColor rgb="FFBFBFBF"/>
        <bgColor rgb="FFBFBFBF"/>
      </patternFill>
    </fill>
    <fill>
      <patternFill patternType="solid">
        <fgColor rgb="FFCCCCCC"/>
        <bgColor rgb="FFCCCCCC"/>
      </patternFill>
    </fill>
  </fills>
  <borders count="26">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ck">
        <color rgb="FF000000"/>
      </left>
      <top style="thick">
        <color rgb="FF000000"/>
      </top>
      <bottom style="thick">
        <color rgb="FF000000"/>
      </bottom>
    </border>
    <border>
      <top style="thick">
        <color rgb="FF000000"/>
      </top>
      <bottom style="thick">
        <color rgb="FF000000"/>
      </bottom>
    </border>
    <border>
      <left style="thick">
        <color rgb="FF000000"/>
      </left>
      <right style="thin">
        <color rgb="FF000000"/>
      </right>
      <top style="thick">
        <color rgb="FF000000"/>
      </top>
      <bottom style="thick">
        <color rgb="FF000000"/>
      </bottom>
    </border>
    <border>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right style="thin">
        <color rgb="FF000000"/>
      </right>
      <bottom style="thick">
        <color rgb="FF000000"/>
      </bottom>
    </border>
    <border>
      <bottom/>
    </border>
    <border>
      <left style="thin">
        <color rgb="FF000000"/>
      </left>
      <bottom/>
    </border>
    <border>
      <left style="thin">
        <color rgb="FF000000"/>
      </left>
      <right style="thin">
        <color rgb="FF000000"/>
      </right>
      <bottom/>
    </border>
    <border>
      <right style="thin">
        <color rgb="FF000000"/>
      </right>
      <bottom style="thin">
        <color rgb="FF000000"/>
      </bottom>
    </border>
    <border>
      <left style="thick">
        <color rgb="FF000000"/>
      </left>
      <bottom style="thin">
        <color rgb="FF000000"/>
      </bottom>
    </border>
    <border>
      <bottom style="hair">
        <color rgb="FF000000"/>
      </bottom>
    </border>
    <border>
      <left style="thin">
        <color rgb="FF000000"/>
      </left>
      <bottom style="hair">
        <color rgb="FF000000"/>
      </bottom>
    </border>
    <border>
      <left style="thin">
        <color rgb="FF000000"/>
      </left>
      <right style="thin">
        <color rgb="FF000000"/>
      </right>
      <bottom style="hair">
        <color rgb="FF000000"/>
      </bottom>
    </border>
    <border>
      <bottom style="thick">
        <color rgb="FF000000"/>
      </bottom>
    </border>
    <border>
      <right style="thin">
        <color rgb="FF000000"/>
      </right>
      <top style="thick">
        <color rgb="FF000000"/>
      </top>
    </border>
    <border>
      <top style="thick">
        <color rgb="FF000000"/>
      </top>
    </border>
  </borders>
  <cellStyleXfs count="1">
    <xf borderId="0" fillId="0" fontId="0" numFmtId="0" applyAlignment="1" applyFont="1"/>
  </cellStyleXfs>
  <cellXfs count="41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vertical="bottom"/>
    </xf>
    <xf borderId="2" fillId="0" fontId="1" numFmtId="0" xfId="0" applyAlignment="1" applyBorder="1" applyFont="1">
      <alignment horizontal="center" readingOrder="0" vertical="bottom"/>
    </xf>
    <xf borderId="2" fillId="0" fontId="1" numFmtId="0" xfId="0" applyAlignment="1" applyBorder="1" applyFont="1">
      <alignment horizontal="center" readingOrder="0" shrinkToFit="0" vertical="bottom" wrapText="1"/>
    </xf>
    <xf borderId="2" fillId="0" fontId="1" numFmtId="0" xfId="0" applyAlignment="1" applyBorder="1" applyFont="1">
      <alignment horizontal="center" shrinkToFit="0" vertical="bottom" wrapText="1"/>
    </xf>
    <xf borderId="3" fillId="0" fontId="2" numFmtId="0" xfId="0" applyAlignment="1" applyBorder="1" applyFont="1">
      <alignment horizontal="center" readingOrder="0" vertical="bottom"/>
    </xf>
    <xf borderId="2" fillId="0" fontId="1" numFmtId="0" xfId="0" applyAlignment="1" applyBorder="1" applyFont="1">
      <alignment horizontal="left" shrinkToFit="0" vertical="bottom" wrapText="1"/>
    </xf>
    <xf borderId="4" fillId="0" fontId="1" numFmtId="0" xfId="0" applyAlignment="1" applyBorder="1" applyFont="1">
      <alignment horizontal="center" vertical="bottom"/>
    </xf>
    <xf borderId="4" fillId="0" fontId="1" numFmtId="0" xfId="0" applyAlignment="1" applyBorder="1" applyFont="1">
      <alignment horizontal="center" readingOrder="0" vertical="bottom"/>
    </xf>
    <xf borderId="4" fillId="0" fontId="1" numFmtId="0" xfId="0" applyAlignment="1" applyBorder="1" applyFont="1">
      <alignment horizontal="center" readingOrder="0" shrinkToFit="0" vertical="bottom" wrapText="1"/>
    </xf>
    <xf borderId="4" fillId="0" fontId="1" numFmtId="0" xfId="0" applyAlignment="1" applyBorder="1" applyFont="1">
      <alignment horizontal="center" shrinkToFit="0" vertical="bottom" wrapText="1"/>
    </xf>
    <xf borderId="4" fillId="0" fontId="1" numFmtId="0" xfId="0" applyAlignment="1" applyBorder="1" applyFont="1">
      <alignment horizontal="left" shrinkToFit="0" vertical="bottom" wrapText="1"/>
    </xf>
    <xf borderId="4" fillId="0" fontId="1" numFmtId="0" xfId="0" applyAlignment="1" applyBorder="1" applyFont="1">
      <alignment horizontal="center" readingOrder="0" vertical="bottom"/>
    </xf>
    <xf borderId="4" fillId="0" fontId="1" numFmtId="164" xfId="0" applyAlignment="1" applyBorder="1" applyFont="1" applyNumberFormat="1">
      <alignment horizontal="center" readingOrder="0" shrinkToFit="0" vertical="bottom" wrapText="1"/>
    </xf>
    <xf borderId="4" fillId="0" fontId="1" numFmtId="0" xfId="0" applyAlignment="1" applyBorder="1" applyFont="1">
      <alignment horizontal="left" readingOrder="0" shrinkToFit="0" vertical="bottom" wrapText="1"/>
    </xf>
    <xf borderId="4" fillId="0" fontId="1" numFmtId="165" xfId="0" applyAlignment="1" applyBorder="1" applyFont="1" applyNumberFormat="1">
      <alignment horizontal="center" readingOrder="0" shrinkToFit="0" vertical="bottom" wrapText="1"/>
    </xf>
    <xf borderId="4" fillId="0" fontId="1" numFmtId="0" xfId="0" applyAlignment="1" applyBorder="1" applyFont="1">
      <alignment horizontal="center" readingOrder="0" shrinkToFit="0" vertical="bottom" wrapText="1"/>
    </xf>
    <xf borderId="4" fillId="0" fontId="1" numFmtId="166" xfId="0" applyAlignment="1" applyBorder="1" applyFont="1" applyNumberFormat="1">
      <alignment horizontal="center" readingOrder="0" shrinkToFit="0" vertical="bottom" wrapText="1"/>
    </xf>
    <xf borderId="4" fillId="0" fontId="2" numFmtId="0" xfId="0" applyAlignment="1" applyBorder="1" applyFont="1">
      <alignment horizontal="center" readingOrder="0" shrinkToFit="0" vertical="bottom" wrapText="1"/>
    </xf>
    <xf borderId="3" fillId="0" fontId="2" numFmtId="0" xfId="0" applyAlignment="1" applyBorder="1" applyFont="1">
      <alignment horizontal="center" readingOrder="0" shrinkToFit="0" vertical="bottom" wrapText="1"/>
    </xf>
    <xf borderId="3" fillId="0" fontId="2" numFmtId="0" xfId="0" applyAlignment="1" applyBorder="1" applyFont="1">
      <alignment horizontal="left" vertical="bottom"/>
    </xf>
    <xf borderId="0" fillId="0" fontId="2" numFmtId="0" xfId="0" applyAlignment="1" applyFont="1">
      <alignment vertical="bottom"/>
    </xf>
    <xf borderId="3" fillId="0" fontId="2" numFmtId="0" xfId="0" applyAlignment="1" applyBorder="1" applyFont="1">
      <alignment horizontal="center" vertical="bottom"/>
    </xf>
    <xf borderId="0" fillId="0" fontId="1" numFmtId="0" xfId="0" applyAlignment="1" applyFont="1">
      <alignment vertical="bottom"/>
    </xf>
    <xf quotePrefix="1" borderId="3" fillId="0" fontId="2" numFmtId="0" xfId="0" applyAlignment="1" applyBorder="1" applyFont="1">
      <alignment horizontal="center" readingOrder="0" vertical="bottom"/>
    </xf>
    <xf borderId="0" fillId="2" fontId="3" numFmtId="0" xfId="0" applyAlignment="1" applyFill="1" applyFont="1">
      <alignment horizontal="center" readingOrder="0" shrinkToFit="0" vertical="center" wrapText="1"/>
    </xf>
    <xf borderId="0" fillId="2" fontId="3" numFmtId="0" xfId="0" applyAlignment="1" applyFont="1">
      <alignment horizontal="center" shrinkToFit="0" vertical="center" wrapText="1"/>
    </xf>
    <xf borderId="0" fillId="2" fontId="3" numFmtId="49" xfId="0" applyAlignment="1" applyFont="1" applyNumberFormat="1">
      <alignment horizontal="center" shrinkToFit="0" vertical="center" wrapText="1"/>
    </xf>
    <xf borderId="0" fillId="2" fontId="3" numFmtId="0" xfId="0" applyAlignment="1" applyFont="1">
      <alignment horizontal="center" readingOrder="0" shrinkToFit="0" vertical="center" wrapText="0"/>
    </xf>
    <xf borderId="0" fillId="2" fontId="3" numFmtId="167" xfId="0" applyAlignment="1" applyFont="1" applyNumberFormat="1">
      <alignment horizontal="center" readingOrder="0" shrinkToFit="0" vertical="center" wrapText="1"/>
    </xf>
    <xf borderId="0" fillId="3" fontId="4" numFmtId="0" xfId="0" applyAlignment="1" applyFill="1" applyFont="1">
      <alignment horizontal="center" readingOrder="0" shrinkToFit="0" vertical="center" wrapText="0"/>
    </xf>
    <xf borderId="0" fillId="4" fontId="5" numFmtId="0" xfId="0" applyAlignment="1" applyFill="1" applyFont="1">
      <alignment horizontal="center" readingOrder="0" vertical="center"/>
    </xf>
    <xf borderId="0" fillId="4" fontId="6" numFmtId="0" xfId="0" applyAlignment="1" applyFont="1">
      <alignment horizontal="center" vertical="center"/>
    </xf>
    <xf borderId="0" fillId="0" fontId="7" numFmtId="49" xfId="0" applyAlignment="1" applyFont="1" applyNumberFormat="1">
      <alignment readingOrder="0" vertical="center"/>
    </xf>
    <xf borderId="0" fillId="0" fontId="7" numFmtId="0" xfId="0" applyAlignment="1" applyFont="1">
      <alignment horizontal="center" readingOrder="0" vertical="center"/>
    </xf>
    <xf borderId="0" fillId="4" fontId="7" numFmtId="0" xfId="0" applyAlignment="1" applyFont="1">
      <alignment readingOrder="0" vertical="center"/>
    </xf>
    <xf borderId="0" fillId="0" fontId="7"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4" fontId="3" numFmtId="0" xfId="0" applyAlignment="1" applyFont="1">
      <alignment readingOrder="0" shrinkToFit="0" vertical="center" wrapText="1"/>
    </xf>
    <xf borderId="0" fillId="5" fontId="7" numFmtId="0" xfId="0" applyAlignment="1" applyFill="1" applyFont="1">
      <alignment readingOrder="0" vertical="center"/>
    </xf>
    <xf borderId="0" fillId="0" fontId="7" numFmtId="164" xfId="0" applyAlignment="1" applyFont="1" applyNumberFormat="1">
      <alignment horizontal="center" readingOrder="0" shrinkToFit="0" vertical="center" wrapText="1"/>
    </xf>
    <xf borderId="0" fillId="0" fontId="7" numFmtId="0" xfId="0" applyAlignment="1" applyFont="1">
      <alignment vertical="center"/>
    </xf>
    <xf borderId="0" fillId="0" fontId="7" numFmtId="167" xfId="0" applyAlignment="1" applyFont="1" applyNumberFormat="1">
      <alignment horizontal="center" readingOrder="0" shrinkToFit="0" vertical="center" wrapText="1"/>
    </xf>
    <xf borderId="0" fillId="4" fontId="5" numFmtId="0" xfId="0" applyAlignment="1" applyFont="1">
      <alignment horizontal="center" readingOrder="0" shrinkToFit="0" vertical="center" wrapText="1"/>
    </xf>
    <xf borderId="0" fillId="0" fontId="7" numFmtId="0" xfId="0" applyAlignment="1" applyFont="1">
      <alignment readingOrder="0" vertical="center"/>
    </xf>
    <xf borderId="0" fillId="0" fontId="8" numFmtId="164" xfId="0" applyAlignment="1" applyFont="1" applyNumberFormat="1">
      <alignment horizontal="center" readingOrder="0" vertical="center"/>
    </xf>
    <xf borderId="0" fillId="4" fontId="7" numFmtId="0" xfId="0" applyAlignment="1" applyFont="1">
      <alignment readingOrder="0" shrinkToFit="0" vertical="center" wrapText="1"/>
    </xf>
    <xf borderId="0" fillId="0" fontId="8" numFmtId="0" xfId="0" applyAlignment="1" applyFont="1">
      <alignment horizontal="center" readingOrder="0" vertical="center"/>
    </xf>
    <xf borderId="0" fillId="4" fontId="7" numFmtId="0" xfId="0" applyAlignment="1" applyFont="1">
      <alignment horizontal="center" readingOrder="0" vertical="center"/>
    </xf>
    <xf borderId="0" fillId="4" fontId="7" numFmtId="164" xfId="0" applyAlignment="1" applyFont="1" applyNumberFormat="1">
      <alignment horizontal="center" readingOrder="0" vertical="center"/>
    </xf>
    <xf borderId="0" fillId="4" fontId="7" numFmtId="164" xfId="0" applyAlignment="1" applyFont="1" applyNumberFormat="1">
      <alignment readingOrder="0" vertical="center"/>
    </xf>
    <xf borderId="0" fillId="4" fontId="5" numFmtId="0" xfId="0" applyAlignment="1" applyFont="1">
      <alignment horizontal="center" vertical="center"/>
    </xf>
    <xf borderId="0" fillId="4" fontId="7" numFmtId="49" xfId="0" applyAlignment="1" applyFont="1" applyNumberFormat="1">
      <alignment readingOrder="0" vertical="center"/>
    </xf>
    <xf borderId="0" fillId="0" fontId="7" numFmtId="49" xfId="0" applyAlignment="1" applyFont="1" applyNumberFormat="1">
      <alignment vertical="center"/>
    </xf>
    <xf borderId="0" fillId="4" fontId="7" numFmtId="49" xfId="0" applyAlignment="1" applyFont="1" applyNumberFormat="1">
      <alignment readingOrder="0" vertical="center"/>
    </xf>
    <xf borderId="0" fillId="6" fontId="7" numFmtId="49" xfId="0" applyAlignment="1" applyFill="1" applyFont="1" applyNumberFormat="1">
      <alignment readingOrder="0" vertical="center"/>
    </xf>
    <xf borderId="0" fillId="4" fontId="3" numFmtId="0" xfId="0" applyAlignment="1" applyFont="1">
      <alignment readingOrder="0" shrinkToFit="0" vertical="center" wrapText="0"/>
    </xf>
    <xf borderId="0" fillId="0" fontId="3" numFmtId="167" xfId="0" applyAlignment="1" applyFont="1" applyNumberFormat="1">
      <alignment horizontal="center" readingOrder="0" shrinkToFit="0" vertical="center" wrapText="1"/>
    </xf>
    <xf borderId="0" fillId="4" fontId="9" numFmtId="0" xfId="0" applyAlignment="1" applyFont="1">
      <alignment horizontal="center" readingOrder="0" shrinkToFit="0" vertical="center" wrapText="1"/>
    </xf>
    <xf borderId="0" fillId="0" fontId="7" numFmtId="0" xfId="0" applyAlignment="1" applyFont="1">
      <alignment readingOrder="0" shrinkToFit="0" vertical="center" wrapText="0"/>
    </xf>
    <xf borderId="0" fillId="0" fontId="7" numFmtId="167" xfId="0" applyAlignment="1" applyFont="1" applyNumberFormat="1">
      <alignment horizontal="center" readingOrder="0" vertical="center"/>
    </xf>
    <xf borderId="0" fillId="4" fontId="7" numFmtId="49" xfId="0" applyAlignment="1" applyFont="1" applyNumberFormat="1">
      <alignment vertical="center"/>
    </xf>
    <xf borderId="0" fillId="4" fontId="7" numFmtId="0" xfId="0" applyAlignment="1" applyFont="1">
      <alignment readingOrder="0" vertical="center"/>
    </xf>
    <xf borderId="0" fillId="4" fontId="5" numFmtId="0" xfId="0" applyAlignment="1" applyFont="1">
      <alignment horizontal="left" readingOrder="0" shrinkToFit="0" vertical="center" wrapText="1"/>
    </xf>
    <xf borderId="0" fillId="0" fontId="7" numFmtId="0" xfId="0" applyAlignment="1" applyFont="1">
      <alignment horizontal="center" readingOrder="0" shrinkToFit="0" vertical="center" wrapText="1"/>
    </xf>
    <xf borderId="0" fillId="0" fontId="7" numFmtId="164" xfId="0" applyAlignment="1" applyFont="1" applyNumberFormat="1">
      <alignment horizontal="center" readingOrder="0" vertical="center"/>
    </xf>
    <xf borderId="0" fillId="4" fontId="7" numFmtId="0" xfId="0" applyAlignment="1" applyFont="1">
      <alignment readingOrder="0" shrinkToFit="0" vertical="center" wrapText="0"/>
    </xf>
    <xf borderId="0" fillId="4" fontId="7" numFmtId="0" xfId="0" applyAlignment="1" applyFont="1">
      <alignment horizontal="center" readingOrder="0" shrinkToFit="0" vertical="center" wrapText="1"/>
    </xf>
    <xf borderId="0" fillId="4" fontId="10" numFmtId="49" xfId="0" applyAlignment="1" applyFont="1" applyNumberFormat="1">
      <alignment readingOrder="0" vertical="center"/>
    </xf>
    <xf borderId="0" fillId="4" fontId="10" numFmtId="49" xfId="0" applyAlignment="1" applyFont="1" applyNumberFormat="1">
      <alignment horizontal="left" readingOrder="0" vertical="center"/>
    </xf>
    <xf borderId="0" fillId="4" fontId="5" numFmtId="0" xfId="0" applyAlignment="1" applyFont="1">
      <alignment readingOrder="0" shrinkToFit="0" vertical="center" wrapText="0"/>
    </xf>
    <xf borderId="0" fillId="0" fontId="3" numFmtId="0" xfId="0" applyAlignment="1" applyFont="1">
      <alignment readingOrder="0" shrinkToFit="0" vertical="center" wrapText="1"/>
    </xf>
    <xf borderId="0" fillId="4" fontId="9" numFmtId="0" xfId="0" applyAlignment="1" applyFont="1">
      <alignment horizontal="center" readingOrder="0" vertical="center"/>
    </xf>
    <xf borderId="0" fillId="4" fontId="7" numFmtId="0" xfId="0" applyAlignment="1" applyFont="1">
      <alignment horizontal="center" readingOrder="0" shrinkToFit="0" vertical="center" wrapText="1"/>
    </xf>
    <xf borderId="0" fillId="4" fontId="7" numFmtId="0" xfId="0" applyAlignment="1" applyFont="1">
      <alignment readingOrder="0" shrinkToFit="0" vertical="center" wrapText="1"/>
    </xf>
    <xf borderId="0" fillId="0" fontId="7" numFmtId="164" xfId="0" applyAlignment="1" applyFont="1" applyNumberFormat="1">
      <alignment horizontal="center" vertical="center"/>
    </xf>
    <xf borderId="0" fillId="0" fontId="7" numFmtId="0" xfId="0" applyAlignment="1" applyFont="1">
      <alignment horizontal="center" shrinkToFit="0" wrapText="1"/>
    </xf>
    <xf borderId="0" fillId="0" fontId="7" numFmtId="0" xfId="0" applyAlignment="1" applyFont="1">
      <alignment shrinkToFit="0" wrapText="1"/>
    </xf>
    <xf borderId="0" fillId="0" fontId="7" numFmtId="168" xfId="0" applyAlignment="1" applyFont="1" applyNumberFormat="1">
      <alignment horizontal="center" readingOrder="0" shrinkToFit="0" vertical="center" wrapText="1"/>
    </xf>
    <xf borderId="0" fillId="4" fontId="7" numFmtId="0" xfId="0" applyAlignment="1" applyFont="1">
      <alignment readingOrder="0"/>
    </xf>
    <xf borderId="0" fillId="0" fontId="7" numFmtId="0" xfId="0" applyAlignment="1" applyFont="1">
      <alignment readingOrder="0"/>
    </xf>
    <xf borderId="0" fillId="4" fontId="7" numFmtId="0" xfId="0" applyAlignment="1" applyFont="1">
      <alignment readingOrder="0" shrinkToFit="0" vertical="center" wrapText="0"/>
    </xf>
    <xf borderId="0" fillId="0" fontId="7" numFmtId="0" xfId="0" applyAlignment="1" applyFont="1">
      <alignment horizontal="center" vertical="center"/>
    </xf>
    <xf borderId="0" fillId="0" fontId="11" numFmtId="0" xfId="0" applyAlignment="1" applyFont="1">
      <alignment readingOrder="0" shrinkToFit="0" vertical="center" wrapText="0"/>
    </xf>
    <xf borderId="0" fillId="0" fontId="7" numFmtId="49" xfId="0" applyAlignment="1" applyFont="1" applyNumberFormat="1">
      <alignment horizontal="left" readingOrder="0" vertical="center"/>
    </xf>
    <xf borderId="0" fillId="4" fontId="12" numFmtId="0" xfId="0" applyAlignment="1" applyFont="1">
      <alignment horizontal="center" readingOrder="0" shrinkToFit="0" vertical="center" wrapText="1"/>
    </xf>
    <xf borderId="0" fillId="0" fontId="7" numFmtId="167" xfId="0" applyAlignment="1" applyFont="1" applyNumberFormat="1">
      <alignment horizontal="center" vertical="center"/>
    </xf>
    <xf borderId="0" fillId="4" fontId="12" numFmtId="0" xfId="0" applyAlignment="1" applyFont="1">
      <alignment horizontal="center" readingOrder="0" vertical="center"/>
    </xf>
    <xf borderId="0" fillId="4" fontId="13" numFmtId="0" xfId="0" applyAlignment="1" applyFont="1">
      <alignment horizontal="left" readingOrder="0" shrinkToFit="0" wrapText="0"/>
    </xf>
    <xf borderId="0" fillId="0" fontId="7" numFmtId="0" xfId="0" applyAlignment="1" applyFont="1">
      <alignment readingOrder="0" shrinkToFit="0" vertical="center" wrapText="0"/>
    </xf>
    <xf borderId="0" fillId="0" fontId="3" numFmtId="0" xfId="0" applyAlignment="1" applyFont="1">
      <alignment readingOrder="0" shrinkToFit="0" vertical="center" wrapText="0"/>
    </xf>
    <xf borderId="0" fillId="0" fontId="7" numFmtId="0" xfId="0" applyAlignment="1" applyFont="1">
      <alignment horizontal="center" vertical="center"/>
    </xf>
    <xf borderId="0" fillId="0" fontId="3" numFmtId="0" xfId="0" applyAlignment="1" applyFont="1">
      <alignment horizontal="left" readingOrder="0" shrinkToFit="0" vertical="center" wrapText="0"/>
    </xf>
    <xf borderId="0" fillId="0" fontId="5" numFmtId="0" xfId="0" applyAlignment="1" applyFont="1">
      <alignment readingOrder="0" vertical="center"/>
    </xf>
    <xf borderId="0" fillId="4" fontId="7" numFmtId="0" xfId="0" applyAlignment="1" applyFont="1">
      <alignment horizontal="center" vertical="center"/>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7" numFmtId="0" xfId="0" applyAlignment="1" applyFont="1">
      <alignment shrinkToFit="0" vertical="center" wrapText="0"/>
    </xf>
    <xf borderId="0" fillId="0" fontId="3" numFmtId="0" xfId="0" applyAlignment="1" applyFont="1">
      <alignment shrinkToFit="0" vertical="center" wrapText="1"/>
    </xf>
    <xf borderId="0" fillId="0" fontId="3" numFmtId="0" xfId="0" applyAlignment="1" applyFont="1">
      <alignment horizontal="center" vertical="center"/>
    </xf>
    <xf borderId="0" fillId="7" fontId="3" numFmtId="0" xfId="0" applyAlignment="1" applyFill="1" applyFont="1">
      <alignment horizontal="center" readingOrder="0" shrinkToFit="0" vertical="center" wrapText="1"/>
    </xf>
    <xf borderId="0" fillId="7" fontId="3" numFmtId="0" xfId="0" applyAlignment="1" applyFont="1">
      <alignment horizontal="center" shrinkToFit="0" vertical="center" wrapText="1"/>
    </xf>
    <xf borderId="0" fillId="7" fontId="3" numFmtId="167" xfId="0" applyAlignment="1" applyFont="1" applyNumberFormat="1">
      <alignment horizontal="center" readingOrder="0" shrinkToFit="0" vertical="center" wrapText="1"/>
    </xf>
    <xf borderId="0" fillId="4" fontId="7" numFmtId="49" xfId="0" applyAlignment="1" applyFont="1" applyNumberFormat="1">
      <alignment readingOrder="0" shrinkToFit="0" vertical="center" wrapText="1"/>
    </xf>
    <xf borderId="0" fillId="8" fontId="7" numFmtId="0" xfId="0" applyAlignment="1" applyFill="1" applyFont="1">
      <alignment readingOrder="0" vertical="center"/>
    </xf>
    <xf borderId="0" fillId="4" fontId="3" numFmtId="0" xfId="0" applyAlignment="1" applyFont="1">
      <alignment horizontal="center" readingOrder="0" shrinkToFit="0" vertical="center" wrapText="1"/>
    </xf>
    <xf borderId="0" fillId="0" fontId="14" numFmtId="0" xfId="0" applyAlignment="1" applyFont="1">
      <alignment horizontal="left" readingOrder="0" vertical="center"/>
    </xf>
    <xf borderId="0" fillId="0" fontId="15" numFmtId="0" xfId="0" applyAlignment="1" applyFont="1">
      <alignment horizontal="left" readingOrder="0" vertical="center"/>
    </xf>
    <xf borderId="0" fillId="0" fontId="8" numFmtId="167" xfId="0" applyAlignment="1" applyFont="1" applyNumberFormat="1">
      <alignment horizontal="center" readingOrder="0" vertical="center"/>
    </xf>
    <xf borderId="0" fillId="4" fontId="16" numFmtId="0" xfId="0" applyAlignment="1" applyFont="1">
      <alignment horizontal="center" vertical="center"/>
    </xf>
    <xf borderId="0" fillId="0" fontId="17" numFmtId="164" xfId="0" applyAlignment="1" applyFont="1" applyNumberFormat="1">
      <alignment horizontal="center" readingOrder="0" shrinkToFit="0" vertical="center" wrapText="1"/>
    </xf>
    <xf quotePrefix="1" borderId="0" fillId="0" fontId="7" numFmtId="49" xfId="0" applyAlignment="1" applyFont="1" applyNumberFormat="1">
      <alignment horizontal="left" readingOrder="0" vertical="center"/>
    </xf>
    <xf borderId="0" fillId="9" fontId="7" numFmtId="0" xfId="0" applyAlignment="1" applyFill="1" applyFont="1">
      <alignment horizontal="center" readingOrder="0" vertical="center"/>
    </xf>
    <xf borderId="0" fillId="4" fontId="3" numFmtId="0" xfId="0" applyAlignment="1" applyFont="1">
      <alignment readingOrder="0" shrinkToFit="0" vertical="center" wrapText="1"/>
    </xf>
    <xf borderId="0" fillId="0" fontId="7" numFmtId="0" xfId="0" applyAlignment="1" applyFont="1">
      <alignment horizontal="left" readingOrder="0" vertical="center"/>
    </xf>
    <xf borderId="0" fillId="4" fontId="7" numFmtId="0" xfId="0" applyAlignment="1" applyFont="1">
      <alignment readingOrder="0" shrinkToFit="0" vertical="center" wrapText="0"/>
    </xf>
    <xf borderId="0" fillId="8" fontId="7" numFmtId="0" xfId="0" applyAlignment="1" applyFont="1">
      <alignment readingOrder="0" shrinkToFit="0" vertical="center" wrapText="1"/>
    </xf>
    <xf quotePrefix="1" borderId="0" fillId="0" fontId="7" numFmtId="49" xfId="0" applyAlignment="1" applyFont="1" applyNumberFormat="1">
      <alignment readingOrder="0" vertical="center"/>
    </xf>
    <xf borderId="0" fillId="0" fontId="14" numFmtId="0" xfId="0" applyAlignment="1" applyFont="1">
      <alignment horizontal="left" readingOrder="0" vertical="center"/>
    </xf>
    <xf borderId="4" fillId="0" fontId="18" numFmtId="0" xfId="0" applyAlignment="1" applyBorder="1" applyFont="1">
      <alignment horizontal="left" readingOrder="0" vertical="center"/>
    </xf>
    <xf borderId="0" fillId="0" fontId="14" numFmtId="0" xfId="0" applyFont="1"/>
    <xf quotePrefix="1" borderId="4" fillId="0" fontId="19" numFmtId="0" xfId="0" applyAlignment="1" applyBorder="1" applyFont="1">
      <alignment horizontal="left" readingOrder="0"/>
    </xf>
    <xf borderId="4" fillId="0" fontId="19" numFmtId="0" xfId="0" applyAlignment="1" applyBorder="1" applyFont="1">
      <alignment horizontal="left" readingOrder="0"/>
    </xf>
    <xf borderId="4" fillId="0" fontId="14" numFmtId="0" xfId="0" applyAlignment="1" applyBorder="1" applyFont="1">
      <alignment horizontal="left" readingOrder="0" vertical="center"/>
    </xf>
    <xf borderId="4" fillId="0" fontId="19" numFmtId="0" xfId="0" applyAlignment="1" applyBorder="1" applyFont="1">
      <alignment horizontal="left" readingOrder="0" vertical="center"/>
    </xf>
    <xf borderId="4" fillId="0" fontId="20" numFmtId="0" xfId="0" applyAlignment="1" applyBorder="1" applyFont="1">
      <alignment horizontal="left" readingOrder="0" vertical="center"/>
    </xf>
    <xf borderId="4" fillId="0" fontId="14" numFmtId="0" xfId="0" applyAlignment="1" applyBorder="1" applyFont="1">
      <alignment readingOrder="0"/>
    </xf>
    <xf borderId="4" fillId="0" fontId="14" numFmtId="0" xfId="0" applyBorder="1" applyFont="1"/>
    <xf borderId="4" fillId="0" fontId="14" numFmtId="0" xfId="0" applyAlignment="1" applyBorder="1" applyFont="1">
      <alignment readingOrder="0" vertical="center"/>
    </xf>
    <xf borderId="4" fillId="0" fontId="14" numFmtId="0" xfId="0" applyAlignment="1" applyBorder="1" applyFont="1">
      <alignment vertical="center"/>
    </xf>
    <xf borderId="0" fillId="0" fontId="14" numFmtId="0" xfId="0" applyAlignment="1" applyFont="1">
      <alignment horizontal="left" vertical="center"/>
    </xf>
    <xf borderId="0" fillId="10" fontId="21" numFmtId="0" xfId="0" applyAlignment="1" applyFill="1" applyFont="1">
      <alignment horizontal="center" readingOrder="0"/>
    </xf>
    <xf borderId="0" fillId="0" fontId="1" numFmtId="0" xfId="0" applyAlignment="1" applyFont="1">
      <alignment readingOrder="0"/>
    </xf>
    <xf borderId="0" fillId="0" fontId="1" numFmtId="169" xfId="0" applyFont="1" applyNumberFormat="1"/>
    <xf borderId="0" fillId="0" fontId="1" numFmtId="0" xfId="0" applyAlignment="1" applyFont="1">
      <alignment horizontal="center" readingOrder="0"/>
    </xf>
    <xf borderId="0" fillId="0" fontId="1" numFmtId="169" xfId="0" applyAlignment="1" applyFont="1" applyNumberFormat="1">
      <alignment horizontal="center" vertical="center"/>
    </xf>
    <xf borderId="0" fillId="0" fontId="21" numFmtId="0" xfId="0" applyAlignment="1" applyFont="1">
      <alignment horizontal="center" vertical="center"/>
    </xf>
    <xf borderId="0" fillId="4" fontId="22" numFmtId="0" xfId="0" applyAlignment="1" applyFont="1">
      <alignment readingOrder="0"/>
    </xf>
    <xf borderId="0" fillId="0" fontId="21" numFmtId="0" xfId="0" applyAlignment="1" applyFont="1">
      <alignment horizontal="left" readingOrder="0"/>
    </xf>
    <xf borderId="0" fillId="0" fontId="21" numFmtId="0" xfId="0" applyAlignment="1" applyFont="1">
      <alignment readingOrder="0"/>
    </xf>
    <xf borderId="0" fillId="0" fontId="21" numFmtId="0" xfId="0" applyAlignment="1" applyFont="1">
      <alignment horizontal="center" readingOrder="0"/>
    </xf>
    <xf borderId="0" fillId="0" fontId="1" numFmtId="0" xfId="0" applyAlignment="1" applyFont="1">
      <alignment horizontal="left" readingOrder="0"/>
    </xf>
    <xf borderId="0" fillId="0" fontId="1" numFmtId="49" xfId="0" applyAlignment="1" applyFont="1" applyNumberFormat="1">
      <alignment horizontal="left" readingOrder="0"/>
    </xf>
    <xf borderId="0" fillId="0" fontId="1" numFmtId="49" xfId="0" applyAlignment="1" applyFont="1" applyNumberFormat="1">
      <alignment readingOrder="0"/>
    </xf>
    <xf borderId="0" fillId="0" fontId="1" numFmtId="164" xfId="0" applyAlignment="1" applyFont="1" applyNumberFormat="1">
      <alignment horizontal="center" readingOrder="0"/>
    </xf>
    <xf borderId="0" fillId="0" fontId="1" numFmtId="0" xfId="0" applyAlignment="1" applyFont="1">
      <alignment horizontal="center"/>
    </xf>
    <xf borderId="0" fillId="0" fontId="1" numFmtId="167" xfId="0" applyAlignment="1" applyFont="1" applyNumberFormat="1">
      <alignment horizontal="center"/>
    </xf>
    <xf borderId="0" fillId="0" fontId="1" numFmtId="167" xfId="0" applyAlignment="1" applyFont="1" applyNumberFormat="1">
      <alignment horizontal="center" readingOrder="0"/>
    </xf>
    <xf quotePrefix="1" borderId="0" fillId="0" fontId="1" numFmtId="49" xfId="0" applyAlignment="1" applyFont="1" applyNumberFormat="1">
      <alignment horizontal="left" readingOrder="0"/>
    </xf>
    <xf quotePrefix="1" borderId="0" fillId="0" fontId="1" numFmtId="49" xfId="0" applyAlignment="1" applyFont="1" applyNumberFormat="1">
      <alignment readingOrder="0"/>
    </xf>
    <xf borderId="0" fillId="0" fontId="23" numFmtId="167" xfId="0" applyAlignment="1" applyFont="1" applyNumberFormat="1">
      <alignment horizontal="center"/>
    </xf>
    <xf borderId="0" fillId="0" fontId="1" numFmtId="168" xfId="0" applyAlignment="1" applyFont="1" applyNumberFormat="1">
      <alignment horizontal="center" readingOrder="0"/>
    </xf>
    <xf borderId="0" fillId="0" fontId="1" numFmtId="0" xfId="0" applyAlignment="1" applyFont="1">
      <alignment horizontal="left"/>
    </xf>
    <xf borderId="0" fillId="0" fontId="1" numFmtId="49" xfId="0" applyAlignment="1" applyFont="1" applyNumberFormat="1">
      <alignment horizontal="left"/>
    </xf>
    <xf borderId="0" fillId="11" fontId="21" numFmtId="0" xfId="0" applyAlignment="1" applyFill="1" applyFont="1">
      <alignment horizontal="left" readingOrder="0" vertical="center"/>
    </xf>
    <xf borderId="0" fillId="11" fontId="21" numFmtId="0" xfId="0" applyAlignment="1" applyFont="1">
      <alignment readingOrder="0" vertical="center"/>
    </xf>
    <xf borderId="0" fillId="0" fontId="1" numFmtId="0" xfId="0" applyAlignment="1" applyFont="1">
      <alignment vertical="center"/>
    </xf>
    <xf borderId="0" fillId="0" fontId="1" numFmtId="169" xfId="0" applyAlignment="1" applyFont="1" applyNumberFormat="1">
      <alignment horizontal="left" readingOrder="0"/>
    </xf>
    <xf borderId="0" fillId="0" fontId="24" numFmtId="169" xfId="0" applyAlignment="1" applyFont="1" applyNumberFormat="1">
      <alignment horizontal="left"/>
    </xf>
    <xf borderId="0" fillId="0" fontId="1" numFmtId="169" xfId="0" applyAlignment="1" applyFont="1" applyNumberFormat="1">
      <alignment horizontal="left"/>
    </xf>
    <xf borderId="0" fillId="0" fontId="25" numFmtId="169" xfId="0" applyAlignment="1" applyFont="1" applyNumberFormat="1">
      <alignment horizontal="left" readingOrder="0"/>
    </xf>
    <xf borderId="0" fillId="0" fontId="26" numFmtId="0" xfId="0" applyAlignment="1" applyFont="1">
      <alignment horizontal="center" readingOrder="0"/>
    </xf>
    <xf borderId="0" fillId="0" fontId="26" numFmtId="169" xfId="0" applyAlignment="1" applyFont="1" applyNumberFormat="1">
      <alignment horizontal="left"/>
    </xf>
    <xf borderId="5" fillId="12" fontId="27" numFmtId="0" xfId="0" applyAlignment="1" applyBorder="1" applyFill="1" applyFont="1">
      <alignment horizontal="center" readingOrder="0" shrinkToFit="0" vertical="center" wrapText="1"/>
    </xf>
    <xf borderId="6" fillId="0" fontId="28" numFmtId="0" xfId="0" applyBorder="1" applyFont="1"/>
    <xf borderId="3" fillId="0" fontId="28" numFmtId="0" xfId="0" applyBorder="1" applyFont="1"/>
    <xf borderId="4" fillId="0" fontId="29" numFmtId="0" xfId="0" applyAlignment="1" applyBorder="1" applyFont="1">
      <alignment shrinkToFit="0" vertical="center" wrapText="1"/>
    </xf>
    <xf borderId="4" fillId="12" fontId="30" numFmtId="0" xfId="0" applyAlignment="1" applyBorder="1" applyFont="1">
      <alignment horizontal="center" readingOrder="0" shrinkToFit="0" vertical="center" wrapText="1"/>
    </xf>
    <xf borderId="4" fillId="13" fontId="31" numFmtId="0" xfId="0" applyAlignment="1" applyBorder="1" applyFill="1" applyFont="1">
      <alignment horizontal="center" readingOrder="0" shrinkToFit="0" vertical="center" wrapText="1"/>
    </xf>
    <xf borderId="7" fillId="14" fontId="30" numFmtId="0" xfId="0" applyAlignment="1" applyBorder="1" applyFill="1" applyFont="1">
      <alignment horizontal="center" readingOrder="0" shrinkToFit="0" vertical="center" wrapText="1"/>
    </xf>
    <xf borderId="4" fillId="0" fontId="30" numFmtId="0" xfId="0" applyAlignment="1" applyBorder="1" applyFont="1">
      <alignment horizontal="center" readingOrder="0" shrinkToFit="0" vertical="center" wrapText="1"/>
    </xf>
    <xf borderId="4" fillId="0" fontId="29" numFmtId="0" xfId="0" applyAlignment="1" applyBorder="1" applyFont="1">
      <alignment horizontal="center" readingOrder="0" shrinkToFit="0" vertical="center" wrapText="1"/>
    </xf>
    <xf borderId="4" fillId="0" fontId="29" numFmtId="0" xfId="0" applyAlignment="1" applyBorder="1" applyFont="1">
      <alignment horizontal="left" readingOrder="0" shrinkToFit="0" vertical="center" wrapText="1"/>
    </xf>
    <xf borderId="7" fillId="0" fontId="29" numFmtId="0" xfId="0" applyAlignment="1" applyBorder="1" applyFont="1">
      <alignment horizontal="left" readingOrder="0" shrinkToFit="0" vertical="center" wrapText="1"/>
    </xf>
    <xf borderId="4" fillId="0" fontId="29" numFmtId="0" xfId="0" applyAlignment="1" applyBorder="1" applyFont="1">
      <alignment readingOrder="0" shrinkToFit="0" vertical="center" wrapText="1"/>
    </xf>
    <xf borderId="7" fillId="4" fontId="32" numFmtId="0" xfId="0" applyAlignment="1" applyBorder="1" applyFont="1">
      <alignment horizontal="left" readingOrder="0" shrinkToFit="0" vertical="center" wrapText="1"/>
    </xf>
    <xf borderId="8" fillId="0" fontId="28" numFmtId="0" xfId="0" applyBorder="1" applyFont="1"/>
    <xf borderId="2" fillId="0" fontId="28" numFmtId="0" xfId="0" applyBorder="1" applyFont="1"/>
    <xf borderId="4" fillId="0" fontId="29" numFmtId="0" xfId="0" applyAlignment="1" applyBorder="1" applyFont="1">
      <alignment horizontal="center" shrinkToFit="0" vertical="center" wrapText="1"/>
    </xf>
    <xf borderId="7" fillId="11" fontId="30" numFmtId="0" xfId="0" applyAlignment="1" applyBorder="1" applyFont="1">
      <alignment horizontal="center" readingOrder="0" shrinkToFit="0" vertical="center" wrapText="1"/>
    </xf>
    <xf borderId="4" fillId="0" fontId="33" numFmtId="0" xfId="0" applyAlignment="1" applyBorder="1" applyFont="1">
      <alignment readingOrder="0" shrinkToFit="0" vertical="center" wrapText="1"/>
    </xf>
    <xf borderId="4" fillId="15" fontId="30"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left" shrinkToFit="0" vertical="center" wrapText="0"/>
    </xf>
    <xf borderId="0" fillId="0" fontId="1" numFmtId="0" xfId="0" applyFont="1"/>
    <xf borderId="0" fillId="0" fontId="1" numFmtId="0" xfId="0" applyAlignment="1" applyFont="1">
      <alignment shrinkToFit="0" wrapText="0"/>
    </xf>
    <xf borderId="0" fillId="0" fontId="1" numFmtId="0" xfId="0" applyAlignment="1" applyFont="1">
      <alignment shrinkToFit="0" wrapText="1"/>
    </xf>
    <xf borderId="0" fillId="16" fontId="34" numFmtId="0" xfId="0" applyAlignment="1" applyFill="1" applyFont="1">
      <alignment horizontal="left" readingOrder="0" shrinkToFit="0" vertical="center" wrapText="1"/>
    </xf>
    <xf borderId="0" fillId="16" fontId="35" numFmtId="0" xfId="0" applyAlignment="1" applyFont="1">
      <alignment horizontal="center" readingOrder="0" shrinkToFit="0" vertical="center" wrapText="1"/>
    </xf>
    <xf borderId="0" fillId="17" fontId="36" numFmtId="0" xfId="0" applyAlignment="1" applyFill="1" applyFont="1">
      <alignment horizontal="center" readingOrder="0" shrinkToFit="0" vertical="center" wrapText="1"/>
    </xf>
    <xf borderId="9" fillId="18" fontId="37" numFmtId="0" xfId="0" applyAlignment="1" applyBorder="1" applyFill="1" applyFont="1">
      <alignment horizontal="center" readingOrder="0" shrinkToFit="0" vertical="center" wrapText="1"/>
    </xf>
    <xf borderId="10" fillId="17" fontId="36" numFmtId="0" xfId="0" applyAlignment="1" applyBorder="1" applyFont="1">
      <alignment horizontal="center" readingOrder="0" shrinkToFit="0" vertical="center" wrapText="1"/>
    </xf>
    <xf borderId="11" fillId="19" fontId="37" numFmtId="0" xfId="0" applyAlignment="1" applyBorder="1" applyFill="1" applyFont="1">
      <alignment horizontal="center" readingOrder="0" shrinkToFit="0" vertical="center" wrapText="1"/>
    </xf>
    <xf borderId="12" fillId="19" fontId="37" numFmtId="0" xfId="0" applyAlignment="1" applyBorder="1" applyFont="1">
      <alignment horizontal="center" readingOrder="0" shrinkToFit="0" vertical="center" wrapText="1"/>
    </xf>
    <xf borderId="13" fillId="20" fontId="37" numFmtId="0" xfId="0" applyAlignment="1" applyBorder="1" applyFill="1" applyFont="1">
      <alignment horizontal="center" readingOrder="0" shrinkToFit="0" vertical="center" wrapText="1"/>
    </xf>
    <xf borderId="13" fillId="21" fontId="37" numFmtId="0" xfId="0" applyAlignment="1" applyBorder="1" applyFill="1" applyFont="1">
      <alignment horizontal="center" readingOrder="0" shrinkToFit="0" vertical="center" wrapText="1"/>
    </xf>
    <xf borderId="4" fillId="22" fontId="37" numFmtId="0" xfId="0" applyAlignment="1" applyBorder="1" applyFill="1" applyFont="1">
      <alignment horizontal="center" readingOrder="0" shrinkToFit="0" vertical="center" wrapText="1"/>
    </xf>
    <xf borderId="4" fillId="23" fontId="37" numFmtId="0" xfId="0" applyAlignment="1" applyBorder="1" applyFill="1" applyFont="1">
      <alignment horizontal="center" readingOrder="0" shrinkToFit="0" vertical="center" wrapText="1"/>
    </xf>
    <xf borderId="4" fillId="24" fontId="37" numFmtId="0" xfId="0" applyAlignment="1" applyBorder="1" applyFill="1" applyFont="1">
      <alignment horizontal="center" readingOrder="0" shrinkToFit="0" vertical="center" wrapText="1"/>
    </xf>
    <xf borderId="4" fillId="25" fontId="37" numFmtId="0" xfId="0" applyAlignment="1" applyBorder="1" applyFill="1" applyFont="1">
      <alignment horizontal="center" readingOrder="0" shrinkToFit="0" vertical="center" wrapText="1"/>
    </xf>
    <xf borderId="14" fillId="18" fontId="37" numFmtId="0" xfId="0" applyAlignment="1" applyBorder="1" applyFont="1">
      <alignment horizontal="center" readingOrder="0" shrinkToFit="0" vertical="center" wrapText="1"/>
    </xf>
    <xf borderId="14" fillId="19" fontId="37" numFmtId="0" xfId="0" applyAlignment="1" applyBorder="1" applyFont="1">
      <alignment horizontal="center" readingOrder="0" shrinkToFit="0" vertical="center" wrapText="1"/>
    </xf>
    <xf borderId="14" fillId="20" fontId="37" numFmtId="0" xfId="0" applyAlignment="1" applyBorder="1" applyFont="1">
      <alignment horizontal="center" readingOrder="0" shrinkToFit="0" vertical="center" wrapText="1"/>
    </xf>
    <xf borderId="14" fillId="21" fontId="37" numFmtId="0" xfId="0" applyAlignment="1" applyBorder="1" applyFont="1">
      <alignment horizontal="center" readingOrder="0" shrinkToFit="0" vertical="center" wrapText="1"/>
    </xf>
    <xf borderId="15" fillId="26" fontId="38" numFmtId="0" xfId="0" applyAlignment="1" applyBorder="1" applyFill="1" applyFont="1">
      <alignment horizontal="center" shrinkToFit="0" vertical="center" wrapText="1"/>
    </xf>
    <xf borderId="16" fillId="26" fontId="38" numFmtId="0" xfId="0" applyAlignment="1" applyBorder="1" applyFont="1">
      <alignment horizontal="center" shrinkToFit="0" vertical="center" wrapText="1"/>
    </xf>
    <xf borderId="17" fillId="26" fontId="38" numFmtId="0" xfId="0" applyAlignment="1" applyBorder="1" applyFont="1">
      <alignment horizontal="center" shrinkToFit="0" vertical="center" wrapText="1"/>
    </xf>
    <xf borderId="2" fillId="5" fontId="39" numFmtId="0" xfId="0" applyAlignment="1" applyBorder="1" applyFont="1">
      <alignment horizontal="center" readingOrder="0" shrinkToFit="0" vertical="center" wrapText="1"/>
    </xf>
    <xf borderId="18" fillId="5" fontId="39" numFmtId="0" xfId="0" applyAlignment="1" applyBorder="1" applyFont="1">
      <alignment horizontal="center" readingOrder="0" shrinkToFit="0" vertical="center" wrapText="1"/>
    </xf>
    <xf borderId="4" fillId="5" fontId="39" numFmtId="0" xfId="0" applyAlignment="1" applyBorder="1" applyFont="1">
      <alignment horizontal="center" readingOrder="0" shrinkToFit="0" vertical="center" wrapText="1"/>
    </xf>
    <xf borderId="2" fillId="14" fontId="39" numFmtId="0" xfId="0" applyAlignment="1" applyBorder="1" applyFont="1">
      <alignment horizontal="center" readingOrder="0" shrinkToFit="0" vertical="center" wrapText="1"/>
    </xf>
    <xf borderId="19" fillId="14" fontId="39" numFmtId="0" xfId="0" applyAlignment="1" applyBorder="1" applyFont="1">
      <alignment horizontal="center" readingOrder="0" shrinkToFit="0" vertical="center" wrapText="1"/>
    </xf>
    <xf borderId="4" fillId="14" fontId="39" numFmtId="0" xfId="0" applyAlignment="1" applyBorder="1" applyFont="1">
      <alignment horizontal="center" readingOrder="0" shrinkToFit="0" vertical="center" wrapText="1"/>
    </xf>
    <xf borderId="2" fillId="27" fontId="39" numFmtId="0" xfId="0" applyAlignment="1" applyBorder="1" applyFill="1" applyFont="1">
      <alignment horizontal="center" readingOrder="0" shrinkToFit="0" vertical="center" wrapText="1"/>
    </xf>
    <xf borderId="19" fillId="27" fontId="39" numFmtId="0" xfId="0" applyAlignment="1" applyBorder="1" applyFont="1">
      <alignment horizontal="center" readingOrder="0" shrinkToFit="0" vertical="center" wrapText="1"/>
    </xf>
    <xf borderId="4" fillId="27" fontId="39" numFmtId="0" xfId="0" applyAlignment="1" applyBorder="1" applyFont="1">
      <alignment horizontal="center" readingOrder="0" shrinkToFit="0" vertical="center" wrapText="1"/>
    </xf>
    <xf borderId="4" fillId="28" fontId="39" numFmtId="0" xfId="0" applyAlignment="1" applyBorder="1" applyFill="1" applyFont="1">
      <alignment horizontal="center" readingOrder="0" shrinkToFit="0" vertical="center" wrapText="1"/>
    </xf>
    <xf borderId="0" fillId="17" fontId="40" numFmtId="0" xfId="0" applyAlignment="1" applyFont="1">
      <alignment horizontal="center" readingOrder="0" shrinkToFit="0" vertical="center" wrapText="1"/>
    </xf>
    <xf borderId="4" fillId="8" fontId="39" numFmtId="0" xfId="0" applyAlignment="1" applyBorder="1" applyFont="1">
      <alignment horizontal="center" readingOrder="0" shrinkToFit="0" vertical="center" wrapText="1"/>
    </xf>
    <xf borderId="10" fillId="17" fontId="40" numFmtId="0" xfId="0" applyAlignment="1" applyBorder="1" applyFont="1">
      <alignment horizontal="center" readingOrder="0" shrinkToFit="0" vertical="center" wrapText="1"/>
    </xf>
    <xf borderId="4" fillId="29" fontId="39" numFmtId="0" xfId="0" applyAlignment="1" applyBorder="1" applyFill="1" applyFont="1">
      <alignment horizontal="center" readingOrder="0" shrinkToFit="0" vertical="center" wrapText="1"/>
    </xf>
    <xf borderId="4" fillId="30" fontId="39" numFmtId="0" xfId="0" applyAlignment="1" applyBorder="1" applyFill="1" applyFont="1">
      <alignment horizontal="center" readingOrder="0" shrinkToFit="0" vertical="center" wrapText="1"/>
    </xf>
    <xf borderId="20" fillId="31" fontId="41" numFmtId="0" xfId="0" applyAlignment="1" applyBorder="1" applyFill="1" applyFont="1">
      <alignment horizontal="center" shrinkToFit="0" vertical="center" wrapText="1"/>
    </xf>
    <xf borderId="21" fillId="31" fontId="41" numFmtId="0" xfId="0" applyAlignment="1" applyBorder="1" applyFont="1">
      <alignment horizontal="center" shrinkToFit="0" vertical="center" wrapText="1"/>
    </xf>
    <xf borderId="22" fillId="31" fontId="41" numFmtId="0" xfId="0" applyAlignment="1" applyBorder="1" applyFont="1">
      <alignment horizontal="center" shrinkToFit="0" vertical="center" wrapText="1"/>
    </xf>
    <xf borderId="4" fillId="17" fontId="36" numFmtId="0" xfId="0" applyAlignment="1" applyBorder="1" applyFont="1">
      <alignment horizontal="center" readingOrder="0" shrinkToFit="0" vertical="center" wrapText="1"/>
    </xf>
    <xf borderId="4" fillId="32" fontId="39" numFmtId="0" xfId="0" applyAlignment="1" applyBorder="1" applyFill="1" applyFont="1">
      <alignment horizontal="center" readingOrder="0" shrinkToFit="0" vertical="center" wrapText="1"/>
    </xf>
    <xf borderId="12" fillId="17" fontId="36" numFmtId="0" xfId="0" applyAlignment="1" applyBorder="1" applyFont="1">
      <alignment horizontal="center" readingOrder="0" shrinkToFit="0" vertical="center" wrapText="1"/>
    </xf>
    <xf borderId="15" fillId="31" fontId="41" numFmtId="0" xfId="0" applyAlignment="1" applyBorder="1" applyFont="1">
      <alignment horizontal="center" shrinkToFit="0" vertical="center" wrapText="1"/>
    </xf>
    <xf borderId="16" fillId="31" fontId="41" numFmtId="0" xfId="0" applyAlignment="1" applyBorder="1" applyFont="1">
      <alignment horizontal="center" shrinkToFit="0" vertical="center" wrapText="1"/>
    </xf>
    <xf borderId="17" fillId="31" fontId="41" numFmtId="0" xfId="0" applyAlignment="1" applyBorder="1" applyFont="1">
      <alignment horizontal="center" shrinkToFit="0" vertical="center" wrapText="1"/>
    </xf>
    <xf borderId="15" fillId="33" fontId="38" numFmtId="0" xfId="0" applyAlignment="1" applyBorder="1" applyFill="1" applyFont="1">
      <alignment horizontal="center" shrinkToFit="0" vertical="center" wrapText="1"/>
    </xf>
    <xf borderId="16" fillId="33" fontId="38" numFmtId="0" xfId="0" applyAlignment="1" applyBorder="1" applyFont="1">
      <alignment horizontal="center" shrinkToFit="0" vertical="center" wrapText="1"/>
    </xf>
    <xf borderId="17" fillId="33" fontId="38" numFmtId="0" xfId="0" applyAlignment="1" applyBorder="1" applyFont="1">
      <alignment horizontal="center" shrinkToFit="0" vertical="center" wrapText="1"/>
    </xf>
    <xf borderId="20" fillId="34" fontId="41" numFmtId="0" xfId="0" applyAlignment="1" applyBorder="1" applyFill="1" applyFont="1">
      <alignment horizontal="center" shrinkToFit="0" vertical="center" wrapText="1"/>
    </xf>
    <xf borderId="21" fillId="34" fontId="41" numFmtId="0" xfId="0" applyAlignment="1" applyBorder="1" applyFont="1">
      <alignment horizontal="center" shrinkToFit="0" vertical="center" wrapText="1"/>
    </xf>
    <xf borderId="22" fillId="34" fontId="41" numFmtId="0" xfId="0" applyAlignment="1" applyBorder="1" applyFont="1">
      <alignment horizontal="center" shrinkToFit="0" vertical="center" wrapText="1"/>
    </xf>
    <xf borderId="15" fillId="34" fontId="41" numFmtId="0" xfId="0" applyAlignment="1" applyBorder="1" applyFont="1">
      <alignment horizontal="center" shrinkToFit="0" vertical="center" wrapText="1"/>
    </xf>
    <xf borderId="16" fillId="34" fontId="41" numFmtId="0" xfId="0" applyAlignment="1" applyBorder="1" applyFont="1">
      <alignment horizontal="center" shrinkToFit="0" vertical="center" wrapText="1"/>
    </xf>
    <xf borderId="17" fillId="34" fontId="41" numFmtId="0" xfId="0" applyAlignment="1" applyBorder="1" applyFont="1">
      <alignment horizontal="center" shrinkToFit="0" vertical="center" wrapText="1"/>
    </xf>
    <xf borderId="15" fillId="19" fontId="38" numFmtId="0" xfId="0" applyAlignment="1" applyBorder="1" applyFont="1">
      <alignment horizontal="center" shrinkToFit="0" vertical="center" wrapText="1"/>
    </xf>
    <xf borderId="16" fillId="19" fontId="38" numFmtId="0" xfId="0" applyAlignment="1" applyBorder="1" applyFont="1">
      <alignment horizontal="center" shrinkToFit="0" vertical="center" wrapText="1"/>
    </xf>
    <xf borderId="17" fillId="19" fontId="38" numFmtId="0" xfId="0" applyAlignment="1" applyBorder="1" applyFont="1">
      <alignment horizontal="center" shrinkToFit="0" vertical="center" wrapText="1"/>
    </xf>
    <xf borderId="20" fillId="35" fontId="41" numFmtId="0" xfId="0" applyAlignment="1" applyBorder="1" applyFill="1" applyFont="1">
      <alignment horizontal="center" shrinkToFit="0" vertical="center" wrapText="1"/>
    </xf>
    <xf borderId="21" fillId="35" fontId="41" numFmtId="0" xfId="0" applyAlignment="1" applyBorder="1" applyFont="1">
      <alignment horizontal="center" shrinkToFit="0" vertical="center" wrapText="1"/>
    </xf>
    <xf borderId="22" fillId="35" fontId="41" numFmtId="0" xfId="0" applyAlignment="1" applyBorder="1" applyFont="1">
      <alignment horizontal="center" shrinkToFit="0" vertical="center" wrapText="1"/>
    </xf>
    <xf borderId="15" fillId="35" fontId="41" numFmtId="0" xfId="0" applyAlignment="1" applyBorder="1" applyFont="1">
      <alignment horizontal="center" shrinkToFit="0" vertical="center" wrapText="1"/>
    </xf>
    <xf borderId="16" fillId="35" fontId="41" numFmtId="0" xfId="0" applyAlignment="1" applyBorder="1" applyFont="1">
      <alignment horizontal="center" shrinkToFit="0" vertical="center" wrapText="1"/>
    </xf>
    <xf borderId="17" fillId="35" fontId="41" numFmtId="0" xfId="0" applyAlignment="1" applyBorder="1" applyFont="1">
      <alignment horizontal="center" shrinkToFit="0" vertical="center" wrapText="1"/>
    </xf>
    <xf borderId="15" fillId="36" fontId="38" numFmtId="0" xfId="0" applyAlignment="1" applyBorder="1" applyFill="1" applyFont="1">
      <alignment horizontal="center" shrinkToFit="0" vertical="center" wrapText="1"/>
    </xf>
    <xf borderId="16" fillId="36" fontId="38" numFmtId="0" xfId="0" applyAlignment="1" applyBorder="1" applyFont="1">
      <alignment horizontal="center" shrinkToFit="0" vertical="center" wrapText="1"/>
    </xf>
    <xf borderId="17" fillId="36" fontId="38" numFmtId="0" xfId="0" applyAlignment="1" applyBorder="1" applyFont="1">
      <alignment horizontal="center" shrinkToFit="0" vertical="center" wrapText="1"/>
    </xf>
    <xf borderId="20" fillId="37" fontId="41" numFmtId="0" xfId="0" applyAlignment="1" applyBorder="1" applyFill="1" applyFont="1">
      <alignment horizontal="center" shrinkToFit="0" vertical="center" wrapText="1"/>
    </xf>
    <xf borderId="21" fillId="37" fontId="41" numFmtId="0" xfId="0" applyAlignment="1" applyBorder="1" applyFont="1">
      <alignment horizontal="center" shrinkToFit="0" vertical="center" wrapText="1"/>
    </xf>
    <xf borderId="22" fillId="37" fontId="41" numFmtId="0" xfId="0" applyAlignment="1" applyBorder="1" applyFont="1">
      <alignment horizontal="center" shrinkToFit="0" vertical="center" wrapText="1"/>
    </xf>
    <xf borderId="15" fillId="37" fontId="41" numFmtId="0" xfId="0" applyAlignment="1" applyBorder="1" applyFont="1">
      <alignment horizontal="center" shrinkToFit="0" vertical="center" wrapText="1"/>
    </xf>
    <xf borderId="16" fillId="37" fontId="41" numFmtId="0" xfId="0" applyAlignment="1" applyBorder="1" applyFont="1">
      <alignment horizontal="center" shrinkToFit="0" vertical="center" wrapText="1"/>
    </xf>
    <xf borderId="17" fillId="37" fontId="41" numFmtId="0" xfId="0" applyAlignment="1" applyBorder="1" applyFont="1">
      <alignment horizontal="center" shrinkToFit="0" vertical="center" wrapText="1"/>
    </xf>
    <xf borderId="15" fillId="38" fontId="38" numFmtId="0" xfId="0" applyAlignment="1" applyBorder="1" applyFill="1" applyFont="1">
      <alignment horizontal="center" shrinkToFit="0" vertical="center" wrapText="1"/>
    </xf>
    <xf borderId="16" fillId="38" fontId="38" numFmtId="0" xfId="0" applyAlignment="1" applyBorder="1" applyFont="1">
      <alignment horizontal="center" shrinkToFit="0" vertical="center" wrapText="1"/>
    </xf>
    <xf borderId="17" fillId="38" fontId="38" numFmtId="0" xfId="0" applyAlignment="1" applyBorder="1" applyFont="1">
      <alignment horizontal="center" shrinkToFit="0" vertical="center" wrapText="1"/>
    </xf>
    <xf borderId="20" fillId="39" fontId="41" numFmtId="0" xfId="0" applyAlignment="1" applyBorder="1" applyFill="1" applyFont="1">
      <alignment horizontal="center" shrinkToFit="0" vertical="center" wrapText="1"/>
    </xf>
    <xf borderId="21" fillId="39" fontId="41" numFmtId="0" xfId="0" applyAlignment="1" applyBorder="1" applyFont="1">
      <alignment horizontal="center" shrinkToFit="0" vertical="center" wrapText="1"/>
    </xf>
    <xf borderId="22" fillId="39" fontId="41" numFmtId="0" xfId="0" applyAlignment="1" applyBorder="1" applyFont="1">
      <alignment horizontal="center" shrinkToFit="0" vertical="center" wrapText="1"/>
    </xf>
    <xf borderId="15" fillId="39" fontId="41" numFmtId="0" xfId="0" applyAlignment="1" applyBorder="1" applyFont="1">
      <alignment horizontal="center" shrinkToFit="0" vertical="center" wrapText="1"/>
    </xf>
    <xf borderId="16" fillId="39" fontId="41" numFmtId="0" xfId="0" applyAlignment="1" applyBorder="1" applyFont="1">
      <alignment horizontal="center" shrinkToFit="0" vertical="center" wrapText="1"/>
    </xf>
    <xf borderId="17" fillId="39" fontId="41" numFmtId="0" xfId="0" applyAlignment="1" applyBorder="1" applyFont="1">
      <alignment horizontal="center" shrinkToFit="0" vertical="center" wrapText="1"/>
    </xf>
    <xf borderId="15" fillId="40" fontId="38" numFmtId="0" xfId="0" applyAlignment="1" applyBorder="1" applyFill="1" applyFont="1">
      <alignment horizontal="center" shrinkToFit="0" vertical="center" wrapText="1"/>
    </xf>
    <xf borderId="16" fillId="40" fontId="38" numFmtId="0" xfId="0" applyAlignment="1" applyBorder="1" applyFont="1">
      <alignment horizontal="center" shrinkToFit="0" vertical="center" wrapText="1"/>
    </xf>
    <xf borderId="17" fillId="40" fontId="38" numFmtId="0" xfId="0" applyAlignment="1" applyBorder="1" applyFont="1">
      <alignment horizontal="center" shrinkToFit="0" vertical="center" wrapText="1"/>
    </xf>
    <xf borderId="15" fillId="41" fontId="41" numFmtId="0" xfId="0" applyAlignment="1" applyBorder="1" applyFill="1" applyFont="1">
      <alignment horizontal="center" shrinkToFit="0" vertical="center" wrapText="1"/>
    </xf>
    <xf borderId="16" fillId="41" fontId="41" numFmtId="0" xfId="0" applyAlignment="1" applyBorder="1" applyFont="1">
      <alignment horizontal="center" shrinkToFit="0" vertical="center" wrapText="1"/>
    </xf>
    <xf borderId="17" fillId="41" fontId="41" numFmtId="0" xfId="0" applyAlignment="1" applyBorder="1" applyFont="1">
      <alignment horizontal="center" shrinkToFit="0" vertical="center" wrapText="1"/>
    </xf>
    <xf borderId="15" fillId="42" fontId="38" numFmtId="0" xfId="0" applyAlignment="1" applyBorder="1" applyFill="1" applyFont="1">
      <alignment horizontal="center" shrinkToFit="0" vertical="center" wrapText="1"/>
    </xf>
    <xf borderId="16" fillId="42" fontId="38" numFmtId="0" xfId="0" applyAlignment="1" applyBorder="1" applyFont="1">
      <alignment horizontal="center" shrinkToFit="0" vertical="center" wrapText="1"/>
    </xf>
    <xf borderId="17" fillId="42" fontId="38" numFmtId="0" xfId="0" applyAlignment="1" applyBorder="1" applyFont="1">
      <alignment horizontal="center" shrinkToFit="0" vertical="center" wrapText="1"/>
    </xf>
    <xf borderId="20" fillId="43" fontId="41" numFmtId="0" xfId="0" applyAlignment="1" applyBorder="1" applyFill="1" applyFont="1">
      <alignment horizontal="center" shrinkToFit="0" vertical="center" wrapText="1"/>
    </xf>
    <xf borderId="21" fillId="43" fontId="41" numFmtId="0" xfId="0" applyAlignment="1" applyBorder="1" applyFont="1">
      <alignment horizontal="center" shrinkToFit="0" vertical="center" wrapText="1"/>
    </xf>
    <xf borderId="22" fillId="43" fontId="41" numFmtId="0" xfId="0" applyAlignment="1" applyBorder="1" applyFont="1">
      <alignment horizontal="center" shrinkToFit="0" vertical="center" wrapText="1"/>
    </xf>
    <xf borderId="15" fillId="43" fontId="41" numFmtId="0" xfId="0" applyAlignment="1" applyBorder="1" applyFont="1">
      <alignment horizontal="center" shrinkToFit="0" vertical="center" wrapText="1"/>
    </xf>
    <xf borderId="16" fillId="43" fontId="41" numFmtId="0" xfId="0" applyAlignment="1" applyBorder="1" applyFont="1">
      <alignment horizontal="center" shrinkToFit="0" vertical="center" wrapText="1"/>
    </xf>
    <xf borderId="17" fillId="43" fontId="41" numFmtId="0" xfId="0" applyAlignment="1" applyBorder="1" applyFont="1">
      <alignment horizontal="center" shrinkToFit="0" vertical="center" wrapText="1"/>
    </xf>
    <xf borderId="15" fillId="44" fontId="38" numFmtId="0" xfId="0" applyAlignment="1" applyBorder="1" applyFill="1" applyFont="1">
      <alignment horizontal="center" shrinkToFit="0" vertical="center" wrapText="1"/>
    </xf>
    <xf borderId="16" fillId="44" fontId="38" numFmtId="0" xfId="0" applyAlignment="1" applyBorder="1" applyFont="1">
      <alignment horizontal="center" shrinkToFit="0" vertical="center" wrapText="1"/>
    </xf>
    <xf borderId="17" fillId="44" fontId="38" numFmtId="0" xfId="0" applyAlignment="1" applyBorder="1" applyFont="1">
      <alignment horizontal="center" shrinkToFit="0" vertical="center" wrapText="1"/>
    </xf>
    <xf borderId="20" fillId="45" fontId="41" numFmtId="0" xfId="0" applyAlignment="1" applyBorder="1" applyFill="1" applyFont="1">
      <alignment horizontal="center" shrinkToFit="0" vertical="center" wrapText="1"/>
    </xf>
    <xf borderId="21" fillId="45" fontId="41" numFmtId="0" xfId="0" applyAlignment="1" applyBorder="1" applyFont="1">
      <alignment horizontal="center" shrinkToFit="0" vertical="center" wrapText="1"/>
    </xf>
    <xf borderId="22" fillId="45" fontId="41" numFmtId="0" xfId="0" applyAlignment="1" applyBorder="1" applyFont="1">
      <alignment horizontal="center" shrinkToFit="0" vertical="center" wrapText="1"/>
    </xf>
    <xf borderId="15" fillId="45" fontId="41" numFmtId="0" xfId="0" applyAlignment="1" applyBorder="1" applyFont="1">
      <alignment horizontal="center" shrinkToFit="0" vertical="center" wrapText="1"/>
    </xf>
    <xf borderId="16" fillId="45" fontId="41" numFmtId="0" xfId="0" applyAlignment="1" applyBorder="1" applyFont="1">
      <alignment horizontal="center" shrinkToFit="0" vertical="center" wrapText="1"/>
    </xf>
    <xf borderId="17" fillId="45" fontId="41" numFmtId="0" xfId="0" applyAlignment="1" applyBorder="1" applyFont="1">
      <alignment horizontal="center" shrinkToFit="0" vertical="center" wrapText="1"/>
    </xf>
    <xf borderId="15" fillId="46" fontId="38" numFmtId="0" xfId="0" applyAlignment="1" applyBorder="1" applyFill="1" applyFont="1">
      <alignment horizontal="center" shrinkToFit="0" vertical="center" wrapText="1"/>
    </xf>
    <xf borderId="16" fillId="46" fontId="38" numFmtId="0" xfId="0" applyAlignment="1" applyBorder="1" applyFont="1">
      <alignment horizontal="center" shrinkToFit="0" vertical="center" wrapText="1"/>
    </xf>
    <xf borderId="17" fillId="46" fontId="38" numFmtId="0" xfId="0" applyAlignment="1" applyBorder="1" applyFont="1">
      <alignment horizontal="center" shrinkToFit="0" vertical="center" wrapText="1"/>
    </xf>
    <xf borderId="20" fillId="47" fontId="41" numFmtId="0" xfId="0" applyAlignment="1" applyBorder="1" applyFill="1" applyFont="1">
      <alignment horizontal="center" shrinkToFit="0" vertical="center" wrapText="1"/>
    </xf>
    <xf borderId="21" fillId="47" fontId="41" numFmtId="0" xfId="0" applyAlignment="1" applyBorder="1" applyFont="1">
      <alignment horizontal="center" shrinkToFit="0" vertical="center" wrapText="1"/>
    </xf>
    <xf borderId="22" fillId="47" fontId="41" numFmtId="0" xfId="0" applyAlignment="1" applyBorder="1" applyFont="1">
      <alignment horizontal="center" shrinkToFit="0" vertical="center" wrapText="1"/>
    </xf>
    <xf borderId="15" fillId="47" fontId="41" numFmtId="0" xfId="0" applyAlignment="1" applyBorder="1" applyFont="1">
      <alignment horizontal="center" shrinkToFit="0" vertical="center" wrapText="1"/>
    </xf>
    <xf borderId="16" fillId="47" fontId="41" numFmtId="0" xfId="0" applyAlignment="1" applyBorder="1" applyFont="1">
      <alignment horizontal="center" shrinkToFit="0" vertical="center" wrapText="1"/>
    </xf>
    <xf borderId="17" fillId="47" fontId="41" numFmtId="0" xfId="0" applyAlignment="1" applyBorder="1" applyFont="1">
      <alignment horizontal="center" shrinkToFit="0" vertical="center" wrapText="1"/>
    </xf>
    <xf borderId="15" fillId="48" fontId="38" numFmtId="0" xfId="0" applyAlignment="1" applyBorder="1" applyFill="1" applyFont="1">
      <alignment horizontal="center" shrinkToFit="0" vertical="center" wrapText="1"/>
    </xf>
    <xf borderId="16" fillId="48" fontId="38" numFmtId="0" xfId="0" applyAlignment="1" applyBorder="1" applyFont="1">
      <alignment horizontal="center" shrinkToFit="0" vertical="center" wrapText="1"/>
    </xf>
    <xf borderId="17" fillId="48" fontId="38" numFmtId="0" xfId="0" applyAlignment="1" applyBorder="1" applyFont="1">
      <alignment horizontal="center" shrinkToFit="0" vertical="center" wrapText="1"/>
    </xf>
    <xf borderId="20" fillId="49" fontId="41" numFmtId="0" xfId="0" applyAlignment="1" applyBorder="1" applyFill="1" applyFont="1">
      <alignment horizontal="center" shrinkToFit="0" vertical="center" wrapText="1"/>
    </xf>
    <xf borderId="21" fillId="49" fontId="41" numFmtId="0" xfId="0" applyAlignment="1" applyBorder="1" applyFont="1">
      <alignment horizontal="center" shrinkToFit="0" vertical="center" wrapText="1"/>
    </xf>
    <xf borderId="22" fillId="49" fontId="41" numFmtId="0" xfId="0" applyAlignment="1" applyBorder="1" applyFont="1">
      <alignment horizontal="center" shrinkToFit="0" vertical="center" wrapText="1"/>
    </xf>
    <xf borderId="4" fillId="14" fontId="42" numFmtId="0" xfId="0" applyAlignment="1" applyBorder="1" applyFont="1">
      <alignment horizontal="center" readingOrder="0" shrinkToFit="0" vertical="center" wrapText="1"/>
    </xf>
    <xf borderId="19" fillId="14" fontId="42" numFmtId="0" xfId="0" applyAlignment="1" applyBorder="1" applyFont="1">
      <alignment horizontal="center" readingOrder="0" shrinkToFit="0" vertical="center" wrapText="1"/>
    </xf>
    <xf borderId="4" fillId="14" fontId="42" numFmtId="0" xfId="0" applyAlignment="1" applyBorder="1" applyFont="1">
      <alignment horizontal="center" readingOrder="0" shrinkToFit="0" vertical="center" wrapText="1"/>
    </xf>
    <xf borderId="15" fillId="49" fontId="41" numFmtId="0" xfId="0" applyAlignment="1" applyBorder="1" applyFont="1">
      <alignment horizontal="center" shrinkToFit="0" vertical="center" wrapText="1"/>
    </xf>
    <xf borderId="16" fillId="49" fontId="41" numFmtId="0" xfId="0" applyAlignment="1" applyBorder="1" applyFont="1">
      <alignment horizontal="center" shrinkToFit="0" vertical="center" wrapText="1"/>
    </xf>
    <xf borderId="17" fillId="49" fontId="41" numFmtId="0" xfId="0" applyAlignment="1" applyBorder="1" applyFont="1">
      <alignment horizontal="center" shrinkToFit="0" vertical="center" wrapText="1"/>
    </xf>
    <xf borderId="15" fillId="50" fontId="41" numFmtId="0" xfId="0" applyAlignment="1" applyBorder="1" applyFill="1" applyFont="1">
      <alignment horizontal="center" shrinkToFit="0" vertical="center" wrapText="1"/>
    </xf>
    <xf borderId="16" fillId="50" fontId="41" numFmtId="0" xfId="0" applyAlignment="1" applyBorder="1" applyFont="1">
      <alignment horizontal="center" shrinkToFit="0" vertical="center" wrapText="1"/>
    </xf>
    <xf borderId="17" fillId="50" fontId="41" numFmtId="0" xfId="0" applyAlignment="1" applyBorder="1" applyFont="1">
      <alignment horizontal="center" shrinkToFit="0" vertical="center" wrapText="1"/>
    </xf>
    <xf borderId="20" fillId="51" fontId="41" numFmtId="0" xfId="0" applyAlignment="1" applyBorder="1" applyFill="1" applyFont="1">
      <alignment horizontal="center" shrinkToFit="0" vertical="center" wrapText="1"/>
    </xf>
    <xf borderId="21" fillId="51" fontId="41" numFmtId="0" xfId="0" applyAlignment="1" applyBorder="1" applyFont="1">
      <alignment horizontal="center" shrinkToFit="0" vertical="center" wrapText="1"/>
    </xf>
    <xf borderId="22" fillId="51" fontId="41" numFmtId="0" xfId="0" applyAlignment="1" applyBorder="1" applyFont="1">
      <alignment horizontal="center" shrinkToFit="0" vertical="center" wrapText="1"/>
    </xf>
    <xf borderId="15" fillId="51" fontId="41" numFmtId="0" xfId="0" applyAlignment="1" applyBorder="1" applyFont="1">
      <alignment horizontal="center" shrinkToFit="0" vertical="center" wrapText="1"/>
    </xf>
    <xf borderId="16" fillId="51" fontId="41" numFmtId="0" xfId="0" applyAlignment="1" applyBorder="1" applyFont="1">
      <alignment horizontal="center" shrinkToFit="0" vertical="center" wrapText="1"/>
    </xf>
    <xf borderId="17" fillId="51" fontId="41" numFmtId="0" xfId="0" applyAlignment="1" applyBorder="1" applyFont="1">
      <alignment horizontal="center" shrinkToFit="0" vertical="center" wrapText="1"/>
    </xf>
    <xf borderId="15" fillId="19" fontId="43" numFmtId="0" xfId="0" applyAlignment="1" applyBorder="1" applyFont="1">
      <alignment horizontal="center" shrinkToFit="0" vertical="center" wrapText="1"/>
    </xf>
    <xf borderId="16" fillId="19" fontId="43" numFmtId="0" xfId="0" applyAlignment="1" applyBorder="1" applyFont="1">
      <alignment horizontal="center" shrinkToFit="0" vertical="center" wrapText="1"/>
    </xf>
    <xf borderId="17" fillId="19" fontId="43" numFmtId="0" xfId="0" applyAlignment="1" applyBorder="1" applyFont="1">
      <alignment horizontal="center" shrinkToFit="0" vertical="center" wrapText="1"/>
    </xf>
    <xf borderId="20" fillId="52" fontId="41" numFmtId="0" xfId="0" applyAlignment="1" applyBorder="1" applyFill="1" applyFont="1">
      <alignment horizontal="center" shrinkToFit="0" vertical="center" wrapText="1"/>
    </xf>
    <xf borderId="21" fillId="52" fontId="41" numFmtId="0" xfId="0" applyAlignment="1" applyBorder="1" applyFont="1">
      <alignment horizontal="center" shrinkToFit="0" vertical="center" wrapText="1"/>
    </xf>
    <xf borderId="22" fillId="52" fontId="41" numFmtId="0" xfId="0" applyAlignment="1" applyBorder="1" applyFont="1">
      <alignment horizontal="center" shrinkToFit="0" vertical="center" wrapText="1"/>
    </xf>
    <xf borderId="20" fillId="52" fontId="41" numFmtId="0" xfId="0" applyAlignment="1" applyBorder="1" applyFont="1">
      <alignment horizontal="center" shrinkToFit="0" vertical="center" wrapText="1"/>
    </xf>
    <xf borderId="21" fillId="52" fontId="41" numFmtId="0" xfId="0" applyAlignment="1" applyBorder="1" applyFont="1">
      <alignment horizontal="center" shrinkToFit="0" vertical="center" wrapText="1"/>
    </xf>
    <xf borderId="22" fillId="52" fontId="41" numFmtId="0" xfId="0" applyAlignment="1" applyBorder="1" applyFont="1">
      <alignment horizontal="center" shrinkToFit="0" vertical="center" wrapText="1"/>
    </xf>
    <xf borderId="15" fillId="52" fontId="41" numFmtId="0" xfId="0" applyAlignment="1" applyBorder="1" applyFont="1">
      <alignment horizontal="center" shrinkToFit="0" vertical="center" wrapText="1"/>
    </xf>
    <xf borderId="16" fillId="52" fontId="41" numFmtId="0" xfId="0" applyAlignment="1" applyBorder="1" applyFont="1">
      <alignment horizontal="center" shrinkToFit="0" vertical="center" wrapText="1"/>
    </xf>
    <xf borderId="17" fillId="52" fontId="41" numFmtId="0" xfId="0" applyAlignment="1" applyBorder="1" applyFont="1">
      <alignment horizontal="center" shrinkToFit="0" vertical="center" wrapText="1"/>
    </xf>
    <xf borderId="15" fillId="38" fontId="43" numFmtId="0" xfId="0" applyAlignment="1" applyBorder="1" applyFont="1">
      <alignment horizontal="center" shrinkToFit="0" vertical="center" wrapText="1"/>
    </xf>
    <xf borderId="16" fillId="38" fontId="43" numFmtId="0" xfId="0" applyAlignment="1" applyBorder="1" applyFont="1">
      <alignment horizontal="center" shrinkToFit="0" vertical="center" wrapText="1"/>
    </xf>
    <xf borderId="17" fillId="38" fontId="43" numFmtId="0" xfId="0" applyAlignment="1" applyBorder="1" applyFont="1">
      <alignment horizontal="center" shrinkToFit="0" vertical="center" wrapText="1"/>
    </xf>
    <xf borderId="20" fillId="53" fontId="41" numFmtId="0" xfId="0" applyAlignment="1" applyBorder="1" applyFill="1" applyFont="1">
      <alignment horizontal="center" shrinkToFit="0" vertical="center" wrapText="1"/>
    </xf>
    <xf borderId="21" fillId="53" fontId="41" numFmtId="0" xfId="0" applyAlignment="1" applyBorder="1" applyFont="1">
      <alignment horizontal="center" shrinkToFit="0" vertical="center" wrapText="1"/>
    </xf>
    <xf borderId="22" fillId="53" fontId="41" numFmtId="0" xfId="0" applyAlignment="1" applyBorder="1" applyFont="1">
      <alignment horizontal="center" shrinkToFit="0" vertical="center" wrapText="1"/>
    </xf>
    <xf borderId="15" fillId="53" fontId="41" numFmtId="0" xfId="0" applyAlignment="1" applyBorder="1" applyFont="1">
      <alignment horizontal="center" shrinkToFit="0" vertical="center" wrapText="1"/>
    </xf>
    <xf borderId="16" fillId="53" fontId="41" numFmtId="0" xfId="0" applyAlignment="1" applyBorder="1" applyFont="1">
      <alignment horizontal="center" shrinkToFit="0" vertical="center" wrapText="1"/>
    </xf>
    <xf borderId="17" fillId="53" fontId="41" numFmtId="0" xfId="0" applyAlignment="1" applyBorder="1" applyFont="1">
      <alignment horizontal="center" shrinkToFit="0" vertical="center" wrapText="1"/>
    </xf>
    <xf borderId="23" fillId="17" fontId="36" numFmtId="0" xfId="0" applyAlignment="1" applyBorder="1" applyFont="1">
      <alignment horizontal="center" readingOrder="0" shrinkToFit="0" vertical="center" wrapText="1"/>
    </xf>
    <xf borderId="20" fillId="54" fontId="41" numFmtId="0" xfId="0" applyAlignment="1" applyBorder="1" applyFill="1" applyFont="1">
      <alignment horizontal="center" shrinkToFit="0" vertical="center" wrapText="1"/>
    </xf>
    <xf borderId="21" fillId="54" fontId="41" numFmtId="0" xfId="0" applyAlignment="1" applyBorder="1" applyFont="1">
      <alignment horizontal="center" shrinkToFit="0" vertical="center" wrapText="1"/>
    </xf>
    <xf borderId="22" fillId="54" fontId="41" numFmtId="0" xfId="0" applyAlignment="1" applyBorder="1" applyFont="1">
      <alignment horizontal="center" shrinkToFit="0" vertical="center" wrapText="1"/>
    </xf>
    <xf borderId="15" fillId="54" fontId="41" numFmtId="0" xfId="0" applyAlignment="1" applyBorder="1" applyFont="1">
      <alignment horizontal="center" shrinkToFit="0" vertical="center" wrapText="1"/>
    </xf>
    <xf borderId="16" fillId="54" fontId="41" numFmtId="0" xfId="0" applyAlignment="1" applyBorder="1" applyFont="1">
      <alignment horizontal="center" shrinkToFit="0" vertical="center" wrapText="1"/>
    </xf>
    <xf borderId="17" fillId="54" fontId="41" numFmtId="0" xfId="0" applyAlignment="1" applyBorder="1" applyFont="1">
      <alignment horizontal="center" shrinkToFit="0" vertical="center" wrapText="1"/>
    </xf>
    <xf borderId="15" fillId="55" fontId="44" numFmtId="0" xfId="0" applyAlignment="1" applyBorder="1" applyFill="1" applyFont="1">
      <alignment horizontal="center" shrinkToFit="0" vertical="center" wrapText="1"/>
    </xf>
    <xf borderId="16" fillId="55" fontId="44" numFmtId="0" xfId="0" applyAlignment="1" applyBorder="1" applyFont="1">
      <alignment horizontal="center" shrinkToFit="0" vertical="center" wrapText="1"/>
    </xf>
    <xf borderId="17" fillId="55" fontId="44" numFmtId="0" xfId="0" applyAlignment="1" applyBorder="1" applyFont="1">
      <alignment horizontal="center" shrinkToFit="0" vertical="center" wrapText="1"/>
    </xf>
    <xf borderId="24" fillId="17" fontId="36" numFmtId="0" xfId="0" applyAlignment="1" applyBorder="1" applyFont="1">
      <alignment horizontal="center" readingOrder="0" shrinkToFit="0" vertical="center" wrapText="1"/>
    </xf>
    <xf borderId="7" fillId="17" fontId="36" numFmtId="0" xfId="0" applyAlignment="1" applyBorder="1" applyFont="1">
      <alignment horizontal="center" readingOrder="0" shrinkToFit="0" vertical="center" wrapText="1"/>
    </xf>
    <xf borderId="25" fillId="17" fontId="36" numFmtId="0" xfId="0" applyAlignment="1" applyBorder="1" applyFont="1">
      <alignment horizontal="center" readingOrder="0" shrinkToFit="0" vertical="center" wrapText="1"/>
    </xf>
    <xf borderId="0" fillId="0" fontId="21" numFmtId="0" xfId="0" applyFont="1"/>
    <xf borderId="0" fillId="0" fontId="1" numFmtId="170" xfId="0" applyFont="1" applyNumberFormat="1"/>
    <xf borderId="4" fillId="56" fontId="45" numFmtId="0" xfId="0" applyAlignment="1" applyBorder="1" applyFill="1" applyFont="1">
      <alignment horizontal="center" shrinkToFit="0" vertical="center" wrapText="1"/>
    </xf>
    <xf borderId="4" fillId="56" fontId="45" numFmtId="0" xfId="0" applyAlignment="1" applyBorder="1" applyFont="1">
      <alignment horizontal="center" readingOrder="0" shrinkToFit="0" vertical="center" wrapText="1"/>
    </xf>
    <xf borderId="4" fillId="57" fontId="46" numFmtId="0" xfId="0" applyAlignment="1" applyBorder="1" applyFill="1" applyFont="1">
      <alignment horizontal="center" readingOrder="0" shrinkToFit="0" vertical="center" wrapText="1"/>
    </xf>
    <xf borderId="4" fillId="57" fontId="46" numFmtId="0" xfId="0" applyAlignment="1" applyBorder="1" applyFont="1">
      <alignment horizontal="center" shrinkToFit="0" vertical="center" wrapText="1"/>
    </xf>
    <xf borderId="0" fillId="0" fontId="47" numFmtId="0" xfId="0" applyAlignment="1" applyFont="1">
      <alignment vertical="center"/>
    </xf>
    <xf borderId="7" fillId="0" fontId="45" numFmtId="0" xfId="0" applyAlignment="1" applyBorder="1" applyFont="1">
      <alignment horizontal="center" vertical="center"/>
    </xf>
    <xf borderId="4" fillId="38" fontId="48" numFmtId="0" xfId="0" applyAlignment="1" applyBorder="1" applyFont="1">
      <alignment horizontal="center" vertical="center"/>
    </xf>
    <xf borderId="4" fillId="38" fontId="48" numFmtId="0" xfId="0" applyAlignment="1" applyBorder="1" applyFont="1">
      <alignment vertical="center"/>
    </xf>
    <xf borderId="4" fillId="0" fontId="48" numFmtId="0" xfId="0" applyAlignment="1" applyBorder="1" applyFont="1">
      <alignment vertical="center"/>
    </xf>
    <xf borderId="7" fillId="58" fontId="27" numFmtId="14" xfId="0" applyAlignment="1" applyBorder="1" applyFill="1" applyFont="1" applyNumberFormat="1">
      <alignment horizontal="center" vertical="center"/>
    </xf>
    <xf borderId="4" fillId="0" fontId="47" numFmtId="0" xfId="0" applyAlignment="1" applyBorder="1" applyFont="1">
      <alignment horizontal="center" vertical="center"/>
    </xf>
    <xf borderId="4" fillId="0" fontId="47" numFmtId="0" xfId="0" applyAlignment="1" applyBorder="1" applyFont="1">
      <alignment vertical="center"/>
    </xf>
    <xf borderId="4" fillId="0" fontId="48" numFmtId="0" xfId="0" applyAlignment="1" applyBorder="1" applyFont="1">
      <alignment horizontal="center" vertical="center"/>
    </xf>
    <xf borderId="4" fillId="0" fontId="48" numFmtId="0" xfId="0" applyAlignment="1" applyBorder="1" applyFont="1">
      <alignment shrinkToFit="0" vertical="center" wrapText="1"/>
    </xf>
    <xf borderId="4" fillId="59" fontId="45" numFmtId="0" xfId="0" applyAlignment="1" applyBorder="1" applyFill="1" applyFont="1">
      <alignment horizontal="center" vertical="center"/>
    </xf>
    <xf borderId="4" fillId="59" fontId="48" numFmtId="0" xfId="0" applyAlignment="1" applyBorder="1" applyFont="1">
      <alignment horizontal="center" vertical="center"/>
    </xf>
    <xf borderId="4" fillId="59" fontId="48" numFmtId="0" xfId="0" applyAlignment="1" applyBorder="1" applyFont="1">
      <alignment vertical="center"/>
    </xf>
    <xf borderId="4" fillId="59" fontId="48" numFmtId="0" xfId="0" applyAlignment="1" applyBorder="1" applyFont="1">
      <alignment shrinkToFit="0" vertical="center" wrapText="1"/>
    </xf>
    <xf borderId="4" fillId="58" fontId="27" numFmtId="14" xfId="0" applyAlignment="1" applyBorder="1" applyFont="1" applyNumberFormat="1">
      <alignment horizontal="center" vertical="center"/>
    </xf>
    <xf borderId="4" fillId="58" fontId="27" numFmtId="0" xfId="0" applyAlignment="1" applyBorder="1" applyFont="1">
      <alignment horizontal="center" vertical="center"/>
    </xf>
    <xf borderId="4" fillId="0" fontId="45" numFmtId="0" xfId="0" applyAlignment="1" applyBorder="1" applyFont="1">
      <alignment horizontal="center" vertical="center"/>
    </xf>
    <xf borderId="4" fillId="0" fontId="45" numFmtId="0" xfId="0" applyAlignment="1" applyBorder="1" applyFont="1">
      <alignment horizontal="center" shrinkToFit="0" vertical="center" wrapText="1"/>
    </xf>
    <xf borderId="4" fillId="0" fontId="48" numFmtId="0" xfId="0" applyAlignment="1" applyBorder="1" applyFont="1">
      <alignment horizontal="center" shrinkToFit="0" vertical="center" wrapText="1"/>
    </xf>
    <xf borderId="7" fillId="60" fontId="27" numFmtId="0" xfId="0" applyAlignment="1" applyBorder="1" applyFill="1" applyFont="1">
      <alignment horizontal="center" shrinkToFit="0" vertical="center" wrapText="1"/>
    </xf>
    <xf borderId="4" fillId="60" fontId="48" numFmtId="0" xfId="0" applyAlignment="1" applyBorder="1" applyFont="1">
      <alignment horizontal="center" shrinkToFit="0" vertical="center" wrapText="1"/>
    </xf>
    <xf borderId="4" fillId="60" fontId="48" numFmtId="0" xfId="0" applyAlignment="1" applyBorder="1" applyFont="1">
      <alignment shrinkToFit="0" vertical="center" wrapText="1"/>
    </xf>
    <xf borderId="4" fillId="0" fontId="47" numFmtId="0" xfId="0" applyAlignment="1" applyBorder="1" applyFont="1">
      <alignment horizontal="center" shrinkToFit="0" vertical="center" wrapText="1"/>
    </xf>
    <xf borderId="4" fillId="60" fontId="45" numFmtId="0" xfId="0" applyAlignment="1" applyBorder="1" applyFont="1">
      <alignment horizontal="center" shrinkToFit="0" vertical="center" wrapText="1"/>
    </xf>
    <xf borderId="4" fillId="13" fontId="27" numFmtId="0" xfId="0" applyAlignment="1" applyBorder="1" applyFont="1">
      <alignment horizontal="center" shrinkToFit="0" vertical="center" wrapText="1"/>
    </xf>
    <xf borderId="7" fillId="0" fontId="45" numFmtId="0" xfId="0" applyAlignment="1" applyBorder="1" applyFont="1">
      <alignment horizontal="center" shrinkToFit="0" vertical="center" wrapText="1"/>
    </xf>
    <xf borderId="7" fillId="60" fontId="45" numFmtId="0" xfId="0" applyAlignment="1" applyBorder="1" applyFont="1">
      <alignment horizontal="center" shrinkToFit="0" vertical="center" wrapText="1"/>
    </xf>
    <xf borderId="4" fillId="60" fontId="47" numFmtId="0" xfId="0" applyAlignment="1" applyBorder="1" applyFont="1">
      <alignment vertical="center"/>
    </xf>
    <xf borderId="4" fillId="0" fontId="45" numFmtId="171" xfId="0" applyAlignment="1" applyBorder="1" applyFont="1" applyNumberFormat="1">
      <alignment horizontal="center" shrinkToFit="0" vertical="center" wrapText="1"/>
    </xf>
    <xf borderId="7" fillId="60" fontId="48" numFmtId="0" xfId="0" applyAlignment="1" applyBorder="1" applyFont="1">
      <alignment horizontal="center" shrinkToFit="0" vertical="center" wrapText="1"/>
    </xf>
    <xf borderId="4" fillId="0" fontId="45" numFmtId="0" xfId="0" applyAlignment="1" applyBorder="1" applyFont="1">
      <alignment horizontal="center" readingOrder="0" shrinkToFit="0" vertical="center" wrapText="1"/>
    </xf>
    <xf borderId="4" fillId="0" fontId="47" numFmtId="0" xfId="0" applyAlignment="1" applyBorder="1" applyFont="1">
      <alignment shrinkToFit="0" vertical="center" wrapText="1"/>
    </xf>
    <xf borderId="4" fillId="60" fontId="48" numFmtId="0" xfId="0" applyAlignment="1" applyBorder="1" applyFont="1">
      <alignment horizontal="center" readingOrder="0" shrinkToFit="0" vertical="center" wrapText="1"/>
    </xf>
    <xf borderId="0" fillId="60" fontId="47" numFmtId="0" xfId="0" applyAlignment="1" applyFont="1">
      <alignment vertical="center"/>
    </xf>
    <xf borderId="4" fillId="4" fontId="45" numFmtId="0" xfId="0" applyAlignment="1" applyBorder="1" applyFont="1">
      <alignment horizontal="center" shrinkToFit="0" vertical="center" wrapText="1"/>
    </xf>
    <xf borderId="4" fillId="4" fontId="48" numFmtId="0" xfId="0" applyAlignment="1" applyBorder="1" applyFont="1">
      <alignment horizontal="center" shrinkToFit="0" vertical="center" wrapText="1"/>
    </xf>
    <xf borderId="4" fillId="4" fontId="48" numFmtId="0" xfId="0" applyAlignment="1" applyBorder="1" applyFont="1">
      <alignment shrinkToFit="0" vertical="center" wrapText="1"/>
    </xf>
    <xf borderId="4" fillId="4" fontId="45" numFmtId="0" xfId="0" applyAlignment="1" applyBorder="1" applyFont="1">
      <alignment horizontal="center" readingOrder="0" shrinkToFit="0" vertical="center" wrapText="1"/>
    </xf>
    <xf borderId="4" fillId="4" fontId="47" numFmtId="0" xfId="0" applyAlignment="1" applyBorder="1" applyFont="1">
      <alignment vertical="center"/>
    </xf>
    <xf borderId="0" fillId="4" fontId="47" numFmtId="0" xfId="0" applyAlignment="1" applyFont="1">
      <alignment vertical="center"/>
    </xf>
    <xf borderId="4" fillId="60" fontId="45" numFmtId="0" xfId="0" applyAlignment="1" applyBorder="1" applyFont="1">
      <alignment horizontal="center" readingOrder="0" shrinkToFit="0" vertical="center" wrapText="1"/>
    </xf>
    <xf borderId="4" fillId="4" fontId="48" numFmtId="0" xfId="0" applyAlignment="1" applyBorder="1" applyFont="1">
      <alignment horizontal="center" readingOrder="0" shrinkToFit="0" vertical="center" wrapText="1"/>
    </xf>
    <xf borderId="4" fillId="4" fontId="48" numFmtId="164" xfId="0" applyAlignment="1" applyBorder="1" applyFont="1" applyNumberFormat="1">
      <alignment horizontal="center" readingOrder="0" shrinkToFit="0" vertical="center" wrapText="1"/>
    </xf>
    <xf borderId="4" fillId="60" fontId="45" numFmtId="0" xfId="0" applyAlignment="1" applyBorder="1" applyFont="1">
      <alignment horizontal="center" shrinkToFit="0" vertical="center" wrapText="1"/>
    </xf>
    <xf borderId="4" fillId="60" fontId="48" numFmtId="0" xfId="0" applyAlignment="1" applyBorder="1" applyFont="1">
      <alignment readingOrder="0" shrinkToFit="0" vertical="center" wrapText="1"/>
    </xf>
    <xf borderId="4" fillId="60" fontId="48" numFmtId="0" xfId="0" applyAlignment="1" applyBorder="1" applyFont="1">
      <alignment readingOrder="0" shrinkToFit="0" vertical="center" wrapText="1"/>
    </xf>
    <xf borderId="4" fillId="4" fontId="48" numFmtId="0" xfId="0" applyAlignment="1" applyBorder="1" applyFont="1">
      <alignment readingOrder="0" shrinkToFit="0" vertical="center" wrapText="1"/>
    </xf>
    <xf borderId="7" fillId="60" fontId="45" numFmtId="0" xfId="0" applyAlignment="1" applyBorder="1" applyFont="1">
      <alignment horizontal="center" readingOrder="0" shrinkToFit="0" vertical="center" wrapText="1"/>
    </xf>
    <xf borderId="4" fillId="60" fontId="48" numFmtId="164" xfId="0" applyAlignment="1" applyBorder="1" applyFont="1" applyNumberFormat="1">
      <alignment horizontal="center" readingOrder="0" shrinkToFit="0" vertical="center" wrapText="1"/>
    </xf>
    <xf borderId="4" fillId="4" fontId="48" numFmtId="0" xfId="0" applyAlignment="1" applyBorder="1" applyFont="1">
      <alignment horizontal="center" readingOrder="0" vertical="center"/>
    </xf>
    <xf borderId="0" fillId="0" fontId="49" numFmtId="0" xfId="0" applyAlignment="1" applyFont="1">
      <alignment readingOrder="0" vertical="center"/>
    </xf>
    <xf borderId="0" fillId="0" fontId="49" numFmtId="0" xfId="0" applyAlignment="1" applyFont="1">
      <alignment horizontal="center" readingOrder="0" vertical="center"/>
    </xf>
    <xf borderId="0" fillId="0" fontId="49" numFmtId="0" xfId="0" applyAlignment="1" applyFont="1">
      <alignment vertical="center"/>
    </xf>
    <xf borderId="0" fillId="4" fontId="50" numFmtId="0" xfId="0" applyAlignment="1" applyFont="1">
      <alignment horizontal="center" readingOrder="0" shrinkToFit="0" vertical="center" wrapText="1"/>
    </xf>
    <xf borderId="0" fillId="4" fontId="50" numFmtId="0" xfId="0" applyAlignment="1" applyFont="1">
      <alignment horizontal="center" readingOrder="0" vertical="center"/>
    </xf>
    <xf borderId="0" fillId="4" fontId="49" numFmtId="0" xfId="0" applyAlignment="1" applyFont="1">
      <alignment vertical="center"/>
    </xf>
  </cellXfs>
  <cellStyles count="1">
    <cellStyle xfId="0" name="Normal" builtinId="0"/>
  </cellStyles>
  <dxfs count="4">
    <dxf>
      <font/>
      <fill>
        <patternFill patternType="none"/>
      </fill>
      <border/>
    </dxf>
    <dxf>
      <font/>
      <fill>
        <patternFill patternType="solid">
          <fgColor rgb="FFFCE8B2"/>
          <bgColor rgb="FFFCE8B2"/>
        </patternFill>
      </fill>
      <border/>
    </dxf>
    <dxf>
      <font>
        <color rgb="FF000000"/>
      </font>
      <fill>
        <patternFill patternType="none"/>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1.xml"/><Relationship Id="rId16" Type="http://schemas.openxmlformats.org/officeDocument/2006/relationships/worksheet" Target="worksheets/sheet12.xml"/><Relationship Id="rId19" Type="http://schemas.openxmlformats.org/officeDocument/2006/relationships/pivotCacheDefinition" Target="pivotCache/pivotCacheDefinition3.xml"/><Relationship Id="rId18" Type="http://schemas.openxmlformats.org/officeDocument/2006/relationships/pivotCacheDefinition" Target="pivotCache/pivotCacheDefinition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Itens Certificados - Imaginarium</a:t>
            </a:r>
          </a:p>
        </c:rich>
      </c:tx>
      <c:overlay val="0"/>
    </c:title>
    <c:plotArea>
      <c:layout/>
      <c:barChart>
        <c:barDir val="col"/>
        <c:grouping val="stacked"/>
        <c:ser>
          <c:idx val="0"/>
          <c:order val="0"/>
          <c:tx>
            <c:strRef>
              <c:f>KPI!$E$14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KPI!$D$15:$D$24</c:f>
            </c:strRef>
          </c:cat>
          <c:val>
            <c:numRef>
              <c:f>KPI!$E$15:$E$24</c:f>
              <c:numCache/>
            </c:numRef>
          </c:val>
        </c:ser>
        <c:ser>
          <c:idx val="1"/>
          <c:order val="1"/>
          <c:tx>
            <c:strRef>
              <c:f>KPI!$F$14</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KPI!$D$15:$D$24</c:f>
            </c:strRef>
          </c:cat>
          <c:val>
            <c:numRef>
              <c:f>KPI!$F$15:$F$24</c:f>
              <c:numCache/>
            </c:numRef>
          </c:val>
        </c:ser>
        <c:ser>
          <c:idx val="2"/>
          <c:order val="2"/>
          <c:tx>
            <c:strRef>
              <c:f>KPI!$G$14</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KPI!$D$15:$D$24</c:f>
            </c:strRef>
          </c:cat>
          <c:val>
            <c:numRef>
              <c:f>KPI!$G$15:$G$24</c:f>
              <c:numCache/>
            </c:numRef>
          </c:val>
        </c:ser>
        <c:ser>
          <c:idx val="3"/>
          <c:order val="3"/>
          <c:tx>
            <c:strRef>
              <c:f>KPI!$H$14</c:f>
            </c:strRef>
          </c:tx>
          <c:spPr>
            <a:solidFill>
              <a:schemeClr val="accent4"/>
            </a:solidFill>
            <a:ln cmpd="sng">
              <a:solidFill>
                <a:srgbClr val="000000"/>
              </a:solidFill>
            </a:ln>
          </c:spPr>
          <c:cat>
            <c:strRef>
              <c:f>KPI!$D$15:$D$24</c:f>
            </c:strRef>
          </c:cat>
          <c:val>
            <c:numRef>
              <c:f>KPI!$H$15:$H$24</c:f>
              <c:numCache/>
            </c:numRef>
          </c:val>
        </c:ser>
        <c:overlap val="100"/>
        <c:axId val="1857385709"/>
        <c:axId val="284819895"/>
      </c:barChart>
      <c:catAx>
        <c:axId val="18573857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84819895"/>
      </c:catAx>
      <c:valAx>
        <c:axId val="284819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738570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Escolares Certificados - Puket</a:t>
            </a:r>
          </a:p>
        </c:rich>
      </c:tx>
      <c:overlay val="0"/>
    </c:title>
    <c:plotArea>
      <c:layout/>
      <c:barChart>
        <c:barDir val="col"/>
        <c:ser>
          <c:idx val="0"/>
          <c:order val="0"/>
          <c:tx>
            <c:strRef>
              <c:f>KPI!$L$23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KPI!$K$24:$K$29</c:f>
            </c:strRef>
          </c:cat>
          <c:val>
            <c:numRef>
              <c:f>KPI!$L$24:$L$29</c:f>
              <c:numCache/>
            </c:numRef>
          </c:val>
        </c:ser>
        <c:axId val="56907456"/>
        <c:axId val="296188990"/>
      </c:barChart>
      <c:catAx>
        <c:axId val="569074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96188990"/>
      </c:catAx>
      <c:valAx>
        <c:axId val="2961889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SKU</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90745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Itens Certificados - Puket</a:t>
            </a:r>
          </a:p>
        </c:rich>
      </c:tx>
      <c:overlay val="0"/>
    </c:title>
    <c:plotArea>
      <c:layout/>
      <c:barChart>
        <c:barDir val="col"/>
        <c:ser>
          <c:idx val="0"/>
          <c:order val="0"/>
          <c:tx>
            <c:strRef>
              <c:f>KPI!$L$14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KPI!$K$15:$K$20</c:f>
            </c:strRef>
          </c:cat>
          <c:val>
            <c:numRef>
              <c:f>KPI!$L$15:$L$20</c:f>
              <c:numCache/>
            </c:numRef>
          </c:val>
        </c:ser>
        <c:ser>
          <c:idx val="1"/>
          <c:order val="1"/>
          <c:tx>
            <c:strRef>
              <c:f>KPI!$M$14</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KPI!$K$15:$K$20</c:f>
            </c:strRef>
          </c:cat>
          <c:val>
            <c:numRef>
              <c:f>KPI!$M$15:$M$20</c:f>
              <c:numCache/>
            </c:numRef>
          </c:val>
        </c:ser>
        <c:ser>
          <c:idx val="2"/>
          <c:order val="2"/>
          <c:tx>
            <c:strRef>
              <c:f>KPI!$N$14</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KPI!$K$15:$K$20</c:f>
            </c:strRef>
          </c:cat>
          <c:val>
            <c:numRef>
              <c:f>KPI!$N$15:$N$20</c:f>
              <c:numCache/>
            </c:numRef>
          </c:val>
        </c:ser>
        <c:axId val="568026694"/>
        <c:axId val="1014501674"/>
      </c:barChart>
      <c:catAx>
        <c:axId val="5680266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14501674"/>
      </c:catAx>
      <c:valAx>
        <c:axId val="10145016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8026694"/>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3fbc1e0d-2808-441d-b1fa-e7a978927440}">
    <Anchor>
      <Comment id="{99af24ad-a644-4222-8f7a-a3522563e364}"/>
    </Anchor>
    <History>
      <Event time="2020-06-05T13:10:28.00" id="{f6be4f4c-881c-4bd1-8d5a-d851792f42e3}">
        <Attribution userId="placeholder@email.com" userName="Usuário excluído" userProvider="google-sheets"/>
        <Anchor>
          <Comment id="{99af24ad-a644-4222-8f7a-a3522563e364}"/>
        </Anchor>
        <Create/>
      </Event>
      <Event time="2020-06-05T13:10:28.00" id="{73ba3f4d-3780-4e31-b38c-8a1219ada368}">
        <Attribution userId="placeholder@email.com" userName="Usuário excluído" userProvider="google-sheets"/>
        <Anchor>
          <Comment id="{99af24ad-a644-4222-8f7a-a3522563e364}"/>
        </Anchor>
        <Assign userId="francielly.goulart@grupounico.com" userName="francielly.goulart@grupounico.com" userProvider="google-sheets"/>
      </Event>
    </History>
  </Task>
  <Task id="{10cd1b59-2051-4cc7-82a8-ffe8e5153db0}">
    <Anchor>
      <Comment id="{57147dde-8ef8-4057-ae1f-8c12dca3939e}"/>
    </Anchor>
    <History>
      <Event time="2020-07-22T20:00:12.00" id="{c4180a79-d563-49fb-b406-c0ece7c6b736}">
        <Attribution userId="placeholder@email.com" userName="Usuário excluído" userProvider="google-sheets"/>
        <Anchor>
          <Comment id="{57147dde-8ef8-4057-ae1f-8c12dca3939e}"/>
        </Anchor>
        <Create/>
      </Event>
      <Event time="2020-07-22T20:00:12.00" id="{609c1358-d615-497a-9f83-4eba211a0618}">
        <Attribution userId="placeholder@email.com" userName="Usuário excluído" userProvider="google-sheets"/>
        <Anchor>
          <Comment id="{57147dde-8ef8-4057-ae1f-8c12dca3939e}"/>
        </Anchor>
        <Assign userProvider="google-sheets"/>
      </Event>
    </History>
  </Task>
  <Task id="{6ed674a7-e0a1-4e63-8a29-7a1c110cf352}">
    <Anchor>
      <Comment id="{d3f7ee16-9faf-4cb2-942d-e2f26c89ca65}"/>
    </Anchor>
    <History>
      <Event time="2020-06-05T13:08:48.00" id="{b216d091-40b7-4099-a1d3-d85fb9cbbd0a}">
        <Attribution userId="placeholder@email.com" userName="Usuário excluído" userProvider="google-sheets"/>
        <Anchor>
          <Comment id="{d3f7ee16-9faf-4cb2-942d-e2f26c89ca65}"/>
        </Anchor>
        <Create/>
      </Event>
      <Event time="2020-06-05T13:08:48.00" id="{9c25ee89-b136-4a75-8959-9597aec041a2}">
        <Attribution userId="placeholder@email.com" userName="Usuário excluído" userProvider="google-sheets"/>
        <Anchor>
          <Comment id="{d3f7ee16-9faf-4cb2-942d-e2f26c89ca65}"/>
        </Anchor>
        <Assign userId="astec@imaginarium.com.br" userName="astec@imaginarium.com.br" userProvider="google-sheets"/>
      </Event>
    </History>
  </Task>
  <Task id="{71ea30bd-b85b-49fd-8852-32108a8636c3}">
    <Anchor>
      <Comment id="{e2291599-dd10-4579-9683-9428430d4304}"/>
    </Anchor>
    <History>
      <Event time="2019-12-02T13:26:34.00" id="{f15bc7f6-c1c4-48a3-b7d3-bddd5dfffa21}">
        <Attribution userId="placeholder@email.com" userName="Usuário excluído" userProvider="google-sheets"/>
        <Anchor>
          <Comment id="{e2291599-dd10-4579-9683-9428430d4304}"/>
        </Anchor>
        <Create/>
      </Event>
      <Event time="2019-12-02T13:26:34.00" id="{a1b1298e-bacb-40a9-a6fb-6619ed4e50db}">
        <Attribution userId="placeholder@email.com" userName="Usuário excluído" userProvider="google-sheets"/>
        <Anchor>
          <Comment id="{e2291599-dd10-4579-9683-9428430d4304}"/>
        </Anchor>
        <Assign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0" Type="http://schemas.openxmlformats.org/officeDocument/2006/relationships/image" Target="../media/image14.png"/><Relationship Id="rId22" Type="http://schemas.openxmlformats.org/officeDocument/2006/relationships/image" Target="../media/image9.png"/><Relationship Id="rId21" Type="http://schemas.openxmlformats.org/officeDocument/2006/relationships/image" Target="../media/image27.png"/><Relationship Id="rId24" Type="http://schemas.openxmlformats.org/officeDocument/2006/relationships/image" Target="../media/image23.png"/><Relationship Id="rId23" Type="http://schemas.openxmlformats.org/officeDocument/2006/relationships/image" Target="../media/image24.png"/><Relationship Id="rId1" Type="http://schemas.openxmlformats.org/officeDocument/2006/relationships/image" Target="../media/image13.png"/><Relationship Id="rId2" Type="http://schemas.openxmlformats.org/officeDocument/2006/relationships/image" Target="../media/image3.png"/><Relationship Id="rId3" Type="http://schemas.openxmlformats.org/officeDocument/2006/relationships/image" Target="../media/image8.png"/><Relationship Id="rId4" Type="http://schemas.openxmlformats.org/officeDocument/2006/relationships/image" Target="../media/image16.png"/><Relationship Id="rId9" Type="http://schemas.openxmlformats.org/officeDocument/2006/relationships/image" Target="../media/image2.png"/><Relationship Id="rId26" Type="http://schemas.openxmlformats.org/officeDocument/2006/relationships/image" Target="../media/image30.png"/><Relationship Id="rId25" Type="http://schemas.openxmlformats.org/officeDocument/2006/relationships/image" Target="../media/image17.png"/><Relationship Id="rId28" Type="http://schemas.openxmlformats.org/officeDocument/2006/relationships/image" Target="../media/image25.png"/><Relationship Id="rId27" Type="http://schemas.openxmlformats.org/officeDocument/2006/relationships/image" Target="../media/image26.png"/><Relationship Id="rId5" Type="http://schemas.openxmlformats.org/officeDocument/2006/relationships/image" Target="../media/image7.png"/><Relationship Id="rId6" Type="http://schemas.openxmlformats.org/officeDocument/2006/relationships/image" Target="../media/image11.png"/><Relationship Id="rId29" Type="http://schemas.openxmlformats.org/officeDocument/2006/relationships/image" Target="../media/image28.png"/><Relationship Id="rId7" Type="http://schemas.openxmlformats.org/officeDocument/2006/relationships/image" Target="../media/image20.png"/><Relationship Id="rId8" Type="http://schemas.openxmlformats.org/officeDocument/2006/relationships/image" Target="../media/image18.png"/><Relationship Id="rId31" Type="http://schemas.openxmlformats.org/officeDocument/2006/relationships/image" Target="../media/image33.png"/><Relationship Id="rId30" Type="http://schemas.openxmlformats.org/officeDocument/2006/relationships/image" Target="../media/image29.png"/><Relationship Id="rId11" Type="http://schemas.openxmlformats.org/officeDocument/2006/relationships/image" Target="../media/image22.png"/><Relationship Id="rId33" Type="http://schemas.openxmlformats.org/officeDocument/2006/relationships/image" Target="../media/image34.png"/><Relationship Id="rId10" Type="http://schemas.openxmlformats.org/officeDocument/2006/relationships/image" Target="../media/image4.png"/><Relationship Id="rId32" Type="http://schemas.openxmlformats.org/officeDocument/2006/relationships/image" Target="../media/image32.png"/><Relationship Id="rId13" Type="http://schemas.openxmlformats.org/officeDocument/2006/relationships/image" Target="../media/image5.png"/><Relationship Id="rId12" Type="http://schemas.openxmlformats.org/officeDocument/2006/relationships/image" Target="../media/image35.png"/><Relationship Id="rId34" Type="http://schemas.openxmlformats.org/officeDocument/2006/relationships/image" Target="../media/image31.png"/><Relationship Id="rId15" Type="http://schemas.openxmlformats.org/officeDocument/2006/relationships/image" Target="../media/image6.png"/><Relationship Id="rId14" Type="http://schemas.openxmlformats.org/officeDocument/2006/relationships/image" Target="../media/image12.png"/><Relationship Id="rId17" Type="http://schemas.openxmlformats.org/officeDocument/2006/relationships/image" Target="../media/image10.png"/><Relationship Id="rId16" Type="http://schemas.openxmlformats.org/officeDocument/2006/relationships/image" Target="../media/image19.png"/><Relationship Id="rId19" Type="http://schemas.openxmlformats.org/officeDocument/2006/relationships/image" Target="../media/image15.png"/><Relationship Id="rId18" Type="http://schemas.openxmlformats.org/officeDocument/2006/relationships/image" Target="../media/image2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6.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0</xdr:rowOff>
    </xdr:from>
    <xdr:ext cx="533400" cy="5619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28700" cy="571500"/>
    <xdr:pic>
      <xdr:nvPicPr>
        <xdr:cNvPr id="0" name="image13.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971550" cy="571500"/>
    <xdr:pic>
      <xdr:nvPicPr>
        <xdr:cNvPr id="0" name="image3.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790575" cy="571500"/>
    <xdr:pic>
      <xdr:nvPicPr>
        <xdr:cNvPr id="0" name="image8.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771525" cy="571500"/>
    <xdr:pic>
      <xdr:nvPicPr>
        <xdr:cNvPr id="0" name="image16.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6</xdr:row>
      <xdr:rowOff>0</xdr:rowOff>
    </xdr:from>
    <xdr:ext cx="447675" cy="561975"/>
    <xdr:pic>
      <xdr:nvPicPr>
        <xdr:cNvPr id="0" name="image7.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7</xdr:row>
      <xdr:rowOff>0</xdr:rowOff>
    </xdr:from>
    <xdr:ext cx="514350" cy="57150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8</xdr:row>
      <xdr:rowOff>0</xdr:rowOff>
    </xdr:from>
    <xdr:ext cx="581025" cy="571500"/>
    <xdr:pic>
      <xdr:nvPicPr>
        <xdr:cNvPr id="0" name="image20.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10</xdr:row>
      <xdr:rowOff>0</xdr:rowOff>
    </xdr:from>
    <xdr:ext cx="514350" cy="57150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11</xdr:row>
      <xdr:rowOff>0</xdr:rowOff>
    </xdr:from>
    <xdr:ext cx="447675" cy="561975"/>
    <xdr:pic>
      <xdr:nvPicPr>
        <xdr:cNvPr id="0" name="image7.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12</xdr:row>
      <xdr:rowOff>0</xdr:rowOff>
    </xdr:from>
    <xdr:ext cx="504825" cy="571500"/>
    <xdr:pic>
      <xdr:nvPicPr>
        <xdr:cNvPr id="0" name="image18.png" title="Imagem"/>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13</xdr:row>
      <xdr:rowOff>0</xdr:rowOff>
    </xdr:from>
    <xdr:ext cx="523875" cy="571500"/>
    <xdr:pic>
      <xdr:nvPicPr>
        <xdr:cNvPr id="0" name="image2.png" title="Imagem"/>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14</xdr:row>
      <xdr:rowOff>0</xdr:rowOff>
    </xdr:from>
    <xdr:ext cx="619125" cy="571500"/>
    <xdr:pic>
      <xdr:nvPicPr>
        <xdr:cNvPr id="0" name="image4.png" title="Imagem"/>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xdr:row>
      <xdr:rowOff>0</xdr:rowOff>
    </xdr:from>
    <xdr:ext cx="609600" cy="571500"/>
    <xdr:pic>
      <xdr:nvPicPr>
        <xdr:cNvPr id="0" name="image22.png" title="Imagem"/>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16</xdr:row>
      <xdr:rowOff>0</xdr:rowOff>
    </xdr:from>
    <xdr:ext cx="571500" cy="571500"/>
    <xdr:pic>
      <xdr:nvPicPr>
        <xdr:cNvPr id="0" name="image35.png" title="Imagem"/>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17</xdr:row>
      <xdr:rowOff>0</xdr:rowOff>
    </xdr:from>
    <xdr:ext cx="590550" cy="571500"/>
    <xdr:pic>
      <xdr:nvPicPr>
        <xdr:cNvPr id="0" name="image5.png" title="Imagem"/>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18</xdr:row>
      <xdr:rowOff>0</xdr:rowOff>
    </xdr:from>
    <xdr:ext cx="542925" cy="571500"/>
    <xdr:pic>
      <xdr:nvPicPr>
        <xdr:cNvPr id="0" name="image12.png" title="Imagem"/>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19</xdr:row>
      <xdr:rowOff>0</xdr:rowOff>
    </xdr:from>
    <xdr:ext cx="600075" cy="571500"/>
    <xdr:pic>
      <xdr:nvPicPr>
        <xdr:cNvPr id="0" name="image6.png" title="Imagem"/>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20</xdr:row>
      <xdr:rowOff>0</xdr:rowOff>
    </xdr:from>
    <xdr:ext cx="561975" cy="571500"/>
    <xdr:pic>
      <xdr:nvPicPr>
        <xdr:cNvPr id="0" name="image19.png" title="Imagem"/>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21</xdr:row>
      <xdr:rowOff>0</xdr:rowOff>
    </xdr:from>
    <xdr:ext cx="428625" cy="571500"/>
    <xdr:pic>
      <xdr:nvPicPr>
        <xdr:cNvPr id="0" name="image10.png" title="Imagem"/>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22</xdr:row>
      <xdr:rowOff>0</xdr:rowOff>
    </xdr:from>
    <xdr:ext cx="361950" cy="571500"/>
    <xdr:pic>
      <xdr:nvPicPr>
        <xdr:cNvPr id="0" name="image21.png" title="Imagem"/>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23</xdr:row>
      <xdr:rowOff>0</xdr:rowOff>
    </xdr:from>
    <xdr:ext cx="400050" cy="571500"/>
    <xdr:pic>
      <xdr:nvPicPr>
        <xdr:cNvPr id="0" name="image15.png" title="Imagem"/>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24</xdr:row>
      <xdr:rowOff>0</xdr:rowOff>
    </xdr:from>
    <xdr:ext cx="457200" cy="571500"/>
    <xdr:pic>
      <xdr:nvPicPr>
        <xdr:cNvPr id="0" name="image14.png" title="Imagem"/>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25</xdr:row>
      <xdr:rowOff>0</xdr:rowOff>
    </xdr:from>
    <xdr:ext cx="476250" cy="571500"/>
    <xdr:pic>
      <xdr:nvPicPr>
        <xdr:cNvPr id="0" name="image27.png" title="Imagem"/>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26</xdr:row>
      <xdr:rowOff>0</xdr:rowOff>
    </xdr:from>
    <xdr:ext cx="742950" cy="571500"/>
    <xdr:pic>
      <xdr:nvPicPr>
        <xdr:cNvPr id="0" name="image9.png" title="Imagem"/>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27</xdr:row>
      <xdr:rowOff>0</xdr:rowOff>
    </xdr:from>
    <xdr:ext cx="371475" cy="571500"/>
    <xdr:pic>
      <xdr:nvPicPr>
        <xdr:cNvPr id="0" name="image24.png" title="Imagem"/>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29</xdr:row>
      <xdr:rowOff>0</xdr:rowOff>
    </xdr:from>
    <xdr:ext cx="495300" cy="571500"/>
    <xdr:pic>
      <xdr:nvPicPr>
        <xdr:cNvPr id="0" name="image23.png" title="Imagem"/>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30</xdr:row>
      <xdr:rowOff>0</xdr:rowOff>
    </xdr:from>
    <xdr:ext cx="419100" cy="571500"/>
    <xdr:pic>
      <xdr:nvPicPr>
        <xdr:cNvPr id="0" name="image17.png" title="Imagem"/>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31</xdr:row>
      <xdr:rowOff>0</xdr:rowOff>
    </xdr:from>
    <xdr:ext cx="571500" cy="571500"/>
    <xdr:pic>
      <xdr:nvPicPr>
        <xdr:cNvPr id="0" name="image30.png" title="Imagem"/>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32</xdr:row>
      <xdr:rowOff>0</xdr:rowOff>
    </xdr:from>
    <xdr:ext cx="457200" cy="571500"/>
    <xdr:pic>
      <xdr:nvPicPr>
        <xdr:cNvPr id="0" name="image26.png" title="Imagem"/>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33</xdr:row>
      <xdr:rowOff>0</xdr:rowOff>
    </xdr:from>
    <xdr:ext cx="619125" cy="571500"/>
    <xdr:pic>
      <xdr:nvPicPr>
        <xdr:cNvPr id="0" name="image25.png" title="Imagem"/>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34</xdr:row>
      <xdr:rowOff>0</xdr:rowOff>
    </xdr:from>
    <xdr:ext cx="600075" cy="571500"/>
    <xdr:pic>
      <xdr:nvPicPr>
        <xdr:cNvPr id="0" name="image28.png" title="Imagem"/>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35</xdr:row>
      <xdr:rowOff>0</xdr:rowOff>
    </xdr:from>
    <xdr:ext cx="419100" cy="561975"/>
    <xdr:pic>
      <xdr:nvPicPr>
        <xdr:cNvPr id="0" name="image29.png" title="Imagem"/>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36</xdr:row>
      <xdr:rowOff>0</xdr:rowOff>
    </xdr:from>
    <xdr:ext cx="428625" cy="561975"/>
    <xdr:pic>
      <xdr:nvPicPr>
        <xdr:cNvPr id="0" name="image33.png" title="Imagem"/>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37</xdr:row>
      <xdr:rowOff>0</xdr:rowOff>
    </xdr:from>
    <xdr:ext cx="466725" cy="571500"/>
    <xdr:pic>
      <xdr:nvPicPr>
        <xdr:cNvPr id="0" name="image32.png" title="Imagem"/>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38</xdr:row>
      <xdr:rowOff>0</xdr:rowOff>
    </xdr:from>
    <xdr:ext cx="457200" cy="571500"/>
    <xdr:pic>
      <xdr:nvPicPr>
        <xdr:cNvPr id="0" name="image34.png" title="Imagem"/>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39</xdr:row>
      <xdr:rowOff>0</xdr:rowOff>
    </xdr:from>
    <xdr:ext cx="209550" cy="571500"/>
    <xdr:pic>
      <xdr:nvPicPr>
        <xdr:cNvPr id="0" name="image31.png" title="Imagem"/>
        <xdr:cNvPicPr preferRelativeResize="0"/>
      </xdr:nvPicPr>
      <xdr:blipFill>
        <a:blip cstate="print" r:embed="rId3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142875</xdr:colOff>
      <xdr:row>2</xdr:row>
      <xdr:rowOff>552450</xdr:rowOff>
    </xdr:from>
    <xdr:ext cx="2343150" cy="1714500"/>
    <xdr:pic>
      <xdr:nvPicPr>
        <xdr:cNvPr id="0" name="image36.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266700</xdr:colOff>
      <xdr:row>0</xdr:row>
      <xdr:rowOff>47625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266700</xdr:colOff>
      <xdr:row>28</xdr:row>
      <xdr:rowOff>161925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266700</xdr:colOff>
      <xdr:row>13</xdr:row>
      <xdr:rowOff>371475</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504825</xdr:colOff>
      <xdr:row>91</xdr:row>
      <xdr:rowOff>276225</xdr:rowOff>
    </xdr:from>
    <xdr:ext cx="8172450" cy="4000500"/>
    <xdr:pic>
      <xdr:nvPicPr>
        <xdr:cNvPr id="0" name="image37.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Usuário excluído" id="{1422f3a2-dde3-4fd9-a29a-379da87b882c}" providerId="google-sheets"/>
  <x18tc:person displayName="astec@imaginarium.com.br" id="{854af053-07b8-40b0-8c87-a18909d4d6a3}" userId="astec@imaginarium.com.br" providerId="google-sheets"/>
  <x18tc:person displayName="Usuário excluído" id="{c1012cf8-d5d4-410f-8eae-bb2689cbf168}" providerId="google-sheets"/>
  <x18tc:person displayName="willian.miranda@imaginarium.com.br" id="{c5e49e63-f4b4-44ee-9a90-9c07cdb6ff89}" userId="willian.miranda@imaginarium.com.br" providerId="google-sheets"/>
  <x18tc:person displayName="Usuário excluído" id="{69f66124-b151-4186-ba98-d80fb3eb4b95}" providerId="google-sheets"/>
  <x18tc:person displayName="guilherme.carvalho@grupounico.com" id="{a5b97ab0-59c3-491f-9f4a-4f644df6f7fe}" userId="guilherme.carvalho@grupounico.com" providerId="google-sheets"/>
  <x18tc:person displayName="elizeu.schutz@grupounico.com" id="{897dc08f-27d4-4162-a8d0-a3303e1c390f}" userId="elizeu.schutz@grupounico.com" providerId="google-sheets"/>
  <x18tc:person displayName="Usuário excluído" id="{73d2ed88-7d13-4a50-8812-2eb2e5223f46}" providerId="google-sheets"/>
  <x18tc:person displayName="francielly.goulart@grupounico.com" id="{c49c1854-d025-411a-b92c-11bc978c81f6}" userId="francielly.goulart@grupounico.com" providerId="google-sheets"/>
  <x18tc:person displayName="Usuário excluído" id="{41858fe7-5bb6-4e6e-8d0d-723b1475daae}" providerId="google-sheets"/>
  <x18tc:person displayName="Usuário excluído" id="{bd8a26bf-458f-4e3d-ba22-2e86e6384d40}"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810" sheet="Imaginarium"/>
  </cacheSource>
  <cacheFields>
    <cacheField name="MARCA" numFmtId="0">
      <sharedItems containsBlank="1">
        <s v="IMAGINARIUM"/>
        <m/>
      </sharedItems>
    </cacheField>
    <cacheField name="IMAGEM" numFmtId="0">
      <sharedItems containsBlank="1">
        <s v=""/>
        <e v="#REF!"/>
        <m/>
      </sharedItems>
    </cacheField>
    <cacheField name="CÓDIGO" numFmtId="49">
      <sharedItems containsBlank="1">
        <s v="PI4206Y"/>
        <s v="PI4145Y"/>
        <s v="PI3875Y"/>
        <s v="PI4077Y"/>
        <s v="PI4074Y"/>
        <s v="PI4229Y"/>
        <s v="PI4127Y"/>
        <s v="PI4246Y"/>
        <s v="PI4183Y"/>
        <s v="PI4129Y"/>
        <s v="PI4219Y"/>
        <s v="PI4207Y"/>
        <s v="PI4257Y"/>
        <s v="PI4217Y"/>
        <s v="PI4255Y"/>
        <s v="PI4193Y"/>
        <s v="LY2877"/>
        <s v="PI4220Y"/>
        <s v="PI4306Y"/>
        <s v="PI4214Y"/>
        <s v="PI4308Y"/>
        <s v="PI4259Y"/>
        <s v="PI4586Y"/>
        <s v="PI4587Y"/>
        <s v="PI4511Y"/>
        <s v="PI4499Y"/>
        <s v="PI4628Y"/>
        <s v="PI4630Y"/>
        <s v="PI1172Y&#10;PI1183Y&#10;PI3716Y"/>
        <s v="PI4642Y"/>
        <s v="PI4669Y"/>
        <s v="PI4732Y"/>
        <s v="PI4368Y"/>
        <s v="PI4461Y"/>
        <s v="PI4717Y"/>
        <s v="PI4225Y"/>
        <s v="PI4750Y"/>
        <s v="PI4764Y"/>
        <s v="PI4197Y"/>
        <s v="PI4800Y"/>
        <s v="PI4779Y"/>
        <s v="PI4828Y"/>
        <s v="PI4791Y"/>
        <s v="PI4765Y"/>
        <s v="PI4766Y"/>
        <s v="PI4810Y"/>
        <s v="PI4709Y"/>
        <s v="PI4848Y"/>
        <s v="PI4908Y"/>
        <s v="PI4861Y"/>
        <s v="PI4860Y"/>
        <s v="PI4872Y"/>
        <s v="PI4838Y"/>
        <s v="PI4878Y"/>
        <s v="PI4882Y"/>
        <s v="PI4899Y"/>
        <s v="PI4993Y"/>
        <s v="PI4995Y"/>
        <s v="PI4943Y"/>
        <s v="PI4916Y"/>
        <s v="PI4917Y"/>
        <s v="PI4934Y"/>
        <s v="PI4939Y"/>
        <s v="PI4940Y"/>
        <s v="PI4990Y"/>
        <s v="PI4771Y"/>
        <s v="PI5059Y"/>
        <s v="PI5048Y"/>
        <s v="PI5049Y"/>
        <s v="PI5081Y"/>
        <s v="PI5082Y"/>
        <s v="PI5097Y"/>
        <s v="PI5103Y"/>
        <s v="PI5118Y"/>
        <s v="PI5112Y"/>
        <s v="PI5101Y"/>
        <s v="PI5040Y"/>
        <s v="PI5041Y"/>
        <s v="PI5046Y"/>
        <s v="PI5080Y"/>
        <s v="PI5143Y"/>
        <s v="PI5144Y"/>
        <s v="PI5133Y"/>
        <s v="PI5134Y"/>
        <s v="PI5135Y"/>
        <s v="PI5147Y"/>
        <s v="PI5139Y"/>
        <s v="PI5063Y"/>
        <s v="PI5163Y"/>
        <s v="PI5164Y"/>
        <s v="PI5188Y"/>
        <s v="PI5178Y"/>
        <s v="PI5132Y"/>
        <s v="PI5229Y"/>
        <s v="PI5230Y"/>
        <s v="PI5231Y"/>
        <s v="PI5269Y"/>
        <s v="PI5270Y"/>
        <s v="PI4338Y"/>
        <s v="PI4278Y"/>
        <s v="PI4720Y"/>
        <s v="PI4392Y"/>
        <s v="PI4778Y"/>
        <s v="PI5398Y"/>
        <s v="PI5415Y"/>
        <s v="PI5393Y"/>
        <s v="PI5444Y"/>
        <s v="PI5445Y"/>
        <s v="PI5555Y"/>
        <s v="PI5558Y"/>
        <s v="PI5575Y"/>
        <s v="PI5545Y"/>
        <s v="PI5968Y"/>
        <s v="PI5969Y"/>
        <s v="PI5970Y"/>
        <s v="PI5971Y"/>
        <s v="PI5972Y"/>
        <s v="PI5973Y"/>
        <s v="PI5974Y"/>
        <s v="PI5975Y"/>
        <s v="PI5976Y"/>
        <s v="PI5977Y"/>
        <s v="PI5978Y"/>
        <s v="PI5979Y"/>
        <s v="PI5980Y"/>
        <s v="PI5981Y"/>
        <s v="PI5914Y"/>
        <s v="PI6073Y"/>
        <s v="CS2155"/>
        <s v="PI5913Y"/>
        <s v="PI5982Y"/>
        <s v="PI5915Y"/>
        <s v="PI5916Y"/>
        <s v="PI5920Y"/>
        <s v="PI5921Y"/>
        <s v="PI6074Y"/>
        <s v="PI5983Y"/>
        <s v="PI6014Y"/>
        <s v="PI6056Y"/>
        <s v="PI6053Y"/>
        <s v="PI6157Y"/>
        <s v="PI6158Y"/>
        <s v="PI6162Y"/>
        <s v="PI6164Y"/>
        <s v="PI6167Y"/>
        <s v="PI6168Y"/>
        <s v="PI6176Y"/>
        <s v="PI6177Y"/>
        <s v="PI6178Y"/>
        <s v="PI6179Y"/>
        <s v="PI6260Y"/>
        <s v="PI6259Y"/>
        <s v="PI6452Y"/>
        <s v="PI6453Y"/>
        <s v="PI6373Y"/>
        <s v="PI6374Y"/>
        <s v="PI6375Y"/>
        <s v="PI6376Y"/>
        <s v="PI6377Y"/>
        <s v="PI6378Y"/>
        <s v="PI6458Y"/>
        <s v="PI6459Y"/>
        <s v="PI6460Y"/>
        <s v="PI6461Y"/>
        <s v="PI6462Y"/>
        <s v="PI6470Y"/>
        <s v="PI6471Y"/>
        <s v="PI6457Y"/>
        <s v="PI6138Y"/>
        <s v="PI6240Y"/>
        <s v="PI6547Y"/>
        <s v="PI6548Y"/>
        <s v="PI6549Y"/>
        <s v="PI6550Y"/>
        <s v="PI6551Y"/>
        <s v="PI6552Y"/>
        <s v="PI6553Y"/>
        <s v="PI6554Y"/>
        <s v="PI6557Y"/>
        <s v="PI6558Y"/>
        <s v="PI6559Y"/>
        <s v="PI6560Y"/>
        <s v="PI6565Y"/>
        <s v="PI6613Y"/>
        <s v="PI6614Y"/>
        <s v="PI6650Y"/>
        <s v="PI6649Y"/>
        <s v="PI6648Y"/>
        <s v="PI6647Y"/>
        <s v="PI6555Y"/>
        <s v="PI6556Y"/>
        <s v="PI6833Y"/>
        <s v="PI6834Y"/>
        <s v="PI6835Y"/>
        <s v="PI6836Y"/>
        <s v="PI7221Y"/>
        <s v="PI6838Y"/>
        <s v="PI6839Y"/>
        <s v="PI6840Y"/>
        <s v="PI7212Y"/>
        <s v="PI7235Y"/>
        <s v="PI7236Y"/>
        <s v="PI7237Y"/>
        <s v="PI7239Y"/>
        <s v="PI6931Y"/>
        <s v="PI6932Y"/>
        <s v="PI7249Y"/>
        <s v="PI7251Y"/>
        <s v="PI6831Y"/>
        <s v="PI7299Y"/>
        <s v="PI7117Y"/>
        <s v="PI7223Y"/>
        <s v="PI7224Y"/>
        <s v="PI7225Y"/>
        <s v="PI7226Y"/>
        <s v="PI7227Y"/>
        <s v="PI7001Y"/>
        <s v="PI7091Y"/>
        <s v="PI7092Y"/>
        <s v="PI7093Y"/>
        <s v="PI7094Y"/>
        <s v="PI7045Y"/>
        <s v="PI7047Y"/>
        <s v="PI6934Y"/>
        <s v="PI7376Y"/>
        <s v="PI7377Y"/>
        <s v="PI7378Y"/>
        <s v="PI7379Y"/>
        <s v="PI7380Y"/>
        <s v="PI7383Y"/>
        <s v="PI7374Y"/>
        <s v="PI7375Y"/>
        <s v="PI7420Y"/>
        <s v="PI7421Y"/>
        <s v="PI7422Y"/>
        <s v="PI7423Y"/>
        <s v="PI7424Y"/>
        <s v="PI7425Y"/>
        <s v="PI7461Y"/>
        <s v="PI7462Y"/>
        <s v="PI7438Y"/>
        <s v="PI7652Y"/>
        <s v="PI7651Y"/>
        <s v="PI7558Y"/>
        <s v="PI7569Y"/>
        <s v="PI7567Y"/>
        <s v="PI7726Y"/>
        <s v="PI7556Y"/>
        <s v="PI7727Y"/>
        <s v="PI7728Y"/>
        <s v="PI7729Y"/>
        <s v="PI7730Y"/>
        <s v="PI7568Y"/>
        <s v="PI7731Y"/>
        <s v="PI7732Y"/>
        <s v="PI7562Y"/>
        <s v="PI7565Y"/>
        <s v="PI7555Y"/>
        <s v="PI7560Y"/>
        <s v="PI7551Y"/>
        <s v="PI7553Y"/>
        <s v="PI7702Y"/>
        <s v="PI7550Y"/>
        <s v="PI7563Y"/>
        <s v="PI7703Y"/>
        <s v="PI7561Y"/>
        <s v="PI7704Y"/>
        <s v="PI7705Y"/>
        <s v="PI7706Y"/>
        <s v="PI7559Y"/>
        <s v="PI7707Y"/>
        <s v="PI7708Y"/>
        <s v="PI7709Y"/>
        <s v="PI7710Y"/>
        <s v="PI7746Y"/>
        <m/>
      </sharedItems>
    </cacheField>
    <cacheField name="COLEÇÃO" numFmtId="0">
      <sharedItems containsBlank="1">
        <s v="2020 - FAT01"/>
        <s v="2019 - FAT09"/>
        <s v="2020 - FAT02"/>
        <s v="2020 - FAT03"/>
        <s v="2020 - FAT04"/>
        <s v="2021 - FAT06"/>
        <s v="2020 - FAT06"/>
        <s v="2020 - FAT05"/>
        <s v="2020 - FAT10"/>
        <s v="2022 - FAT05"/>
        <s v="2020 - FAT09"/>
        <s v="2021 - FAT01"/>
        <s v="2021 - FAT10"/>
        <s v="2021 - FAT03"/>
        <s v="2020 - FAT08"/>
        <s v="2021 - FAT04"/>
        <s v="2021 - FAT05"/>
        <s v="2021 - FAT07"/>
        <s v="2021 - FAT09"/>
        <s v="2021 - FAT08"/>
        <s v="2022 - FAT09"/>
        <s v="2021 - FAT11"/>
        <s v="2022 - FAT01"/>
        <s v="2021 - FAT12"/>
        <s v="2022 - FAT02"/>
        <s v="2022 - FAT03"/>
        <s v="2022 - FAT04"/>
        <s v="2020 - FAT07"/>
        <s v="2022 - FAT08"/>
        <s v="2022 - FAT10"/>
        <s v="2023 - FAT02"/>
        <s v="2023 - FAT04"/>
        <s v="2023 - FAT08"/>
        <s v=" 2023 - FAT10"/>
        <s v="2023 - FAT09"/>
        <s v="2023 - FAT10"/>
        <s v="2023 - FAT12"/>
        <s v="2024 - FAT02"/>
        <s v="2024 - FAT04"/>
        <s v="2024 - FAT08"/>
        <s v="2024 - FAT09"/>
        <s v="2024 - FAT07"/>
        <s v="2024 - FAT10"/>
        <s v="2025 - FAT02"/>
        <s v="2025 - FAT04"/>
        <s v="2025 - FAT10"/>
        <s v="2026 - FAT02"/>
        <m/>
      </sharedItems>
    </cacheField>
    <cacheField name="Fornecedor" numFmtId="0">
      <sharedItems containsBlank="1">
        <s v="Greatchip"/>
        <s v="PETKIT"/>
        <s v="DOULEX"/>
        <s v="Hesen"/>
        <s v="Remember"/>
        <s v="BAITE"/>
        <s v="IPS"/>
        <s v="ED origin"/>
        <s v="TOYLAND"/>
        <s v="ANC China"/>
        <s v="Donghao"/>
        <s v="Sun Lin"/>
        <s v="Robotime"/>
        <s v="Yopinshi"/>
        <s v="Chuyang"/>
        <s v="Huazeng"/>
        <s v="Hangzhou Shouyi I/E CO,,LTD"/>
        <s v="Universe Sound"/>
        <s v="Joy rain"/>
        <s v="AUBADI"/>
        <s v="NIHAO"/>
        <s v="JYK"/>
        <s v="Wallesun"/>
        <s v="Iceberg"/>
        <s v="KYC"/>
        <s v="Pic value"/>
        <s v="Wantong"/>
        <s v="Kingstar"/>
        <s v="freesun"/>
        <s v="Lexinda"/>
        <s v="Kayuan"/>
        <s v="Eastar"/>
        <s v="3rd Eye"/>
        <s v="JONTER"/>
        <s v="New tech"/>
        <s v=" JYK"/>
        <s v="MUV"/>
        <s v="Aiosa"/>
        <s v="Qikang"/>
        <s v="Audmic"/>
        <s v="Yongkang Aining"/>
        <s v="Gain Belong"/>
        <s v="Winwend"/>
        <s v="Sinolink"/>
        <s v="Smarti-Tech"/>
        <s v="New Tech Development Co., Ltd."/>
        <s v="Suqian Cool Bear Trading Co., Ltd"/>
        <s v="nacional"/>
        <s v="Shenzhen Kingsun"/>
        <s v="Kingsun"/>
        <s v="Ruifutong"/>
        <s v="Joyrain"/>
        <s v="Green from"/>
        <m/>
      </sharedItems>
    </cacheField>
    <cacheField name="NOME" numFmtId="0">
      <sharedItems containsBlank="1">
        <s v="MALA USB SMART LOCKER CARREGANDO VIAGEM"/>
        <s v="COMEDOURO SMART PETKIT BRANCO"/>
        <s v="AMPLIFICADOR BLUETOOTH ESTRELA GENIUS"/>
        <s v="ALMOFADA COELHA VEM QUE TEM"/>
        <s v="MALETA DE MAQUIAGEM COM SPEAKER SHOW"/>
        <s v="COELHO DE PASCOA INFLAVEL"/>
        <s v="MARMITA ELETRICA QUENTE VIU 127V"/>
        <s v="MARMITA ELETRICA QUENTE VIU 220V"/>
        <s v="AROMATIZADOR SPEAKER MAE AMOR"/>
        <s v="AROMATIZADOR SPEAKER MUSICA INSPIRA"/>
        <s v="ALMOFADA TE AMO ALIEN DO UNIVERSO"/>
        <s v="LOCALIZADOR DE CHAVE PRETO"/>
        <s v="KARAOKE PORTATIL FAZ AO VIVO"/>
        <s v="KIT PIPOCA DUPLO SERIE KILLER"/>
        <s v="PIANO GIGANTE DO RE MI"/>
        <s v="QUEBRA CABEÇA 3D DINOSSAURO ROBO"/>
        <s v="ALMOFADA MANIA URSO VALENTIM ME LEVA"/>
        <s v="ALMOFADA SARDADINHA DE VOCE"/>
        <s v="KIT ACESSORIOS TECH JUNTO E CONECTADO"/>
        <s v="ORGANIZADOR E CARREGADOR SEM FIO CORTICA"/>
        <s v="LUMINARIA SPEAKER BUD"/>
        <s v="CESTA DE BASQUETE COM LED JOGADA CERTA"/>
        <s v="FONE DE OUVIDO SEM FIO ESCUTA AQUI"/>
        <s v="FONE DE OUVIDO SEM FIO OUVIR"/>
        <s v="CANETA MUDA FRASES HP FEITICOS"/>
        <s v="CANETA MUDA FRASES FRIENDS MOLDURA"/>
        <s v="MOUSE SEM FIO GLITTER DEIXAR ROLAR"/>
        <s v="MOUSE SEM FIO GLITTER AMEI"/>
        <s v="Nihao Familia 1 - Manutenção dos produtos"/>
        <s v="VITROLA DE MALA BLUETOOTH AMARELA"/>
        <s v="AROMATIZADOR E UMIDIFICADOR NO AR"/>
        <s v="MINI GELADEIRA PARA COSMETICOS LILAS"/>
        <s v="ALMOFADA SONORA HP CHAPEU SELETOR"/>
        <s v="CARREGADOR SEM FIO HP PLATAFORMA 9 3/4"/>
        <s v="CESTA DE PICNIC COM AMPLIFICADOR CESTOU"/>
        <s v="FONDUE ELETRICO COM JOGO VAI ESQUENTAR"/>
        <s v="GARRAFA COM AMPLIFICADOR SENTE A BATIDA"/>
        <s v="PROJETOR PORTATIL TRAGO IMAGENS"/>
        <s v="LUMINARIA CARREGADOR SEM FIO OFFICE"/>
        <s v="LUMINARIA LED SPEAKER FESTA POR ONDE VOU"/>
        <s v="HEADPHONE BLUETOOTH IDAS E OUVIDAS"/>
        <s v="HEADPHONE BLUETOOTH TUMDUM BOM"/>
        <s v="HEADPHONE BLUETOOTH HP HOGWARTS"/>
        <s v="RACLETTE GRILL VAI ESQUENTAR 110V"/>
        <s v="RACLETTE GRILL VAI ESQUENTAR 220V"/>
        <s v="LUMINARIA COM SPEAKER HP CALDEIRAO"/>
        <s v="RELOGIO SPEAKER LUZ GRADUAL BEATLES SUN"/>
        <s v="RELOGIO INTELIGENTE TODAS AS HORAS"/>
        <s v="RELOGIO INTELIGENTE SEM TEMPO RUIM"/>
        <s v="AMPLIFICADOR BLUETOOTH RETRO MEU TEMPO"/>
        <s v="AMPLIFICADOR BLUETOOTH MADEIRA"/>
        <s v="AMPLIFICADOR RADIO RELOGIO SOLTA O SONO"/>
        <s v="LOCALIZADOR DE CHAVE HP ACCIO"/>
        <s v="BALDE DE GELO COM SPEAKER E LED OPEN BAR"/>
        <s v="KARAOKE PORTATIL SEGUE O BAILE"/>
        <s v="VITROLA BLUETOOTH TAMPA ACRILICO VERDE"/>
        <s v="MOUSEPAD WITH WIRELESS CHARGER GAME OVER"/>
        <s v="VITROLA BLUETOOTH BEATLES TWIST &amp; SHOUT"/>
        <s v="CARREGADOR POR INDUCAO BEATLES HELP"/>
        <s v="ABRIDOR DE GARRAFA ONCA"/>
        <s v="CARREGADOR POR INDUCAO FRIENDS SOFA"/>
        <s v="BASE HEADSET E CARREGADOR SEM FIO GAMER"/>
        <s v="CANETA DOG"/>
        <s v="CANETA GATINHO"/>
        <s v="CANETA MUDA FRASES SORTE DO DIA"/>
        <s v="AMPLIFICADOR PARA CHUVEIRO SO PRA DANCAR"/>
        <s v="AMPLIFICADOR BLUETOOTH COM LED LUA CHEIA"/>
        <s v="CAFETEIRA ELETRICA COM COPO 127V FRIENDS"/>
        <s v="CAFETEIRA ELETRICA COM COPO 220V FRIENDS"/>
        <s v="KIT MIXER COM COPOS 127V AMARELO"/>
        <s v="KIT MIXER COM COPOS 220V AMARELO"/>
        <s v="MESA SPEAKER E CARREGADOR SEM FIO CINZA"/>
        <s v="PROJETOR PORTATIL NETFLIX VERMELHO"/>
        <s v="AROMATIZADOR SPEAKER INSPIRASOM"/>
        <s v="AMPLIFICADOR PORTA CELULAR NETFLIX TV"/>
        <s v="MICROFONE KARAOKE BLUETOOTH DANDO SHOW"/>
        <s v="MAQUINA DE DONUTS 127V VERDE MENTA"/>
        <s v="MAQUINA DE DONUTS 220V VERDE MENTA"/>
        <s v="MOUSE SEM FIO GLITTER MANDA JOBS"/>
        <s v="LUMINARIA COM SPEAKER BLUETOOTH SORVETE"/>
        <s v="MAQUINA DE WAFFLE 127V STRANGER THINGS"/>
        <s v="MAQUINA DE WAFFLE 220V STRANGER THINGS"/>
        <s v="FAIXA SPEAKER BLUETOOTH FITDANCE PRETA"/>
        <s v="GARRAFA COM AMPLIFICADOR FITDANCE PRETA"/>
        <s v="SUPORTE INTELIGENTE PRA CELULAR FITDANCE"/>
        <s v="HEADPHONE BT STRANGER THINGS DUSTIN"/>
        <s v="FONE DE OUVIDO SEM FIO BORA"/>
        <s v="CARREGADOR PORTATIL CAPIVARA"/>
        <s v="MAQUINA DE SORVETE 127V NUMA NICE"/>
        <s v="MAQUINA DE SORVETE 220V NUMA NICE"/>
        <s v="CARREGADOR POR INDUCAO BOLACHA MAIZUMA"/>
        <s v="AROMATIZADOR E UMIDIFICADOR MONTANHA"/>
        <s v="HEADPHONE BLUETOOTH FITDANCE HIT E BEAT"/>
        <s v="FONTE DE CHOCOLATE 127V MINHAS FONTES"/>
        <s v="FONTE DE CHOCOLATE 220V MINHAS FONTES"/>
        <s v="FONDUE ELETRICO COM JOGO SE JOGA"/>
        <s v="TORRADEIRA 127V BEATLES ALL YOU NEED"/>
        <s v="TORRADEIRA 220V BEATLES ALL YOU NEED"/>
        <s v="CARREGADOR PORTATIL ENERGIA POSITIVA"/>
        <s v="CARREGADOR PORTATIL PERSONALIZAVEL PINOS"/>
        <s v="CARREGADOR PORTATIL E ESPELHO FILTRO"/>
        <s v="CARREGADOR PORTATIL CARGA INSTANTANEA"/>
        <s v="CARREGADOR PORTATIL LIMAO"/>
        <s v="CANETA LED E GLITTER ESCREVA OU DESENHE"/>
        <s v="KIT CANETAS MARCA TEXTO VAMOS MARCAR"/>
        <s v="CAIXA DE SOM SEM FIO CORAL"/>
        <s v="CAIXA DE SOM SEM FIO LILAS"/>
        <s v="CAIXA DE SOM SEM FIO AZUL"/>
        <s v="VITROLA DE MALA SEM FIO POR DO SOL"/>
        <s v="KARAOKE PORTATIL 2 MIC ALTO E BOM TOM"/>
        <s v="KIT RAQUETES BEACH TENNIS VAMO"/>
        <s v="RELOGIO SPEAKER LUZ GRADUAL MEU TEMPO"/>
        <s v="PELUCIA BORIS G"/>
        <s v="PELUCIA GURUMELO G"/>
        <s v="PELUCIA DOMINIQUE G"/>
        <s v="PELUCIA MOCA G"/>
        <s v="PELUCIA BISNAGA G"/>
        <s v="PELUCIA BRINKS G"/>
        <s v="PELUCIA GOKURURU G"/>
        <s v="PELUCIA BORIS P"/>
        <s v="PELUCIA GURUMELO P"/>
        <s v="PELUCIA DOMINIQUE P"/>
        <s v="PELUCIA BISNAGA P"/>
        <s v="PELUCIA MOCA P"/>
        <s v="PELUCIA CHLOELHO G"/>
        <s v="PELUCIA BRINKS P"/>
        <s v="PELUCIA MOZI CADEADO G"/>
        <s v="PELUCIA HARRY POTTER"/>
        <s v="QUEBRA CABECA FORMATO CORACAO"/>
        <s v="PELUCIA MOZI CHAVE G"/>
        <s v="PELUCIA GOKURURU P"/>
        <s v="PELUCIA ALIEN G"/>
        <s v="PELUCIA ALIEN P"/>
        <s v="PELUCIA OVO FIT G"/>
        <s v="PELUCIA OVO FIT P"/>
        <s v="PELUCIA EDWIGES"/>
        <s v="PELUCIA CHLOELHO P"/>
        <s v="ALMOFADA COM SOM MANDRAGORA HP"/>
        <s v="CADERNO COM CANETA INVISIVEL PATRONUM HP"/>
        <s v="CANETA PENA HOGWARTS HP"/>
        <s v="CANETA EJETAVEL EU QUE LUTE"/>
        <s v="CANETA EJETAVEL GOL DE LETRA"/>
        <s v="CANETA CARIMBO BORA MARCAR"/>
        <s v="CANETA DE SILICONE FOLHA"/>
        <s v="CANETA DE SILICONE COPO DE LEITE"/>
        <s v="CANETA DE SILICONE ROSA"/>
        <s v="CONJUNTO DE LAPIS TUDO PODE FLORESCER"/>
        <s v="CONJUNTO DE MARCADORES SORVETINHO"/>
        <s v="CONJUNTO DE MARCADORES ENCAIXE"/>
        <s v="CONJUNTO DE MARCADORES POLVO"/>
        <s v="VITROLA PÕE PRA TOCAR"/>
        <s v="VITROLA ONDAS DE SOM"/>
        <s v="PELUCIA JANTINHA P"/>
        <s v="PELUCIA JANTINHA G"/>
        <s v="PELUCIA BORIS ASTRONAUTA P"/>
        <s v="PELUCIA FIFI FOFOQUINHA P"/>
        <s v="PELUCIA MELINHA P"/>
        <s v="PELUCIA BORIS ASTRONAUTA G"/>
        <s v="PELUCIA FIFI FOFOQUINHA G"/>
        <s v="PELUCIA MELINHA G"/>
        <s v="CAIXA DE SOM PORTÁTIL AZUL ESCURO"/>
        <s v="CAIXA DE SOM PORTÁTIL VERMELHA"/>
        <s v="CAIXA DE SOM PORTÁTIL ROXO"/>
        <s v="CAIXA DE SOM PORTÁTIL PRETO"/>
        <s v="CAIXA DE SOM PORTÁTIL VERDE E AMARELO"/>
        <s v="CAIXA DE SOM PORTÁTIL PINK"/>
        <s v="CAIXA DE SOM PORTÁTIL AZUL CLARO"/>
        <s v="MINI KARAOKE E MICROFONE ROSA"/>
        <s v="ALMOFADA COM MASCARA DOBRAVEL BORIS"/>
        <s v="ALMOFADA DE VIAGEM COM MÁSCARA HP LUNA"/>
        <s v="PELUCIA HERBY P"/>
        <s v="PELUCIA NEVINHO P"/>
        <s v="PELUCIA CATITA P"/>
        <s v="PELUCIA CHICO P"/>
        <s v="PELUCIA HERBY G"/>
        <s v="PELUCIA NEVINHO G"/>
        <s v="PELUCIA CATITA G"/>
        <s v="PELUCIA CHICO G"/>
        <s v="CHAVEIRO HERBY"/>
        <s v="CHAVEIRO NEVINHO"/>
        <s v="CHAVEIRO CATITA"/>
        <s v="CHAVEIRO CHICO"/>
        <s v="CHAVEIRO BORIS"/>
        <s v="PELUCIA X SALADINHO E MARIA BATATINHA"/>
        <s v="PELUCIA JAIMINHO"/>
        <s v="PELUCIA MORCEGUITO G"/>
        <s v="PELUCIA MORCEGUITO P"/>
        <s v="PELUCIA FELINDA G"/>
        <s v="PELUCIA FELINDA P"/>
        <s v="PELUCIA BORIS GG"/>
        <s v="PELUCIA CATITA GG"/>
        <s v="PELUCIA HP HARRY POTTER"/>
        <s v="PELUCIA HP EDWIGES"/>
        <s v="PELUCIA HP HERMIONE"/>
        <s v="PELUCIA HP RONY"/>
        <s v="PELUCIA HP LUNA"/>
        <s v="PELUCIA HP DUMBLEDORE"/>
        <s v="PELUCIA HP HAGRID"/>
        <s v="PELUCIA HP SNAPE"/>
        <s v="MINI KARAOKE E MICROFONE BRANCO"/>
        <s v="PELUCIA 2 EM 1 GATINHOS"/>
        <s v="PELUCIA 2 EM 1 UNICORNIO E DRAGAO"/>
        <s v="PELUCIA 2 EM 1 DRAGAO E DINOSSAURO"/>
        <s v="PELUCIA 2 EM 1 LAGARTA E BORBOLETA"/>
        <s v="PELUCIA AURORA P"/>
        <s v="PELUCIA AURORA G"/>
        <s v="CHAVEIRO PELUCIA UNICORNIO"/>
        <s v="CHAVEIRO PELUCIA GATINHO PRETO"/>
        <s v="CANETA VARINHA HP HARRY POTTER"/>
        <s v="CANETA VARINHA HP DUMBLEDORE"/>
        <s v="GELADEIRA COM LED PARA SKIN CARE VIBES"/>
        <s v="CAIXA DE SOM PORTATIL COM ALCA PRETA"/>
        <s v="CAIXA DE SOM PORTATIL COM ALCA AZUL"/>
        <s v="CAIXA DE SOM PORTATIL COM ALCA ROSA"/>
        <s v="CAIXA DE SOM PORTATIL COM ALCA VERDE"/>
        <s v="CAIXA DE SOM PORTATIL COM ALCA OFF WHITE"/>
        <s v="VITROLA MALETA SEGUE O RITMO"/>
        <s v="CANETA DE SILICONE FLOR DE LEBRE"/>
        <s v="CANETA DE SILICONE FLOR SORRIDENTE"/>
        <s v="CANETA DE SILICONE FLOR E JOANINHA"/>
        <s v="CANETA DE SILICONE BORBOLETA"/>
        <s v="CANETAS MARCA TEXTO EMPILHAVEIS PANDA"/>
        <s v="CANETAS MARCA TEXTO EMPILHAVEIS CONCHA"/>
        <s v="PELUCIA DORINHA G"/>
        <s v="PELUCIA DORINHA P"/>
        <s v="PELUCIA COELHO P"/>
        <s v="PELUCIA COELHO G"/>
        <s v="PELUCIA ZECA P"/>
        <s v="PELUCIA ZECA G"/>
        <s v="PELUCIA 2 EM 1 COELHO E CARTOLA"/>
        <s v="CHAVEIRO PELUCIA COELHO"/>
        <s v="CHAVEIRO PELUCIA DRAGAO"/>
        <s v="CHAVEIRO PELUCIA DORINHA"/>
        <s v="CHAVEIRO PELUCIA ZECA"/>
        <s v="CHAVEIRO PELUCIA GURUMELO"/>
        <s v="CHAVEIRO PELUCIA MELINHA"/>
        <s v="CHAVEIRO PELUCIA MORCEGUITO"/>
        <s v="CHAVEIRO PELUCIA JOANINHA"/>
        <s v="CHAVEIRO PELUCIA HP HARRY POTTER"/>
        <s v="CHAVEIRO PELUCIA HP EDWIGES"/>
        <s v="PELUCIAS COM IMA PASTEL E CALDO DE CANA"/>
        <s v="CHAVEIRO PELUCIA CAPIVARA FLUTUALDO"/>
        <s v="PELUCIA CAPIVARA FLUTUALDO G"/>
        <s v="CANETA BATATA FRITA"/>
        <s v="CANETA HAMBURGUER"/>
        <s v="CANETA ASTRONAUTA PRETA"/>
        <s v="CANETA ASTRONAUTA AZUL"/>
        <s v="CANETA UNICORNIO ROSA"/>
        <s v="CANETA UNICORNIO AZUL"/>
        <s v="CANETA UNICORNIO LILAS"/>
        <s v="CANETA URSO ROSA"/>
        <s v="CANETA URSO LILAS"/>
        <s v="CANETA URSO AZUL"/>
        <s v="CANETA GATO BEGE"/>
        <s v="CANETA GATO CINZA"/>
        <s v="CANETA GATO MARROM"/>
        <s v="CANETA SUSHI"/>
        <s v="CANETA PANDA"/>
        <s v="CANETA PANDA AMIGOS"/>
        <s v="CANETA PINGENTE DINO"/>
        <s v="CANETA PINGENTE UNICORNIO"/>
        <s v="CANETA PINGENTE ABACATE"/>
        <s v="CANETA PINGENTE PATO"/>
        <s v="CANETA PINGENTE ARCO IRIS"/>
        <s v="CANETA PINGENTE CAPIVARA"/>
        <s v="CANETA OVELHA"/>
        <s v="CANETA GATO"/>
        <s v="CANETA TUBARAO"/>
        <s v="CANETA PAO"/>
        <s v="CANETA BRACINHOS GATO"/>
        <s v="CANETA BRACINHOS CAPIVARA"/>
        <s v="CANETA BRACINHOS DINOSSAURO"/>
        <s v="CANETA EJETAVEL PATO"/>
        <s v="CANETA EJETAVEL BOLA DE FUTEBOL"/>
        <s v="CANETA HP CHAPEU SELETOR CASAS"/>
        <m/>
      </sharedItems>
    </cacheField>
    <cacheField name="NEGÓCIO" numFmtId="0">
      <sharedItems containsBlank="1">
        <m/>
        <s v="TECH - HOME TECH"/>
        <s v="TECH - MUSIC"/>
        <s v="CASA E DECORAÇÃO"/>
        <s v="TECH"/>
        <s v="COMES E BEBES"/>
        <s v="USO PESSOAL"/>
        <s v="CASA E DECORACAO"/>
      </sharedItems>
    </cacheField>
    <cacheField name="TIPO DE CERTIFICAÇÃO" numFmtId="0">
      <sharedItems containsBlank="1">
        <s v="ANATEL CATEGORIA 2 - MÓDULO BLUETOOTH"/>
        <s v="INMETRO SISTEMA 5 (FABRICA) - PORTARIA 563"/>
        <s v="INMETRO SISTEMA 7 (LOTE) - PORTARIA 321"/>
        <s v="INMETRO SISTEMA 5 (FABRICA) - PORTARIA 371"/>
        <s v="INMETRO SISTEMA 5 (FABRICA) - PORTARIA 371 + ANATEL MÓDULO BLUETOOTH"/>
        <s v="ANATEL CATEGORIA 1 - CELULARES"/>
        <s v="INMETRO SISTEMA 5 (FABRICA) - PORTARIA 481"/>
        <s v="INMETRO Eletrodomésticos"/>
        <s v="ANATEL MÓDULO BLUETOOTH"/>
        <s v="INMETRO ARTIGOS ESCOLARES SISTEMA 5 - PORTARIA 481"/>
        <s v="INMETRO Eletrodomésticos + ANATEL CATEGORIA 2 - MÓDULO BLUETOOTH"/>
        <s v="INMETRO SISTEMA 7 (LOTE) - PORTARIA 321 + ANATEL CATEGORIA 2 - MÓDULO BLUETOOTH"/>
        <s v="Acessório para Telefone Móvel Celular do tipo Bateria Auxiliar"/>
        <s v="INMETRO BRINQUEDOS SISTEMA 5 (FÁBRICA) - PORTARIA 302"/>
        <s v="INMETRO BRINQUEDOS SISTEMA 1b - (LOTE) - PORTARIA 302"/>
        <s v="INMETRO ARTIGOS ESCOLARES SISTEMA 5 - PORTARIA 423"/>
        <m/>
      </sharedItems>
    </cacheField>
    <cacheField name="AMOSTRAS NECESSÁRIAS" numFmtId="0">
      <sharedItems containsBlank="1">
        <s v="2 unidades"/>
        <s v="36 unidades"/>
        <s v="2 Amostras completas + 1 Amostra teste lab (Placa PCB com entradas de cabo de RF e Software)"/>
        <s v="Aguardando RAM"/>
        <s v="2 Amostras completas"/>
        <s v="2 Amostras completas - INMETRO&#10;2 Amostras completas + 1 Amostra teste lab (Placa PCB com entradas de cabo de RF e Software) - ANATEL"/>
        <s v="18 Amostras"/>
        <s v="Já separadas"/>
        <s v="10 Amostras Completas"/>
        <s v="1 Amostras completas + 1 Amostra teste lab (Placa PCB com entradas de cabo de RF e Software)"/>
        <s v="50 Amostras"/>
        <s v="0 Amostras, (amostras da caneta HP foram ensaiadas no processo)"/>
        <s v="2 amostras para ensaios na China"/>
        <s v="Amostras enviadas para laboratório, aguardando finalização dos ensaios laboratoriais "/>
        <s v="2 amostras para ensaios no Brasil"/>
        <s v="Inclusão"/>
        <s v="5 amostras para ensaios na China"/>
        <s v="2 amostras para ensaios na China + 2 Amostras completas + 1 Amostra teste lab (Placa PCB com entradas de cabo de RF e Software)"/>
        <s v="2 Amostras completas + 1 Amostra teste lab (Placa PCB com entradas de cabo de RF e Software) + RAM"/>
        <s v="3 amostras para ensaios no Brasil"/>
        <s v="40 Amostras"/>
        <s v="20 Amostras"/>
        <s v="9 Amostras"/>
        <s v="0 Amostras"/>
        <s v="06 Amostras"/>
        <s v="5 Amostras"/>
        <s v="6 Amostras"/>
        <s v="09 Amostras"/>
        <s v="30 Amostras"/>
        <s v="0 Amostras (inclusão)"/>
        <s v="7 amostras"/>
        <s v="3 amostras"/>
        <m/>
      </sharedItems>
    </cacheField>
    <cacheField name="STATUS" numFmtId="0">
      <sharedItems containsBlank="1">
        <s v="15/06/21 - Certificado de homologação emitido."/>
        <s v="01/06/23 - Certificado suspenso.&#10;-&#10;24/06 - Certificado de Homologação emitido.&#10;01/06/21 - Processo cadastrado na Anatel.&#10;31/05/21 - Aprovado o CCT."/>
        <s v="31/01/2023 -O certificado não será renovado.&#10;-&#10;16/06/21 - Certificado de Homologação emitido."/>
        <s v="Finalizado"/>
        <s v="Certificado emitido"/>
        <s v="22/12 - Não teremos venda sell-in e nem recompra desses itens. Certificado não será renovado. &#10;-&#10;Finalizado"/>
        <s v="Certificado emitido, já destinado ao CD"/>
        <s v="Certificado Emitido&#10;Registro: 07231-20-12851&#10;&#10;Criação já alinhou a aplicação das artes"/>
        <s v="Certificado recebido e anûencia deferida, processo de certificação finalizado."/>
        <s v="01/06/2023 - Certificado suspenso.&#10;-&#10;Amostras enviadas para o laboratório (Eldorado) em 17/06, finalizando pendências documentais com o certificador para obtermos o número de registro ANATEL que deve conter no produto.&#10;&#10;Ensaios finalizados&#10;&#10;Registro emiti"/>
        <s v="01/06/2023 - Certificado suspenso. &#10;-&#10;Amostras enviadas para o laboratório (Eldorado) em 17/06, finalizando pendências documentais com o certificador para obtermos o número de registro ANATEL que deve conter no produto.&#10;&#10;Ensaios finalizados&#10;&#10;Registro emit"/>
        <s v="23/04/2025 - Manutenção finalizada.&#10;03/06/24 - Manutenção concluída.&#10;Retrabalho das canetas concluído."/>
        <s v="21/08/23 - Certificado encerrado.&#10;-&#10;Retrabalho das Canetas concluído em 23/11"/>
        <s v="21/05 - Homologação Anatel finalizada.&#10;23/04 - Processo cadastrado na Anatel.&#10;12/04 - Em análise pela engenharia da OCD - previsão 16/05&#10;24/03 - Entrega dos relatórios prevista para 12/04 e finalização homologação 16/05.&#10;&#10;Amostras chegaram no laboratório "/>
        <s v="Transfererência do Certificado do INNAC para a Brics concluída, avançando para envio das amostras para teste&#10;LI Prévia deferida pelo INMETRO"/>
        <s v="10/01/23 - Planejamento informou que não deseja renovar o certificado.&#10;-&#10;Amostra chegou em 28/09 em SP, foi enviada para ensaios laboratoriais em 30/09. Número de registro recebido em 29/10.&#10;ANATEL: 15743-20-13462"/>
        <s v="Documentação recebida e encaminhada para análise do OCP. Aguardando confirmação do laboratório para envio das amostras e confirmação do OCP quanto a etiqueta de Certificação para alinhamento com o time de criação. Amostras Chegaram no FEDEX 772035901130 &#10;"/>
        <s v="10/11 - Certificado encerrado: Informado pela empresa que o prazo para que estes produtos sejam comercializados é de 15 meses contados da data de 10/11/2021, para Cooler Elétrico modelo PI4732Y possui 461 unidades em estoque .&#10;--&#10;&#10;05/02 - Certificado emit"/>
        <s v="09/03 - Certificado emitido. Aguardando estar disponível no Orquestra para anuência da LI (10 dias - 30/03, chega dia 02/04 no Brasil).&#10;&#10;Novo processo de certificação de lote, já aberto com a Brics Certificações, data de conclusão da produção em massa sol"/>
        <s v="27/10/23 - O certificado não será renovado.&#10;07/03/22 - Manutenção do Certificado realizada.&#10;--&#10;12/03 - Certificado de homologação emitido pela ANATEL. Precisamos etiquetar 10 unidades deste lote.&#10;Documentos submetidos para a ANATEL. Previsão homologação r"/>
        <s v="10/01/23 - Certificado não será renovado.&#10;-&#10;19/05 - Homologação finalizada.&#10;07/05 - Processo cadastrado na Anatel.&#10;07/04 - Nova amostra está no laboratório, entrega dos relatórios prevista para 28/04 e finalização homologação 30/05.&#10;Nova amostra enviada p"/>
        <s v="Seguindo com o encerramento da certificação&#10;01/02 - CANCELAMENTO DA MANUNTEÇÃO SOLICITADO (sem recompras posteriores a esta para justificar) - chegou no CD hoje.&#10;Renovação de Certificado, projeto já iniciado com certificador, amostras para testes comprada"/>
        <s v="22/12 - Não teremos venda sell-in e nem recompra desses itens. Certificado não será renovado.&#10;-&#10;12/04 - Homologação Anatel finalizada.&#10;01/04 - Processo submetido a Anatel.&#10;15/03 - Amostra encaminhada ao lab.  Previsão de finalização de relatórios dos test"/>
        <s v="19/01/23 - Projetores estão sem estoque no CD, certificado não será renovado.&#10;-&#10;21/05 - Homologação Anatel finalizada.&#10;12/05 - Processo submetido a Anatel - previsão homologação 12/06.&#10;07/05 - Recebidos os laudos, em análise da Engenharia da Master.&#10;12/04"/>
        <s v="15/02/2023 - Confirmado por e-mail que não seguiremos com a renovação desse certificado.&#10;21/07/2022 - Certificado atualizado, nova data de validade: 21/05/2024.&#10;07/05 - Homologação Anatel finalizada.&#10;24/05 - Processo cadastrado na Anatel.&#10;21/05 - Recebido"/>
        <s v="22/12 - Não teremos venda sell-in e nem recompra desses itens. Certificado não será renovado.&#10;-&#10;12/04 - Homologação Anatel finalizada.&#10;01/04 - Processo cadastrado na Anatel. Em análise.&#10;Amostra está no laboratorio aguardando os ensaios, previsão de libera"/>
        <s v="14/03/23 - Certificado não será renovado. &#10;-&#10;05/07 - Homologação Anatel finalizada.&#10;18/06 - Processo cadastrado na Anatel.&#10;08/06 - Em análise pelo OC, produção autorizada em 01/06 -- será LATE FAT 08.&#10;18/05 - Bruno deve entregar amostra configurada até se"/>
        <s v="14/03/23 - Certificado não será renovado.&#10;-&#10;05/07 - Homologação Anatel finalizada.&#10;18/06 - Processo cadastrado na Anatel.&#10;08/06 - Em análise pelo OC, produção autorizada em 01/06 -- será LATE FAT 08.&#10;18/05 - Bruno deve entregar amostra configurada até sex"/>
        <s v="20/01/22 - Certificado encerrado (Inmetro).&#10;-&#10;09/04 - Certificado de conformidade emitido.&#10;06/04 - Cobrei lista de componentes que está faltando para a emissão do certificado -- deve ser emitido esta semana.&#10;16/03 - Testes foram finalizados, vamos dar seg"/>
        <s v="05/05/25 - Time de produto decidiu não seguir com a manutenção.&#10;12/06/23 - Manutenção finalizada. Certificado de Homologação emitido.&#10;-&#10;16/08 - Homologação Anatel finalizada.&#10;16/07 - Processo cadastrado na Anatel. Estimate ready date 30/07, ETA CD 22/09 -"/>
        <s v="02/03/23 - Certificado não será renovado.&#10;-&#10;13/08 - Homologação Anatel finalizada.&#10;14/07 - Processo cadastrado na Anatel. Estimate ready date 30/07, ETA CD 22/09 - late FAT 09.&#10;22/06 - Produção antes da finalização dos testes - ready date final de Julho. "/>
        <s v="29/11/22 - Estoque zerado CD, não teremos mais venda sell-in e recompra. Certificado não será renovado.&#10;-&#10;22/04 - Homologação Anatel finalizada.&#10;25/03 - Processo cadastrado na Anatel. Em análise.&#10;16/03 - Amostras já foram verificadas e estão configuradas,"/>
        <s v="01/09/23 - Previsão de finalizar estoque em novembro 202. Certificado não será renovado.&#10;-&#10;19/03 - Homologação Anatel finalizada nesta data.&#10;17/03 - O certificado da OCP foi emitido. Agora vamos aguardar a homologação, previsão: 13/04. Etiquetas ok&#10;08/03 "/>
        <s v="22/12 - Não teremos venda sell-in e nem recompra desses itens. Certificado não será renovado.&#10;-&#10;12/04 - Homologação Anatel finalizada.&#10;05/04 - Processo cadastrado na Anatel. Em análise.&#10;08/03 - Amostra preparada pela Eagle Tech e está no laboratório aguar"/>
        <s v="19/01/23 - Não vamos renovar o certificado, Entraremos com alguma ação para finalizar o estoque que existe hoje no CD.&#10;-&#10;06/05 - Homologação Anatel finalizada.&#10;27/04 - Processo cadastrado na Anatel. Em análise.&#10;13/04 - Em avaliação pela engenharia da OCD "/>
        <s v="22/12/22 - Não teremos venda sell-in e nem recompra desses itens. Certificado não será renovado.&#10;-&#10;14/04 - Homologação Anatel finalizada.&#10;07/04 - Processo cadastrado na Anatel. Em análise. Previsão de homologação: 02/05.&#10;17/03 - Código de Homologação atua"/>
        <s v="10/01/23 - Certificado não será renovado.&#10;-&#10;26/04 - Homologação Anatel finalizada.&#10;13/04 - Em avaliação pela engenharia da OCD - finalização 15/05.&#10;23/03 - Amostra configurada,  relatórios de testes devem sair dia 09/04 e finalização homologação 15/05.&#10;17"/>
        <s v="22/12 - Não teremos venda sell-in e nem recompra desses itens. Certificado não será renovado.&#10;-&#10;12/04 - Homologação Anatel finalizada.&#10;05/04 - Processo cadastrado na Anatel. Em análise.&#10;17/03 - Placa está no laboratório aguardando ensaios, previsão de ent"/>
        <s v="20/03/23 - O certificado não será renovado.&#10;-&#10;09/09 - Homologação Anatel finalizada.&#10;03/09 - Previsão de chegada no CD atualizada: 29/10.&#10;16/08 - Processo cadastrado na Anatel. Previsão de finalização homologação: 10/09. Chegada no CD: 04/11.&#10;02/08 - Agua"/>
        <s v="14/07/23 - Homologação finalizada.&#10;26/04/23 - Manutenção do certificado em andamento.&#10;-&#10;29/06 - Homologação Anatel finalizada.&#10;21/06 - Processo cadastrado na Anatel.&#10;01/06 - Laudos verificados, autorizamos a produção. Estimado para LATE FAT 08. &#10;29/04 - E"/>
        <s v="09/07 - Seguindo com a inclusão no certificado da Vitrola, Anatel ID 15743-20-13462 - solicitado etiqueta para a Criação&#10;17/03 - Avaliando com a OCP as fotos das placas enviadas pelo Vincent ontem, para checar se podemos incluir na mesma família do PI4642"/>
        <s v="05/05/25 - Time de produto decidiu não seguir com a manutenção.&#10;22/06/23 - Homologação emitida.&#10;26/04/23 - Manutenção do certificado em andamento.&#10;-&#10;04/08 - Homologação Anatel finalizada.&#10;28/07 - Vincent informou que a MP atrasou e item será postergado pa"/>
        <s v="01/06/23 - Certificado suspenso.&#10;03/04/23 - O certificado não será renovado.&#10;-&#10;25/06 - Homologação Anatel finalizada.&#10;01/06 - Processo cadastrado na Anatel - irá para FAT 09.&#10;25/05 - Confirmei que os testes estão ok e liberamos a MP, o ready date estimado"/>
        <s v="05/05/25 - Time de produto decidiu não seguir com a manutenção.&#10;22/06/23 - Homologação emitida.&#10;26/04/23 - Manutenção do certificado em andamento.&#10;-&#10;04/08 - Homologação Anatel finalizada.&#10;14/07 - Processo cadastrado na Anatel. Estimate ready date 30/07, E"/>
        <s v="14/07/23 - Homologação finalizada.&#10;26/04/23 - Manutenção do certificado em andamento.&#10;-&#10;29/06 - Homologação Anatel finalizada.&#10;21/06 - Processo cadastrado na Anatel.&#10;01/06 - Laudos verificados, autorizamos a produção. Estimado para LATE FAT 08. Verificar "/>
        <s v="21/08/23 - Certificado encerrado.&#10;-&#10;23/03 - Certificado de conformidade emitido&#10;&#10;OCP informou que não precisará ser realizado os ensaios neste caso. Estou aguardando a confirmação. - número de registro é o mesmo utilizado para as canetas que ja compramos "/>
        <s v="21/08/23 - Certificado encerrado.&#10;-&#10;23/03 - Certificado de conformidade emitido&#10;OCP informou que não precisará ser realizado os ensaios neste caso. Estou aguardando a confirmação. - número de registro é o mesmo utilizado para as canetas que ja compramos M"/>
        <s v="24/01 - Não iremos renovar o certificado, uma vez que o estoque no CD já está zerado e não pretendemos recomprar o item&#10;-&#10;08/06 - Homologação Anatel finalizada.&#10;24/05 - Processo cadastrado na Anatel. Por conta do retrabalho o FAT foi alterado para 8.&#10;28/0"/>
        <s v="18/09/23 - Certificado suspenso.&#10;07/10 - Homologação Anatel finalizada. &#10;20/09 - Processo cadastrado na Anatel. Em análise.&#10;14/09 - Laudos recebidos, em análise pela Master. Deve ser cadastrado na Anatel até sexta-feira. Previsão de finalização da homolog"/>
        <s v="10/11/22 - Certificado encerrado.&#10;-&#10;16/08 - Certificado de conformidade emitido.&#10;21/07 - A correção solicitada pelo laboratório foi feita e foi recebido o draft dos laudos pelo OCP, vamos liberar a produção hoje. Informação Fred: ready date final de setem"/>
        <s v="11/08/22 - Certificado encerrado.&#10;-&#10;10/09 - Certificado de conformidade emitido.&#10;08/09 - Solicitadas alterações no draft.&#10;03/09 - Relatório oficial recebido.&#10;30/08 - Laudo do teste recebido e está ok, informei para seguir com a MP. Brics está fechando o r"/>
        <s v="11/09/25 - Decidiram não fazer a manutenção desse certificado e farão ações para acabar com o estoque antes de 30/11/2025.&#10;10/01/24 - Recebemos o certificado de homologação ANATEL, processo finalizado.&#10;27/11/23 - Manutenção finalizada, aguardamos submissã"/>
        <s v="19/01/23 - Projetores estão sem estoque no CD, certificado não será renovado.&#10;-&#10;07/06 - Vamos seguir com a certificação do módulo do projetor anterior.&#10;23/04 - Verificando se vamos utilizar a mesma placa do projetor anterior. Feeling informou que o projet"/>
        <s v="10/08/22 - Certificado encerrado.&#10;-&#10;06/09 - Homologação Anatel finalizada.&#10;26/08 - Emitido o certificado de conformidade do Inmetro. Anatel em análise, previsão era 30/08 mas está levando mais tempo que o normal. Chegada estimada no CD: 09/11.&#10;05/08 - Pro"/>
        <s v="27/10/23 - O certificado não será renovado.&#10;-&#10;02/12 - Homologação Anatel finalizada.&#10;04/11 - Processo cadastrado na Anatel.&#10;29/10 - Laudos recebidos. Testes ok.&#10;05/10 - Agenda recebida, previsão de entrega dos relatórios: 20/10. Previsão de finalização: 1"/>
        <s v="20/03/23 - O certificado não será renovado.&#10;-&#10;07/10 - LI deferida.&#10;04/10 - Certificado de Conformidade emitido (revisado). Aguardando o certificado estar ativo no Orquestra para solicitar a anuência da LI.&#10;13/09 - Testes em andamento. Previsão de chegada "/>
        <s v="10/08/22 - Certificado encerrado.&#10;-&#10;26/08 - Certificado de Conformidade emitido.&#10;18/08 - Serena: Após negociação, fornecedor concordou em finalizar a produção antes do dia 20/10, então pegaremos Lafe FAT 12.&#10;11/08 - Serena informou que a produção deve fin"/>
        <s v="20/03/23 - O certificado não será renovado.&#10;-&#10;14/03 - Aguardando retorno do Planejamento sobre manutenção (custo adicional).&#10;07/03 - Aguardando retorno do Planejamento sobre manutenção (custo adicional).&#10;13/02 - Cobramos atualização.&#10;08/02 - Enviado docum"/>
        <s v="26/07 - LI deferida.&#10;06/07 - Recebemos o certificado de conformidade. Itens já estão com as marcações necessárias na embalagem. Processo chega no Brasil 06/08.&#10;06/06 - MP vai ser finalizada 10/06, coleta das amostras agendadas para 11/06. Finalização prev"/>
        <s v="14/10 - Certificado de conformidade emitido.&#10;20/09 - Draft do certificado emitido, aguardando assinatura.&#10;14/09 - Item embarcou dia 09/09, previsão de chegada no CD: 18/10. Aguardando revisão do relatório de testes oficial para emissão do certificado.&#10;31/"/>
        <s v="18/09/23 - Certificado suspenso.&#10;25/05/23 - O certificado não será renovado.&#10;-&#10;08/10 - Certificado de homologação Anatel emitido.&#10;20/09 - Processo cadastrado na Anatel.&#10;10/09 - Recebidos o laudo dos ensaios. Previsão de finalização da homologação: 17/10. "/>
        <s v="10/08/22 - Certificado encerrado.&#10;-&#10;20/09 - Certificado Inmetro emitido.&#10;14/09 - Certificado está para assinatura.&#10;18/08 - Finalização dos testes atualizada para 13/09 - Late FAT 01.&#10;10/08 - Auditoria realizada em 03/08, relatório sob análise. Amostras ch"/>
        <s v="11/09/23 - Certificado suspenso.&#10;20/03/23 - O certificado não será renovado.&#10;-&#10;01/10 - Certificado de homologação Anatel emitido.&#10;08/09 - Processo cadastrado na Anatel.&#10;03/09 - Documentos completos enviados hoje (faltava o manual), previsão de finalização"/>
        <s v="20/03/23 - O certificado não será renovado.&#10;-&#10;01/10 - Certificado de homologação Anatel emitido.&#10;27/08 - Processo cadastrado na Anatel. Em análise. Previsão de finalização da homologação: 26/09.&#10;09/08 - Relatório recebido, sem ocorrências. Previsão de fin"/>
        <s v="20/03/23 - O certificado não será renovado.&#10;-&#10;01/10 - Certificado de homologação Anatel emitido.&#10;09/09 - Processo cadastrado na Anatel. Em análise.&#10;31/08 - Relatório recebido hoje. Previsão de finalização homologação: 08/10. Ready date estimado: 30/09, it"/>
        <s v="14/03/23 - Certificado não será renovado.&#10;-&#10;19/10 - Certificado de homologação Anatel emitido.&#10;18/10 - Processo cadastrado na Anatel.&#10;&#10;Valor para inclusão acordado: R$ 900,00.&#10;&#10;Será o mesmo modelo dos headphones hogwarts. Vamos incluir na mesma família.&#10;&#10;"/>
        <s v="01/06/2023 - Certificado suspenso. &#10;-&#10;03/11 - Certificado de homologação Anatel emitido.&#10;19/10 - Processo cadastrado na Anatel.&#10;&#10;Valor para inclusão acordado: R$ 900,00.&#10;&#10;Será utilizada a mesma certificação do earphone passado - mesmo formato, não precisa"/>
        <s v="27/10/23 - O certificado não será renovado.&#10;-&#10;09/03 - Certificado de homologação emitido.&#10;15/02 - Certificado cadastrado na Anatel, aguardando emissão do certificado de Homologação.&#10;06/01 - Últimos laudos recebidos.&#10;13/12 - Amostras chegaram na Eagle Tech"/>
        <s v="20/09/22 - Certificado encerrado.&#10;-&#10;20/09 - Brics: processos finalizados ontem, encaminhados para coordenação, liberação das cartas deve ocorrer entre hoje e amanhã.&#10;06/09/22 - Item não será recomprado, seguiremos com o encerramento.&#10;02/12 - Certificado d"/>
        <s v="20/03/23 - O certificado não será renovado. &#10;-&#10;20/12 - Etiquetas entregues no fornecedor na China, tracking FedEx: 815660002845.&#10;22/10 - Certificado de homologação emitido.&#10;21/10 - Processo cadastrado na Anatel.&#10;27/09 - Testes foram finalizados, em anális"/>
        <s v="19/08/22 - Certificado encerrado.&#10;-&#10;30/11 - Certificado de conformidade emitido.&#10;28/10 - Vincent informou que a previsão de finalização da MP é 10/12.&#10;27/10 - Testes ok, avisei que MP pode ser iniciada.&#10;09/10 - Previsão de finalização dos testes laborator"/>
        <s v="20/03/23 - O certificado não será renovado. &#10;-&#10;05/11 - Certificado de Homologação emitido.&#10;13/10 - Processo cadastrado na Anatel.&#10;30/09 - Relatório dos ensaios recebido, sendo analisado pela OCD para submissão a Anatel.&#10;21/09 - Amostra entregue no laborat"/>
        <s v="20/09/22 - Certificado encerrado.&#10;-&#10;17/08 - Planejamento: não teremos recompra do item, previsão finalização estoque rede e CD: maio/2023.&#10;16/12 - Certificado de conformidade emitido.&#10;06/12 - Finalização dos ensaios prevista para 15/12.&#10;19/11 Inicio dos t"/>
        <s v="20/09/22 - Certificado encerrado.&#10;-&#10;20/09 - Brics: processos finalizados ontem, encaminhados para coordenação, liberação das cartas deve ocorrer entre hoje e amanhã.&#10;06/09/22 - Item não será recomprado, seguiremos com o encerramento.&#10;16/12 - Certificado d"/>
        <s v="09/06/23 - O certificado não será renovado.&#10;-&#10;26/10 - Certificado de homologação Anatel emitido.&#10;06/10 - Processo cadastrado na Anatel."/>
        <s v="20/03/23 - O certificado não será renovado. &#10;-&#10;26/10 - Certificado de homologação Anatel emitido.&#10;06/10 - Processo cadastrado na Anatel."/>
        <s v="20/03/23 - O certificado não será renovado.&#10;-&#10;26/10 - Certificado de homologação Anatel emitido.&#10;06/10 - Processo cadastrado na Anatel."/>
        <s v="20/03/23 - O certificado não será renovado.&#10;-&#10;05/11 - Certificado de homologação Anatel emitido.&#10;07/10 - Processo cadastrado na Anatel."/>
        <s v="27/10/23 - O certificado não será renovado.&#10;-&#10;03/02 - Certificado de homologação Anatel emitido.&#10;14/01 - Certificado cadastrado no portal da Anatel nesta data.&#10;Finalização dos ensaios e envio do relatório prevista para 19/11.&#10;&#10;O requisito considerou o apr"/>
        <s v="16/02/23 - O certificado não será renovado.&#10;-&#10;12/08 - Número de Registro concedido: 008542/2022. ETA CD: 11/11/22. Produtos já estão etiquetados.&#10;03/08 - Solicitado o Registro ao Inmetro.&#10;27/07 - Certificado de Conformidade emitido nesta data. Seguiremos "/>
        <s v="16/02/23 - O certificado não será renovado.&#10;-&#10;14/08 - Previsão de chegada no CD: 22/08. Retrabalho alinhado com a Qualidade.&#10;13/06 - Registro concedido: 006411/2022. Solicitando arquivo de etiqueta.&#10;24/05 - Emitido o Certificado de Conformidade. Aguardand"/>
        <s v="01/03/24 - Não seguiremos com a manutenção, aguardando o certificado expirar.&#10;14/07 - Certificado de Homologação emitido.&#10;06/07 - Documentos finais para submissão serão enviados esta semana. Previsão de finalização da homologação: 16/08.&#10;02/06 - Laudos re"/>
        <s v="12/03/25 - Manutenção finalizada.&#10;14/03 - Aguardando finalização dos testes, previsto para 31/03.&#10;27/02 - Aguardando finalização dos testes, previsto para 31/03.&#10;10/02 - Amostras chegaram no Bruno, aguardando documentos do Sourcing.&#10;09/02 - Previsão de en"/>
        <s v="03/06/24 - Recebemos o certificado de homologação ANATEL, manutenção concluída.&#10;06/05/24 - Recebemos o certificado de conformidade de manutenção, aguardando submissão no sistema da ANATEL;&#10;12/02/24 - Esse item está sendo recomprado, confirmar a recompra e"/>
        <s v="21/08/23 - Certificado encerrado.&#10;-&#10;07/11 - Retrabalho finalizado.&#10;18/08 - Concedido o Número de Registro nesta data: 008883/2022. Previsão de chegada CD 04/11.&#10;15/08 - Solicitado o Número de Registro nesta data.&#10;12/08 - Certificado de Conformidade emitid"/>
        <s v="08/07 - Certificado de Homologação emitido.&#10;06/07 - Minuta do CCT será enviada hoje. Previsão de finalização da homologação: 18/08.&#10;24/06 - Confirmando a troca do certificado para OCD Moderna. &#10;22/06 - Certificação será a mesma do Relógio Beatles, e a MP "/>
        <s v="25/11/24 -  Registro encerrado.&#10;01/12 - Registro concedido. Número do Registro: 011828/2022.&#10;21/11 - Inmetro solicitou ajustes no certificado e prodcert. Arte do selo enviada para a China, item será etiquetado na origem e não teremos demanda de trabalho.&#10;"/>
        <s v="25/11/24 -  Registro encerrado.&#10;09/01 - Inclusão do item realizada no certificado e sistema Orquestra.&#10;07/12 - Encaminhado etiqueta.&#10;01/12 - Produto: vamos cancelar neste FAT e deixar os desenvolvimentos em aberto para possível pedido no Natal, de acordo "/>
        <s v="03/04 - Tarefa concluída, registro inativado. &#10;28/02 - Inativação do registro solicitado no Orquestra.&#10;09/02/24 - Solicitamos o encerramento do certificado.&#10;19/04 - Registro saiu dia 14/04 e enviamos a instrução do selo no dia 17/04 para o designer.&#10;29/03"/>
        <s v="09/09 - Entrega no CD agendada para 13~14/09.&#10;Certificação gerada pelo fornecedor Colorgraf. &#10;Número de Registro: 002988/2021"/>
        <s v="11/04 - Inativação solicitada hoje no Orquestra.&#10;21/06 - Número de registro concedido e repassado para a criação. Processo finalizado.&#10;11/06 - Número de registro disponível no Orquestra, registro ainda não concedido. Enviei para a equipe da criação. Ready"/>
        <s v="09/07/25 - Certificado encerrado.&#10;20/06/24 - Manutenção concluída.&#10;21/08 - Registro concedido em 17/08.&#10;15/08 - Aguardando concessão do registro (Inmetro). Data estimada de chegada no CD: 09/10 (cons sheets)&#10;08/08 - Já enviamos o número de registro, aguar"/>
        <s v="23/04/2025 - Manutenção finalizada.&#10;03/06/24 - Manutenção concluída.&#10;12/06 - Registro já enviado para o time de criação que repassou a arte atualizada contando com o selo do Inmetro. Registro (004671/2023) concedido pelo Inmetro.&#10;25/05 - Solicitamos o núm"/>
        <s v="31/03/25 - Registro Inativado.&#10;03/06/24 - Manutenção concluída.&#10;04/07 - Número de registro concedido e encaminhado para a Criação.&#10;23/06 - Aguardando número do registro - prazo esperado: 09/07.&#10;Considerando a chegada no CD a partir da informação de finali"/>
        <s v="03/06/24 - Esse SKU precisou ser excluído do certificado pois não passou nos testes de manutenção (furo muito pequeno na tampa).&#10;19/07 - Nome da família alterado e ok. Processo finalizado.&#10;04/07 - Embalagem com número de registro enviada para a China.&#10;23/"/>
        <s v="23/04/2025 - Manutenção finalizada.&#10;19/07 - Nome da família alterado e ok. Processo finalizado.&#10;04/07 - Embalagem com número de registro enviada para a China.&#10;23/06 - Aguardando número do registro - corre risco de precisar ser etiquetado após a produção o"/>
        <s v="31/03/25 - Registro Inativado.&#10;03/06/24 - Manutenção concluída.&#10;07/07 - Registro concedido.&#10;04/07 - Embalagem com número de registro enviada para a China.&#10;21/06 - Estimativa de finalização da produção: 15/07. ETA CD: 27/09. Não conseguimos solicitar o núm"/>
        <s v="23/04/2025 - Manutenção finalizada.&#10;03/06/24 - Manutenção concluída.&#10;07/07 - Registro concedido.&#10;12/06 - Inmetro disponibilizou o número de registro (005380/2023), enviamos para o time da criação. ETA CD: 28/08.&#10;06/06 - Número do Registro concedido pelo I"/>
        <s v="12/03/25 - Manutenção finalizada.&#10;17/08 - Certificado de homologação emitido nesta data.&#10;15/08 - Aguardando confirmação da homologação (Anatel). Conforme informado pelo Vincent, produto alterado para FAT 11 (Rady date: 15/09) Trocar FAT!&#10;08/08 - Aprovamos"/>
        <s v="11/09 - Certificação concedida na data de hoje.&#10;24/08 - Feito o upload do certificado no site da Anatel em 26/08.&#10;16/08 - Aguardando CCT - será aprovado e enviado esta semana para a Anatel. Homologação deve sair em torno de 30 dias. Conforme informado pel"/>
        <s v="25/11/24 -  Registro encerrado.&#10;18/07 - Realizada inclusão. Processo ok.&#10;04/07 - Verificar retirada de itens do certificado antigo, para inclusão sem ensaios.&#10;21/06 - Aguardando código de barras para enviar o memorial descritivo para Brics realizar a incl"/>
        <s v="21/09 - Certificado de homologação concedido na data de hoje.&#10;08/09 - Foto das amostras enviadas hoje.&#10;15/08 - Aguardando envio das fotos da MP de todos os modelos para concluir o certificado e solicitar a homologação. Data estimada de chegada no CD: 24/1"/>
        <s v="24/09/25 - Manutenção finalizada.&#10;11/09 - Certificação concedida na data de hoje.&#10;28/08 - Feito upload dos documentos no site da ANATEL. Aguardando certificado de homologação.&#10;08/08 - Amostra no laboratório. Previsão de envio dos laudos: 23/08. Chegada CD"/>
        <s v="18/09/24 - Registro inativado.&#10;30/08 - Ensaios finalizados e ok, mercadoria está pronta para embarcar e será feito retrabalho de etiquetas no Brasil.&#10;15/08 - Confirmado o recebimento pelo laboratório, previsão de finalização dos ensaios: 30/08.&#10;08/08 - Pr"/>
        <s v="25/11/24 -  Registro encerrado.&#10;04/01/24 - Solicitação aprovada no Orquestra, processo finalizado.&#10;12/12 - Inclusão solicitada no Orquestra.&#10;12/09 - Memorial descritivo enviado a BRICS.&#10;15/08 - Aguardando informação das pelúcias de grade opiniada para sol"/>
        <s v="25/11/24 - Registro encerrado.&#10;01/12 - Solicitação aprovada no Orquestra, processo finalizado.&#10;23/11 - Número de registro concecido, aguardando aprovação no Orquestra.&#10;22/11 - Registro solicitado no Orquestra.&#10;30/08 - Aguardando prontidão das amostras par"/>
        <s v="17/12/2024 - Inativado pelo Inmetro no Orquestra.&#10;27/11/2024 - Inativação do Registro solicitada no Orquestra.&#10;30/01 - Solicitação aprovada no Orquestra, processo finalizado.&#10;17/01 - Número de registro concecido, aguardando aprovação no Orquestra.&#10;28/11 -"/>
        <s v="25/11/24 -  Registro encerrado.&#10;22/02 - Alteração concedida no Orquestra, processo finalizado.&#10;28/11 - Relatório de amostragem recebido, aguardando prontidão das amostras para envio ao laboratório."/>
        <s v="25/11/24 -  Registro encerrado.&#10;22/02 - Alteração concedida no Orquestra, processo finalizado.&#10;28/11 - Relatório de amostragem recebido, aguardando prontidão das amostras para envio ao laboratório.&#10;27/11 - Estamos trocando a certificação desse produto da "/>
        <s v="03/04/25 - Manutenção finalizada.&#10;03/06/24 - Tarefa concluída, processo finalizado.&#10;26/04/24 - Número de registro disponível no Orquestra, aguardando aprovação da tarefa.&#10;18/04/24 - Draft do certificado aprovado, aguardamos o assinado + constar no PRODCER"/>
        <s v="23/04/25 - Manutenção finalizada.&#10;29/07/24 - Registro concedido, processo finalizado.&#10;18/04/24 - As amostras (prova) serão enviadas para o laboratório dia 24/04."/>
        <s v="24/09/25 - Manutenção finalizada.&#10;02/05/24 - Certificado de homologação ANATEL recebido, inclusão finalizada.&#10;04/04/24 - Certificado de conformidade novo aprovado, aguardando submissão no sistema Anatel."/>
        <s v="03/04/25 - Manutenção finalizada.&#10;21/08/24 - Inclusão concecida no Orquestra, processo finalizado."/>
        <s v="15/05/25 - Manutenção finalizada.&#10;29/07/24 - Registro concedido, processo finalizado."/>
        <s v="22/07/25 - Manutenção finalizada.&#10;14/08/24 - Registro concedido, processo finalizado."/>
        <s v="03/07/25 - Certificado encerrado.&#10;13/09 - Certificado de conformidade recebido, processo finalizado."/>
        <s v="06/08/24 - Certificado de Homologação recebido, processo finalizado."/>
        <s v="12/03/25 - Manutenção finalizada.&#10;21/08/24 - Certificado de homologação ANATEL recebido, inclusão finalizada."/>
        <s v="23/04/2025 - Manutenção finalizada.&#10;28/08/24 - Inclusão concecida no Orquestra, processo finalizado."/>
        <s v="03/04/25 - Manutenção finalizada.&#10;13/11/24 - Inclusão concecida, processo finalizado."/>
        <s v="15/05/25 - Manutenção finalizada.&#10;28/10/24 - Registro concedido, processo finalizado."/>
        <s v="28/10/24 - Registro concedido, processo finalizado."/>
        <s v="15/05/25 - Manutenção finalizada.&#10;13/11/24 - Inclusão concedida, processo finalizado."/>
        <s v="11/09/25 - Como não temos mais estoque desse item (ele foi cancelado) não vamos encerrar, vamos apenas deixar vencer conforme indicação da BRICS.&#10;15/01/25 - Inclusão concedida, processo finalizado."/>
        <s v="05/06/25 - Inclusão concedida, processo finalizado."/>
        <s v="04/06/25 - Inclusão concedida, processo finalizado."/>
        <s v="01/09/25 - Registro concedido no Orquestra."/>
        <s v="27/10/25 - Produto cancelado e excluído do Orquestra.&#10;01/09/25 - Registro concedido no Orquestra."/>
        <s v="27/10/25 - Item excluído, aguardando novo modelo para incluir novamente.&#10;01/09/25 - Registro concedido no Orquestra."/>
        <s v="27/10/25 - Item excluído e incluído novamente com o novo nome.&#10;01/09/25 - Registro concedido no Orquestra."/>
        <s v="27/11/25 - Inclusão finalizada no Orquestra."/>
        <m/>
      </sharedItems>
    </cacheField>
    <cacheField name="DATA ÚLTIMA ATUALIZAÇÃO (INICIAL, MANUTENÇÃO OU ENCERRAMENTO)" numFmtId="0">
      <sharedItems containsDate="1" containsString="0" containsBlank="1">
        <m/>
        <d v="2025-04-23T00:00:00Z"/>
        <d v="2025-05-05T00:00:00Z"/>
        <d v="2025-09-11T00:00:00Z"/>
        <d v="2025-03-12T00:00:00Z"/>
        <d v="2024-06-03T00:00:00Z"/>
        <d v="2024-11-25T00:00:00Z"/>
        <d v="2024-04-03T00:00:00Z"/>
        <d v="2025-07-09T00:00:00Z"/>
        <d v="2025-03-31T00:00:00Z"/>
        <d v="2025-09-24T00:00:00Z"/>
        <d v="2024-09-18T00:00:00Z"/>
        <d v="2024-12-17T00:00:00Z"/>
        <d v="2025-04-03T00:00:00Z"/>
        <d v="2025-05-15T00:00:00Z"/>
        <d v="2025-07-22T00:00:00Z"/>
        <d v="2025-07-03T00:00:00Z"/>
        <d v="2024-08-06T00:00:00Z"/>
        <d v="2024-10-28T00:00:00Z"/>
        <d v="2025-06-05T00:00:00Z"/>
        <d v="2025-06-04T00:00:00Z"/>
        <d v="2025-09-01T00:00:00Z"/>
        <d v="2025-10-27T00:00:00Z"/>
        <d v="2025-11-27T00:00:00Z"/>
      </sharedItems>
    </cacheField>
    <cacheField name="ROTULAGEM" numFmtId="0">
      <sharedItems containsBlank="1">
        <s v="Produto + Manual (ANATEL)"/>
        <s v="Produto + Embalagem (INMETRO)"/>
        <s v="Produto + Embalagem + Manual (INMETRO &amp; ANATEL)"/>
        <s v="Produto ou Embalagem (INMETRO)"/>
        <s v="Embalagem (INMETRO)"/>
        <s v="Produto (ANATEL)"/>
        <s v="Selo de certificação na embalagem e no produto"/>
        <s v="Manual e Produto"/>
        <s v="Selo de certificação na embalagem e no produto "/>
        <s v="Produto"/>
        <s v="Produto (selo Inmetro + advertências)"/>
        <s v="Embalagem + Manual (Inmetro)"/>
        <m/>
      </sharedItems>
    </cacheField>
    <cacheField name="FABRICANTE" numFmtId="0">
      <sharedItems containsBlank="1">
        <m/>
        <s v="Shenzhen Kaiyue Century Techonology Co. LTD"/>
        <s v="Shenzhen Huazeng Technology Co., Ltd"/>
        <s v="Shenzhen Chenruixin Technology Co., Ltd"/>
        <s v="Shenzhen Botech Technology Co., Ltd"/>
        <s v="Shenzhen Kaiyue Century Technology Co., Ltd"/>
        <s v="Shenzhen Ao Lai De Electronic Co., Ltd"/>
        <s v="Shenzhen Aita Technology Co., Ltd"/>
        <s v="Sunking Circuits Electronics Co., Ltd"/>
        <s v="SHENZHEN MICRO STAR ELECTRONIC TECHNOLOGY CO., &#10; &#10;LTD."/>
        <s v="SHENZHEN MICRO STAR ELECTRONIC TECHNOLOGY CO.,&#10;&#10;LTD."/>
        <s v="SHENNZHEN BELON TECHNOLOGY CO., LTD&#10;ROOM 1206-07, R&amp;D BUILDING, TSINGHUA INFORMATION No 518052 CHINA"/>
        <s v="New Tech Development Co., Ltd."/>
        <s v="Shenzhen Xinhongsheng Toy Manufacturing CO.,Ltd"/>
        <s v="Taizhou Unisen Home Manufactory Co., Ltd."/>
        <s v="NINGBO ZHENHAI CHENGDI STATIONERY CO"/>
        <s v="Jiangxi Jiayinking Culture Technology Company Ltd"/>
        <s v="DongGuan Xing Yue Electronic Co, Ltd."/>
        <s v="Nice Garden Gift &amp; Toy Co., Ltd."/>
        <s v="Jiangmen Xinxu Hardware Crafts Manufacturing Co., Ltd             "/>
        <s v="DongGuan Xing Yue Electronic Co, Ltd.&#10;98 LiWu Swan lndustrial District, Qiao Tou Town, ,Dong &#10;Guan City, Guang Dong - China"/>
      </sharedItems>
    </cacheField>
    <cacheField name="Validade da Certificação">
      <sharedItems containsDate="1" containsBlank="1" containsMixedTypes="1">
        <d v="2023-05-24T00:00:00Z"/>
        <d v="2023-05-31T00:00:00Z"/>
        <d v="2023-05-26T00:00:00Z"/>
        <s v="Certificado encerrado, validade do estoque do produto até 06/07/2023"/>
        <s v="Item não certificado"/>
        <s v="Até o final do lote"/>
        <d v="2020-03-02T00:00:00Z"/>
        <d v="2021-03-11T00:00:00Z"/>
        <d v="2023-04-05T00:00:00Z"/>
        <d v="2021-02-20T00:00:00Z"/>
        <d v="2020-08-07T00:00:00Z"/>
        <d v="2021-06-23T00:00:00Z"/>
        <d v="2026-05-11T00:00:00Z"/>
        <d v="2025-05-11T00:00:00Z"/>
        <d v="2023-04-22T00:00:00Z"/>
        <d v="2021-02-04T00:00:00Z"/>
        <d v="2023-03-22T00:00:00Z"/>
        <d v="2022-02-05T00:00:00Z"/>
        <d v="2024-03-04T00:00:00Z"/>
        <d v="2023-05-06T00:00:00Z"/>
        <d v="2021-03-31T00:00:00Z"/>
        <d v="2023-04-01T00:00:00Z"/>
        <d v="2023-05-12T00:00:00Z"/>
        <d v="2024-05-21T00:00:00Z"/>
        <d v="2023-06-16T00:00:00Z"/>
        <d v="2022-04-08T00:00:00Z"/>
        <d v="2025-07-16T00:00:00Z"/>
        <d v="2023-07-14T00:00:00Z"/>
        <d v="2023-03-15T00:00:00Z"/>
        <d v="2023-04-02T00:00:00Z"/>
        <d v="2023-04-27T00:00:00Z"/>
        <d v="2023-04-20T00:00:00Z"/>
        <d v="2023-08-13T00:00:00Z"/>
        <d v="2025-06-21T00:00:00Z"/>
        <d v="2025-07-14T00:00:00Z"/>
        <d v="2021-08-20T00:00:00Z"/>
        <d v="2023-05-20T00:00:00Z"/>
        <d v="2023-09-17T00:00:00Z"/>
        <d v="2022-08-15T00:00:00Z"/>
        <d v="2022-09-09T00:00:00Z"/>
        <d v="2025-11-30T00:00:00Z"/>
        <s v="25/08/2022&#10;04/08/2023"/>
        <d v="2023-11-04T00:00:00Z"/>
        <d v="2023-08-18T00:00:00Z"/>
        <d v="2022-08-26T00:00:00Z"/>
        <d v="2022-09-19T00:00:00Z"/>
        <d v="2023-09-06T00:00:00Z"/>
        <d v="2023-08-26T00:00:00Z"/>
        <d v="2023-09-09T00:00:00Z"/>
        <d v="2024-02-14T00:00:00Z"/>
        <d v="2022-11-30T00:00:00Z"/>
        <d v="2023-10-20T00:00:00Z"/>
        <d v="2022-11-29T00:00:00Z"/>
        <d v="2023-10-13T00:00:00Z"/>
        <d v="2022-12-15T00:00:00Z"/>
        <d v="2021-11-29T00:00:00Z"/>
        <d v="2023-10-05T00:00:00Z"/>
        <d v="2023-10-06T00:00:00Z"/>
        <d v="2024-01-13T00:00:00Z"/>
        <d v="2023-07-26T00:00:00Z"/>
        <d v="2023-05-22T00:00:00Z"/>
        <d v="2024-07-12T00:00:00Z"/>
        <d v="2027-03-22T00:00:00Z"/>
        <d v="2026-07-27T00:00:00Z"/>
        <d v="2023-08-11T00:00:00Z"/>
        <d v="2024-11-08T00:00:00Z"/>
        <s v="n/a"/>
        <d v="2024-04-09T00:00:00Z"/>
        <m/>
        <d v="2024-05-22T00:00:00Z"/>
        <d v="2025-07-23T00:00:00Z"/>
        <d v="2025-06-20T00:00:00Z"/>
        <d v="2026-06-06T00:00:00Z"/>
        <d v="2025-06-06T00:00:00Z"/>
        <d v="2026-05-25T00:00:00Z"/>
        <d v="2025-08-24T00:00:00Z"/>
        <d v="2025-09-14T00:00:00Z"/>
        <d v="2027-08-28T00:00:00Z"/>
        <d v="2024-09-10T00:00:00Z"/>
        <d v="2024-11-16T00:00:00Z"/>
        <d v="2025-01-10T00:00:00Z"/>
        <d v="2026-04-21T00:00:00Z"/>
        <d v="2026-06-16T00:00:00Z"/>
        <d v="2026-06-17T00:00:00Z"/>
        <d v="2026-07-11T00:00:00Z"/>
        <d v="2025-09-11T00:00:00Z"/>
        <d v="2026-07-24T00:00:00Z"/>
        <d v="2025-06-17T00:00:00Z"/>
        <d v="2025-12-03T00:00:00Z"/>
        <d v="2026-08-24T00:00:00Z"/>
      </sharedItems>
    </cacheField>
    <cacheField name="Início Manutenção">
      <sharedItems containsDate="1" containsBlank="1" containsMixedTypes="1">
        <d v="2023-02-23T00:00:00Z"/>
        <d v="2023-03-02T00:00:00Z"/>
        <d v="2023-02-25T00:00:00Z"/>
        <m/>
        <s v="Homologação ANATEL - Sem necessidade de Auditoria"/>
        <s v="Novo desenvolvimento - Analise documental somente das informações de SAC - Sem necessidade de input da ASTEC até manutenção"/>
        <d v="2020-07-08T00:00:00Z"/>
        <s v="Sem necessidade - Certificação de Lote"/>
        <d v="2026-02-10T00:00:00Z"/>
        <d v="2025-02-10T00:00:00Z"/>
        <d v="2023-01-22T00:00:00Z"/>
        <d v="2020-07-13T00:00:00Z"/>
        <d v="2022-12-22T00:00:00Z"/>
        <s v="Sem auditoria - lote"/>
        <d v="2021-11-07T00:00:00Z"/>
        <d v="2023-12-05T00:00:00Z"/>
        <d v="2023-02-05T00:00:00Z"/>
        <d v="2020-12-31T00:00:00Z"/>
        <d v="2023-01-01T00:00:00Z"/>
        <d v="2023-02-11T00:00:00Z"/>
        <d v="2024-02-21T00:00:00Z"/>
        <d v="2023-03-18T00:00:00Z"/>
        <d v="2022-01-08T00:00:00Z"/>
        <d v="2025-04-17T00:00:00Z"/>
        <d v="2023-04-15T00:00:00Z"/>
        <d v="2022-12-15T00:00:00Z"/>
        <d v="2023-01-02T00:00:00Z"/>
        <d v="2023-01-27T00:00:00Z"/>
        <d v="2023-01-05T00:00:00Z"/>
        <d v="2023-01-20T00:00:00Z"/>
        <d v="2023-07-14T00:00:00Z"/>
        <d v="2025-03-23T00:00:00Z"/>
        <d v="2025-04-15T00:00:00Z"/>
        <d v="2021-05-22T00:00:00Z"/>
        <d v="2023-02-19T00:00:00Z"/>
        <d v="2023-06-19T00:00:00Z"/>
        <d v="2022-05-17T00:00:00Z"/>
        <d v="2022-06-11T00:00:00Z"/>
        <d v="2025-09-01T00:00:00Z"/>
        <d v="2022-05-27T00:00:00Z"/>
        <d v="2023-08-06T00:00:00Z"/>
        <d v="2023-05-20T00:00:00Z"/>
        <d v="2022-05-28T00:00:00Z"/>
        <d v="2022-06-21T00:00:00Z"/>
        <d v="2023-06-08T00:00:00Z"/>
        <d v="2023-05-28T00:00:00Z"/>
        <d v="2023-06-11T00:00:00Z"/>
        <d v="2023-11-16T00:00:00Z"/>
        <d v="2022-09-01T00:00:00Z"/>
        <d v="2023-07-22T00:00:00Z"/>
        <d v="2022-08-31T00:00:00Z"/>
        <d v="2023-07-15T00:00:00Z"/>
        <d v="2022-09-16T00:00:00Z"/>
        <d v="2021-08-31T00:00:00Z"/>
        <d v="2023-07-07T00:00:00Z"/>
        <d v="2023-07-08T00:00:00Z"/>
        <d v="2023-10-15T00:00:00Z"/>
        <d v="2023-04-27T00:00:00Z"/>
        <d v="2023-02-21T00:00:00Z"/>
        <d v="2024-04-13T00:00:00Z"/>
        <d v="2026-12-22T00:00:00Z"/>
        <d v="2026-04-28T00:00:00Z"/>
        <d v="2023-05-13T00:00:00Z"/>
        <d v="2024-08-10T00:00:00Z"/>
        <s v="n/a"/>
        <d v="2024-01-10T00:00:00Z"/>
        <d v="2024-04-02T00:00:00Z"/>
        <d v="2025-04-24T00:00:00Z"/>
        <d v="2025-03-22T00:00:00Z"/>
        <d v="2026-03-08T00:00:00Z"/>
        <d v="2025-03-08T00:00:00Z"/>
        <d v="2026-02-24T00:00:00Z"/>
        <d v="2025-05-26T00:00:00Z"/>
        <d v="2025-06-16T00:00:00Z"/>
        <d v="2027-05-30T00:00:00Z"/>
        <d v="2024-06-12T00:00:00Z"/>
        <d v="2024-08-18T00:00:00Z"/>
        <d v="2024-10-12T00:00:00Z"/>
        <d v="2026-01-21T00:00:00Z"/>
        <d v="2026-03-18T00:00:00Z"/>
        <d v="2026-03-19T00:00:00Z"/>
        <d v="2026-04-12T00:00:00Z"/>
        <d v="2025-06-13T00:00:00Z"/>
        <d v="2026-04-25T00:00:00Z"/>
        <d v="2025-03-19T00:00:00Z"/>
        <d v="2025-09-04T00:00:00Z"/>
        <d v="2026-05-26T00:00:00Z"/>
      </sharedItems>
    </cacheField>
    <cacheField name="Número Certificado" numFmtId="0">
      <sharedItems containsBlank="1">
        <s v=" MT-5343/2021"/>
        <s v="MT-5348/2021"/>
        <s v="MT-5342/2021"/>
        <s v="IP-BRI-9435-2019-4"/>
        <s v="NA"/>
        <s v="5237-2019-BRI -1"/>
        <s v="5168/2019-ELE-1"/>
        <s v="5169-2019-ELE-1"/>
        <s v="5269/2020-BRI-1"/>
        <s v="MT-5263/2021"/>
        <s v="IPI-BRI-9951-2019-05"/>
        <s v="5236-2019-BRI-1"/>
        <s v="5238/2019-BRI-1"/>
        <s v="5450-2020-BRI-1"/>
        <s v="5617/2020-BRI-1"/>
        <s v="5637-2020-BRI-1"/>
        <s v="MT-5347/2021"/>
        <s v="9114/2023-AE-1"/>
        <s v="5605/2020-AE-1"/>
        <s v="MT-5057/2020"/>
        <s v="000910/2015"/>
        <s v="MT-5084/2020"/>
        <s v="6926/2021-ELE-1"/>
        <s v="6364/2020-ELE-1"/>
        <s v="6544/2021-BRI"/>
        <s v="MT-4968/2020"/>
        <s v="MT-5258/2021"/>
        <s v="5319/2020-ELE-1"/>
        <s v="MT-5157/2021"/>
        <s v="MT-5268/2021"/>
        <s v="MT-5341/2021"/>
        <s v="MT-5177/2021"/>
        <s v="MT-5295/2021"/>
        <s v="6504/2021-ELE-1"/>
        <s v="MODERNA-1131/23"/>
        <s v="MT-5486/2021"/>
        <s v="MT-5179/2021"/>
        <s v="MT-5204/2021"/>
        <s v="MT-5178/2021"/>
        <s v="MT-5205/2021"/>
        <s v="MT-5206/2021"/>
        <s v="MT-5259/2021"/>
        <s v="MT-5502/2021"/>
        <s v="MODERNA-1132/23"/>
        <s v="MODERNA-1130/23"/>
        <s v="MODERNA-1133/23"/>
        <s v="MT-5423/2021"/>
        <s v="MT-5549/2021"/>
        <s v="6829/2021-ELE-1"/>
        <s v="6851/2021-ELE-1"/>
        <s v="MODERNA-2323/23"/>
        <s v="6906-2021-ELE-1&#10; MT-5590/2021"/>
        <s v="MT-5494/2021"/>
        <s v="6916-2021-BRI-1&#10;MT-5493/2021"/>
        <s v="6927/2021-ELE-1"/>
        <s v=" 6788/2021-BRI"/>
        <s v="MT-5613/2021"/>
        <s v="6994/2021-ELE-1"/>
        <s v="MT-5624/2021"/>
        <s v="MT-5625/2021"/>
        <s v="MT-5639/2021"/>
        <s v="MT-5846/2022"/>
        <s v="7197/2021-ELE-1"/>
        <s v="MT-5730/2021"/>
        <s v="7141/2021-ELE-1"/>
        <s v="MT-5689/2021"/>
        <s v="7333-2021-ELE-1"/>
        <s v="7333-2021-ELE-2"/>
        <s v="7285/2021-ELE-1"/>
        <s v="MT-5720/2021"/>
        <s v="MT-5716/2021"/>
        <s v="MT-5717/2021"/>
        <s v="MT-5718/2021"/>
        <s v="MT-5826/2021"/>
        <s v="7661/2022-AE-2"/>
        <s v="7661/2022-AE-1"/>
        <s v="MT-5970/2022"/>
        <s v="MODERNA-0891/23"/>
        <s v="MODERNA-0200/22"/>
        <s v="8085/2022-BRI-1"/>
        <s v="MODERNA-0089/22"/>
        <s v="8325/2022-BRI-1"/>
        <s v="9142/2023-BRI-2"/>
        <s v="Certificado do fornecedor"/>
        <s v="9142/2023-BRI-1"/>
        <s v="9141/2023-BRI-1"/>
        <s v="9114/2023-AE-2"/>
        <s v="9114/2023-AE-3"/>
        <s v="9114/2023-AE-4"/>
        <s v="9114/2023-AE-5"/>
        <s v="MODERNA-1455/23"/>
        <s v="MODERNA-1456/23"/>
        <s v="MODERNA-1657/23"/>
        <s v="9773/2023-BRI-1"/>
        <s v="9886/2023-BRI-1"/>
        <s v="10247/2023-BRI-1"/>
        <s v="10473/2024-BRI-1"/>
        <s v="10550/2024-BRI-1"/>
        <s v="10725/2024-BRI-1"/>
        <s v="10807/2024-AE-1"/>
        <s v="10953/2024-ELE-1"/>
        <s v="MODERNA-3670/24"/>
        <s v="11356/2024-BRI-1"/>
        <s v="12224/2025-AE-2"/>
        <s v="12224/2025-AE-4"/>
        <s v="12224/2025-AE-1"/>
        <s v="12224/2025-AE-3"/>
        <m/>
      </sharedItems>
    </cacheField>
    <cacheField name="Número Registro / Homologação" numFmtId="0">
      <sharedItems containsBlank="1">
        <s v="06107-21-12659"/>
        <s v="07697-21-11541"/>
        <s v="06106-21-12406"/>
        <s v="001343/2020"/>
        <s v="NA"/>
        <s v="03511-21-12855"/>
        <s v="002937/2020"/>
        <s v="06109-21-12418"/>
        <s v="004671/2023"/>
        <s v="006550/2020"/>
        <s v="14600-20-13387"/>
        <s v="IP-AESC-3847/2019-01&#10;IP-AESC-3847/2019-02"/>
        <s v="15743-20-13462"/>
        <s v="N/A"/>
        <s v="09318-20-12562"/>
        <s v="03460-21-13781"/>
        <s v="00427-21-13647"/>
        <s v="03906-21-13799"/>
        <s v="06105-21-12851"/>
        <s v="01372-21-04646"/>
        <s v="04730-21-11617"/>
        <s v="6504/2021-ELE-1"/>
        <s v="07480-21-10468"/>
        <s v="08317-21-12851"/>
        <s v="01374-21-12851"/>
        <s v="02232-21-13731"/>
        <s v="01373-21-12851"/>
        <s v="02234-21-09538"/>
        <s v="02235-21-13731"/>
        <s v="03474-21-13782"/>
        <s v="09132-21-06091"/>
        <s v="06516-21-13892"/>
        <s v="08886-21-12562"/>
        <s v="06517-21-13892"/>
        <s v=" 07145-21-13801"/>
        <s v="10134-21-10468"/>
        <s v="11136-21-14089"/>
        <s v="11135-21-12612"/>
        <s v="08885-21-12851"/>
        <s v="08884-21-12851"/>
        <s v="12071-21-10468"/>
        <s v="12413-21-11617"/>
        <s v="12464-21-10468"/>
        <s v="12805-21-14180"/>
        <s v="00427-22-12562"/>
        <s v="14341-21-12562"/>
        <s v="13472-21-11617"/>
        <s v="14290-21-12562"/>
        <s v="14286-21-12562"/>
        <s v="14287-21-12562"/>
        <s v="14288-21-12562"/>
        <s v="008542/2022"/>
        <s v="006411/2022"/>
        <s v="09043-22-14683"/>
        <s v="10583-22-13782"/>
        <s v="008883/2022"/>
        <s v="011828/2022"/>
        <s v="002978/2023"/>
        <s v="002988/2021"/>
        <s v="005156/2023"/>
        <s v="007568/2023"/>
        <s v="​006455/2023"/>
        <s v="005674/2023"/>
        <s v="006456/2023"/>
        <s v="005380/2023"/>
        <s v="13909-23-15816"/>
        <s v="13900-23-15956"/>
        <s v="13907-23-15956"/>
        <s v="009461/2023"/>
        <s v="011489/2023"/>
        <s v="000467/2024"/>
        <s v="006083/2024"/>
        <s v="010173/2024"/>
        <s v="010366/2024"/>
        <s v="012142/2024"/>
        <m/>
        <s v="07388-24-15956"/>
        <s v="000219/2025"/>
        <s v="009650/2025"/>
        <s v="009653/2025"/>
        <s v="009640/2025"/>
        <s v="009652/2025"/>
      </sharedItems>
    </cacheField>
    <cacheField name="OCP / OCD" numFmtId="0">
      <sharedItems containsBlank="1">
        <m/>
        <s v="BRICS OCP 0098"/>
        <s v="MASTER"/>
        <s v="MODERNA"/>
      </sharedItems>
    </cacheField>
    <cacheField name="Possui ISO 9001?" numFmtId="0">
      <sharedItems containsBlank="1">
        <b v="0"/>
        <b v="1"/>
        <m/>
      </sharedItems>
    </cacheField>
    <cacheField name="CHEGADA CD">
      <sharedItems containsDate="1" containsMixedTypes="1">
        <s v=""/>
        <d v="2022-05-05T00:00:00Z"/>
        <d v="2021-10-05T00:00:00Z"/>
        <d v="2021-11-05T00:00:00Z"/>
        <d v="2022-09-05T00:00:00Z"/>
        <d v="2022-01-05T00:00:00Z"/>
        <d v="2022-06-05T00:00:00Z"/>
        <d v="2021-12-05T00:00:00Z"/>
        <d v="2022-02-05T00:00:00Z"/>
        <d v="2022-04-05T00:00:00Z"/>
        <d v="2022-03-05T00:00:00Z"/>
        <d v="2022-12-05T00:00:00Z"/>
        <d v="2022-08-05T00:00:00Z"/>
        <d v="2022-10-05T00:00:00Z"/>
        <d v="2023-02-05T00:00:00Z"/>
        <d v="2023-04-05T00:00:00Z"/>
        <d v="2023-08-05T00:00:00Z"/>
        <d v="2023-10-05T00:00:00Z"/>
        <d v="2023-09-05T00:00:00Z"/>
        <d v="2023-11-05T00:00:00Z"/>
        <d v="2023-12-05T00:00:00Z"/>
        <d v="2024-02-05T00:00:00Z"/>
        <d v="2024-04-05T00:00:00Z"/>
        <d v="2024-09-16T00:00:00Z"/>
        <d v="2024-09-21T00:00:00Z"/>
        <d v="2024-07-08T00:00:00Z"/>
        <d v="2024-08-05T00:00:00Z"/>
        <d v="2024-10-19T00:00:00Z"/>
        <d v="2024-12-09T00:00:00Z"/>
        <d v="2025-01-10T00:00:00Z"/>
        <d v="2024-12-04T00:00:00Z"/>
        <d v="2025-02-21T00:00:00Z"/>
        <d v="2025-03-21T00:00:00Z"/>
        <d v="2025-10-30T00:00:00Z"/>
        <d v="2025-12-03T00:00:00Z"/>
        <d v="2025-12-10T00:00:00Z"/>
        <d v="2026-02-05T00:00:00Z"/>
      </sharedItems>
    </cacheField>
    <cacheField name="SITUAÇÃO" numFmtId="0">
      <sharedItems containsBlank="1">
        <s v="Encerrado"/>
        <s v="Ativo"/>
        <s v="SKU excluído"/>
        <m/>
      </sharedItems>
    </cacheField>
    <cacheField name="Descrição E-commerce" numFmtId="0">
      <sharedItems containsBlank="1">
        <m/>
        <s v="Certificação INMETRO:Produto certificado por INNAC OCP 0061 Nº Registro 001343/2020"/>
        <s v="N/A"/>
        <s v="Certificação INMETRO:Produto certificado por BRICS OCP 0098 CE-BRI/BRICS 001180-20"/>
        <s v="Certificação INMETRO:Produto certificado por BRICS OCP 0098 Nº Certificado 5168/2019-ELE-1"/>
        <s v="Certificação INMETRO:Produto certificado por BRICS OCP 0098 Nº Certificado 5169-2019-ELE"/>
        <s v="Produto homologado pela Anatel: Nº Homologação 03511-21-12855"/>
        <s v="Certificação INMETRO:Produto certificado por INNAC OCP 0061 Nº Registro 002937/2020"/>
        <s v="LUDI"/>
        <s v="NA"/>
        <s v="Produto homologado pela Anatel: Nº Homologação 06109-21-12418"/>
        <s v="Certificação INMETRO:Produto certificado por BRICS OCP 0098 Nº Registro 004671/2023"/>
        <s v="Certificação INMETRO:Produto certificado por BRICS OCP 0098 Nº Registro 006550/2020"/>
        <s v="Produto homologado pela Anatel: Nº Homologação 14600-20-13387"/>
        <s v="Este produto contém a placa ST226A código de homologação ANATEL 15743-20-13462"/>
        <s v="Certificação INMETRO:Produto certificado por BRICS OCP 0098 Nº Certificado 6356/2020-ELE"/>
        <s v="Certificação INMETRO:Produto certificado por BRICS OCP 0098 Nº Certificado 6364/2020-ELE-1"/>
        <s v="Produto homologado pela Anatel: Nº Homologação 09318-20-1256"/>
        <s v="Este produto contém a placa SL-272 código de homologação ANATEL 03460-21-13781"/>
        <s v="Certificação INMETRO:Produto certificado por BRICS OCP 0098 Nº Certificado 5319/2020-ELE"/>
        <s v="Este produto contém a placa PI4750Y código de homologação ANATEL 00427-21-13647"/>
        <s v="Este produto contém a placa PI4764Y código de homologação ANATEL 03906-21-13799"/>
        <s v="Produto homologado pela Anatel: Nº Homologação 06105-21-12851"/>
        <s v="Este produto contém a placa PI4800Y código de homologação ANATEL 01372-21-04646"/>
        <s v="Produto homologado pela Anatel: Nº Homologação 04730-21-11617"/>
        <s v="Certificação INMETRO:Produto certificado por BRICS OCP 0098 Nº Certificado 6504/2021-ELE-1"/>
        <s v="Produto homologado pela Anatel: Nº Homologação 07480-21-10468"/>
        <s v="Produto homologado pela Anatel: Nº Homologação 08317-21-12851"/>
        <s v="Produto homologado pela Anatel: Nº Homologação 01374-21-12851"/>
        <s v="Este produto contém a placa PI4861Y código de homologação ANATEL 02232-21-13731"/>
        <s v="Este produto contém a placa PI4860Y código de homologação ANATEL 01373-21-12851"/>
        <s v="Este produto contém a placa M46-AMP código de homologação ANATEL 02234-21-09538"/>
        <s v="Este produto contém a placa PI4878Y código de homologação ANATEL 02235-21-13731"/>
        <s v="Este produto contém a placa PI4882Y código de homologação ANATEL 03474-21-13782"/>
        <s v="Este produto contém a placa PI4899Y código de homologação ANATEL: 09132-21-06091."/>
        <s v="Produto homologado pela Anatel: Nº homologação 06516-21-13892"/>
        <s v="Produto homologado pela Anatel: Nº homologação 08886-21-12562"/>
        <s v="Produto homologado pela Anatel: Nº Homologação 06517-21-13892"/>
        <s v="Este produto contém a placa PI4771Y código de homologação ANATEL 07145-21-13801"/>
        <s v="Este produto contém a placa 644563A_Y13 código de homologação ANATEL: 10134-21-10468"/>
        <s v="Certificação INMETRO:Produto certificado por BRICS OCP 0098 Nº Certificado 6829/2021-ELE-1"/>
        <s v="Certificação INMETRO:Produto certificado por BRICS OCP 0098 Nº Certificado 6851/2021-ELE-1"/>
        <s v="Produto homologado pela Anatel: Nº Homologação 11136-21-14089"/>
        <s v="Certificação INMETRO:Produto certificado por BRICS OCP 0098 Nº Certificado 6906-2021-ELE-1&#10; &#10; Este produto contém a placa PI5118Y código de homologação ANATEL 11135-21-12612"/>
        <s v="Este produto contém a placa PI5112Ycódigo de homologação ANATEL 08885-21-12851"/>
        <s v="Certificação INMETRO:Produto certificado por BRICS OCP 0098 CE-BRI/BRICS 001180-20.&#10; &#10; Produto homologado pela Anatel: Nº Homologação 08884-21-12851"/>
        <s v="Certificação INMETRO:Produto certificado por BRICS OCP 0098 Nº Certificado 6927-2021-ELE-1"/>
        <s v="Este produto contém a placa AZ-F12 código de homologação ANATEL: 12071-21-10468"/>
        <s v="Certificação INMETRO:Produto certificado por BRICS OCP 0098 Nº Certificado 6994/2021-ELE-1"/>
        <s v="Produto homologado pela Anatel: Nº Homologação 12413-21-11617"/>
        <s v="Este produto contém a placa PI5134Y código de homologação ANATEL: 12464-21-10468"/>
        <s v="Este produto contém a placa PI5135Y código de homologação ANATEL: 12412-21-10468"/>
        <s v="Produto homologado pela Anatel: Nº Homologação 00427-22-12562"/>
        <s v="Certificação INMETRO:Produto certificado por BRICS OCP 0098 Nº Certificado 7197/2021-ELE-1"/>
        <s v="Produto homologado pela Anatel: Nº Homologação 14341-21-12562"/>
        <s v="Certificação INMETRO:Produto certificado por BRICS OCP 0098 Nº Certificado 7141/2021-ELE-1"/>
        <s v="Produto homologado pela Anatel: Nº homologação 13472-21-11617"/>
        <s v="Certificação INMETRO:Produto certificado por BRICS OCP 0098 Nº Certificado 7333-2021-ELE-1"/>
        <s v="Certificação INMETRO:Produto certificado por BRICS OCP 0098 Nº Certificado 7333-2021-ELE-2"/>
        <s v="Certificação INMETRO:Produto certificado por BRICS OCP 0098 Nº Certificado 7285/2021-ELE-1"/>
        <s v="Produto homologado pela Anatel: Nº Homologação 14290-21-12562"/>
        <s v="Produto homologado pela Anatel: Nº Homologação 14286-21-12562"/>
        <s v="Produto homologado pela Anatel: Nº Homologação 14287-21-12562"/>
        <s v="Produto homologado pela Anatel: Nº Homologação 14288-21-12562"/>
        <s v="Certificação INMETRO:Produto certificado por BRICS OCP 0098 Nº Registro 008542/2022"/>
        <s v="Certificação INMETRO:Produto certificado por BRICS OCP 0098 Nº Registro 006411/2022"/>
        <s v="Este&#10; produto contém a placa PI5393Y código de homologação ANATEL: 09043-22-14683"/>
        <s v="Este produto contém a placa PI5393Y código de homologação ANATEL: 09043-22-14683"/>
        <s v="Este produto está homologado pela Anatel de acordo com os procedimentos regulamentados para avaliação da conformidade de produtos para telecomunicações e atende aos requisitos técnicos aplicados, sendo referenciado pelo código de homologação Anatel: 10583"/>
        <s v="Certificação INMETRO:Produto certificado por BRICS OCP 0098 Nº Registro 008883/2022"/>
        <s v="Certificação INMETRO:Produto certificado por BRICS OCP 0098 Nº Registro 011828/2022"/>
        <s v="Certificação INMETRO:Produto certificado por IGBQ 0003 Nº Registro 002988/2021"/>
        <s v="Certificação INMETRO:Produto certificado por BRICS OCP 0098 Nº Registro 005156/2023"/>
        <s v="Certificação INMETRO: Produto certificado por BRICS OCP 0098 Nº Registro 007568/2023"/>
        <s v="Certificação INMETRO:Produto certificado por BRICS OCP 0098 Nº Registro 006455/2023"/>
        <s v="Certificação INMETRO:Produto certificado por BRICS OCP 0098 Nº Registro ​005674/2023"/>
        <s v="Certificação INMETRO:Produto certificado por BRICS OCP 0098 Nº Registro 005674/2023"/>
        <s v="Certificação INMETRO:Produto certificado por BRICS OCP 0098 Nº Registro 006456/2023"/>
        <s v="Certificação INMETRO:Produto certificado por BRICS OCP 0098 Nº Registro 005380/2023"/>
        <s v="Este produto está homologado pela Anatel de acordo com os procedimentos regulamentados para avaliação da conformidade de produtos para telecomunicações e atende aos requisitos técnicos aplicados, sendo referenciado pelo código de homologação Anatel: 15743"/>
        <s v="Este produto está homologado pela Anatel de acordo com os procedimentos regulamentados para avaliação da conformidade de produtos para telecomunicações e atende aos requisitos técnicos aplicados, sendo referenciado pelo código de homologação Anatel: 13909"/>
        <s v="Este produto está homologado pela Anatel de acordo com os procedimentos regulamentados para avaliação da conformidade de produtos para telecomunicações e atende aos requisitos técnicos aplicados, sendo referenciado pelo código de homologação Anatel: 13900"/>
        <s v="Este produto está homologado pela Anatel de acordo com os procedimentos regulamentados para avaliação da conformidade de produtos para telecomunicações e atende aos requisitos técnicos aplicados, sendo referenciado pelo código de homologação Anatel: 13907"/>
        <s v="Certificação INMETRO:Produto certificado por BRICS OCP 0098 Nº Registro 009461/2023"/>
        <s v="Certificação INMETRO:Produto certificado por BRICS OCP 0098 Nº Registro 011489/2023"/>
        <s v="Certificação INMETRO:Produto certificado por BRICS OCP 0098 Nº Registro 000467/2024"/>
        <s v="Certificação INMETRO: Produto certificado por BRICS OCP 0098 Nº Registro 006083/2024"/>
        <s v="Certificação INMETRO: Produto certificado por BRICS OCP 0098 Nº Registro 010173/2024"/>
        <s v="Certificação INMETRO: Produto certificado por BRICS OCP 0098 Nº Registro 010366/2024"/>
        <s v="Certificação INMETRO: Produto certificado por BRICS OCP 0098 Nº Registro 012142/2024"/>
        <s v="Certificação INMETRO: Produto certificado por BRICS OCP 0098"/>
        <s v="Este produto está homologado pela Anatel de acordo com os procedimentos regulamentados para avaliação da conformidade de produtos para telecomunicações e atende aos requisitos técnicos aplicados, sendo referenciado pelo código de homologação Anatel: 07388"/>
        <s v="Certificação INMETRO: Produto certificado por BRICS OCP 0098 Nº Registro 005674/2023"/>
        <s v="Certificação INMETRO: Produto certificado por BRICS OCP 0098 Nº Registro 005380/2023"/>
        <s v="Certificação INMETRO: Produto certificado por BRICS OCP 0098 Nº Registro 000219/2025"/>
        <s v="Certificação INMETRO: Produto certificado por BRICS OCP 0098 Nº Registro 009650/2025"/>
        <s v="Certificação INMETRO: Produto certificado por BRICS OCP 0098 Nº Registro 009653/2025"/>
        <s v="Certificação INMETRO: Produto certificado por BRICS OCP 0098 Nº Registro 009640/2025"/>
        <s v="Certificação INMETRO: Produto certificado por BRICS OCP 0098 Nº Registro 009652/2025"/>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603" sheet="Puket"/>
  </cacheSource>
  <cacheFields>
    <cacheField name="MARCA" numFmtId="0">
      <sharedItems containsBlank="1">
        <s v="PUKET"/>
        <m/>
      </sharedItems>
    </cacheField>
    <cacheField name="IMAGEM" numFmtId="0">
      <sharedItems containsBlank="1">
        <s v=""/>
        <m/>
      </sharedItems>
    </cacheField>
    <cacheField name="CÓDIGO" numFmtId="49">
      <sharedItems containsBlank="1">
        <s v="100400403"/>
        <s v="100400402"/>
        <s v="100400416"/>
        <s v="100400417"/>
        <m/>
        <s v="100400422"/>
        <s v="100400423"/>
        <s v="100400380"/>
        <s v="070400034"/>
        <s v="050403704"/>
        <s v="050403703"/>
        <s v="050403298"/>
        <s v="050403294"/>
        <s v="050403296"/>
        <s v="050403297"/>
        <s v="050403293"/>
        <s v="050403299"/>
        <s v="050403300"/>
        <s v="050403659"/>
        <s v="050403653"/>
        <s v="050403654"/>
        <s v="050403655"/>
        <s v="050403656"/>
        <s v="050403657"/>
        <s v="050403658"/>
        <s v="050403747"/>
        <s v="050403748"/>
        <s v="100400440"/>
        <s v="100400441"/>
        <s v="100400442"/>
        <s v="100400443"/>
        <s v="050403749"/>
        <s v="050403751"/>
        <s v="050403180"/>
        <s v="050403179"/>
        <s v="990400023"/>
        <s v="050404003"/>
        <s v="050404004"/>
        <s v="050404005"/>
        <s v="050404006"/>
        <s v="050404008"/>
        <s v="050404009"/>
        <s v="050403707"/>
        <s v="100400497"/>
        <s v="100400495"/>
        <s v="100400496"/>
        <s v="100400494"/>
        <s v="100400503"/>
        <s v="050404073"/>
        <s v="050404074"/>
        <s v="050404287"/>
        <s v="990400036"/>
        <s v="100400534"/>
        <s v="100400532"/>
        <s v="100400531"/>
        <s v="100400522"/>
        <s v="050404255"/>
        <s v="050404254"/>
        <s v="050404251"/>
        <s v="050404252"/>
        <s v="050404250"/>
        <s v="050404253"/>
        <s v="050404326"/>
        <s v="050404329"/>
        <s v="050404315"/>
        <s v="050404316"/>
        <s v="050404314"/>
        <s v="050404313"/>
        <s v="050404318"/>
        <s v="050404319"/>
        <s v="050404320"/>
        <s v="050404321"/>
        <s v="050404322"/>
        <s v="050404323"/>
        <s v="050404324"/>
        <s v="050404414"/>
        <s v="990400037"/>
        <s v="070400047"/>
        <s v="100400556"/>
        <s v="100400555"/>
      </sharedItems>
    </cacheField>
    <cacheField name="COLEÇÃO" numFmtId="0">
      <sharedItems containsBlank="1">
        <s v="2023 HIGH SUMMER"/>
        <m/>
        <s v="2023 WINTER"/>
        <s v="2022 HIGH WINTER"/>
        <s v="2024 HIGH SUMMER"/>
        <s v="2025 SUMMER"/>
        <s v="2025 HIGH SUMMER"/>
        <s v="2026 HIGH SUMMER"/>
        <s v="2026 SUMMER"/>
        <s v="2026 WINTER"/>
        <s v="2027 SUMMER"/>
      </sharedItems>
    </cacheField>
    <cacheField name="Fornecedor" numFmtId="0">
      <sharedItems containsBlank="1">
        <s v="TOYLAND"/>
        <s v="Kayuan"/>
        <s v="Joy Rain"/>
        <s v="Zhiletian"/>
        <s v="FAMAS SOLUÇÕES GRAFICAS"/>
        <s v="United Quanzhou"/>
        <s v="GUANGZHOU TONGRU ELECTRONIC TECHNOLOGY CO.,LTD"/>
        <s v="Nice Garden"/>
        <s v="Dongguan Bogao Silicone Products Co.,Ltd."/>
        <s v="Ruifutong"/>
        <s v="Hubei"/>
        <s v="UNIK BEST"/>
        <s v="NEW SUCCESS"/>
        <m/>
      </sharedItems>
    </cacheField>
    <cacheField name="NOME" numFmtId="49">
      <sharedItems containsBlank="1">
        <s v="ALMOFADA PELUCIA UNICORNIO"/>
        <s v="ALMOFADA PELUCIA DINOSSAURO"/>
        <s v="HEADPHONE BLUETOOTH GIRLS - COLOR BLOCK"/>
        <s v="HEADPHONE BLUETOOTH BOYS - COLOR BLOCK"/>
        <s v="JoyRain Familia 01 - Lápis Grafite&#10;JoyRain Familia 02 - Caneta Esferográfica (LED)&#10;JoyRain Familia 03 - Borracha"/>
        <s v="PELUCIA VACA COM LED"/>
        <s v="PELUCIA TUBARAO COM LED"/>
        <s v="LANTERNA PROJETOR MULTIBICHOS VEDE AGUA"/>
        <s v=" 070400034 - Jogo da Mémória"/>
        <s v="PELUCIA TUBARAO"/>
        <s v="PELUCIA VACA"/>
        <s v="BICHINHO DE PELUCIA PANDA"/>
        <s v="BICHINHO DE PELUCIA DRAGÃO"/>
        <s v="CHAVEIRO PELUCIA TUBA"/>
        <s v="CHAVEIRO PELUCIA ARCO-IRIS"/>
        <s v="CHAVEIRO PELUCIA VACA"/>
        <s v="CHAVEIRO PELUCIA DINO"/>
        <s v="CHAVEIRO PELUCIA UNICORNIO"/>
        <s v="CHAVEIRO PELUCIA COALA"/>
        <s v="CHAVEIRO PELUCIA PANDA"/>
        <s v="CHAVEIRO PELUCIA GATA"/>
        <s v="CHAVEIRO PELUCIA DRAGÃO"/>
        <s v="CHAVEIRO PELUCIA DONUT"/>
        <s v="United Quanzhou Familia 01 - Estojo&#10;United Quanzhou Familia 03 - Lancheira sem gel"/>
        <s v="CHAVEIRO PELUCIA GATA SEREIA"/>
        <s v="FONE DE OUVIDO COLOR BLOCK MNA"/>
        <s v="FONE DE OUVIDO COLOR BLOCK MNO"/>
        <s v="FONE DE OUVIDO BLUETOOTH UNICORNIO"/>
        <s v="FONE DE OUVIDO BLUETOOTH DRAGÃO STREET"/>
        <s v="MALA PATINETE DINO SKATE"/>
        <s v="MALA PATINETE UNICORNIO SKATE"/>
        <s v="BICHO MACHINE"/>
        <s v="United Quanzhou Familia 01 - Estojos&#10;United Quanzhou Familia 02 - Lancheiras"/>
        <s v="CHAVEIRO PELÚCIA DINO"/>
        <s v="CHAVEIRO PELUCIA UNI"/>
        <s v="JOGO DE BORRACHAS MULTIBICHOS MNA"/>
        <s v="FONE DE OUVIDO UNICORNIO"/>
        <s v="FONE DE OUVIDO TUBARÃO"/>
        <s v="FONE DE OUVIDO LED COLOR BLOCK"/>
        <s v="ESTOJO PEQUENO SILICONE PANDA"/>
        <s v="ESTOJO PEQUENO SILICONE DINO"/>
        <s v="JOGO DE 8 BORRACHAS"/>
        <s v="FONE DE OUVIDO EMBORRACHADO JACA"/>
        <s v="FONE DE OUVIDO LED UNICORNIO"/>
        <s v="BICHINHO PELUCIA CAPIVARA"/>
        <s v="CHAVEIRO PELUCIA JACA"/>
        <s v="CHAVEIRO PELUCIA TIGRE"/>
        <s v="CHAVEIRO PELUCIA STITCH"/>
        <s v="CHAVEIRO EMBORRACHADO PANDA"/>
        <s v="CHAVEIRO EMBORRACHADO VACA"/>
        <s v="CHAVEIRO EMBORRACHADO UNI"/>
        <s v="CHAVEIRO EMBORRACHADO GATA"/>
        <s v="CHAVEIRO EMBORRACHADO DINO"/>
        <s v="CHAVEIRO EMBORRACHADO CAPIVARA"/>
        <s v="PELUCIA TIARA UNI"/>
        <s v="PELUCIA TIARA ONCA"/>
        <s v="PELUCIA TIARA PANDA"/>
        <s v="PELUCIA TIARA VACA"/>
        <s v="PELUCIA TIARA CAPIVARA"/>
        <s v="CHAVEIRO PELUCIA CAPIVARA"/>
        <s v="CATA VENTO HOLOGRAFICO G"/>
        <s v="CATA VENTO HOLOGRAFICO P"/>
        <s v="BOLA DE PRAIA MENINO"/>
        <s v="BOLA DE PRAIA MENINA"/>
        <m/>
      </sharedItems>
    </cacheField>
    <cacheField name="NEGÓCIO" numFmtId="0">
      <sharedItems containsBlank="1">
        <s v="AÇÃO PROMOCIONAL"/>
        <s v="ACESSÓRIOS"/>
        <s v="OUTROS"/>
        <m/>
      </sharedItems>
    </cacheField>
    <cacheField name="TIPO DE CERTIFICAÇÃO" numFmtId="0">
      <sharedItems containsBlank="1">
        <s v="INMETRO BRINQUEDOS SISTEMA 5 (FÁBRICA) - PORTARIA 302"/>
        <s v="ANATEL CATEGORIA 2 - MÓDULO BLUETOOTH"/>
        <s v="INMETRO SISTEMA 5 (FABRICA) - PORTARIA 481"/>
        <s v="INMETRO Eletrodomésticos"/>
        <s v="INMETRO ARTIGOS ESCOLARES SISTEMA 5 - PORTARIA 423"/>
        <m/>
      </sharedItems>
    </cacheField>
    <cacheField name="AMOSTRAS NECESSÁRIAS" numFmtId="0">
      <sharedItems containsBlank="1">
        <s v="9 Amostras"/>
        <s v="0 Amostras"/>
        <m/>
        <s v="18 Amostras"/>
        <s v="06 Amostras"/>
        <s v="5 Amostras"/>
        <s v="2 Amostras completas + 1 Amostra teste lab (Placa PCB com entradas de cabo de RF e Software)"/>
        <s v="1 amostra para ensaio na China"/>
        <s v="30 Amostras"/>
        <s v="3 Amostras"/>
        <s v="25 Amostras"/>
        <s v="6 amostras"/>
      </sharedItems>
    </cacheField>
    <cacheField name="STATUS" numFmtId="0">
      <sharedItems containsBlank="1">
        <s v="26/10/23 - Isabela: De acordo com os emails da Isadora, essa certificação foi encerrada.&#10;22/06 - Número de Registro concedido.&#10;13/06 - Número de Registro solicitado nesta data.&#10;08/06 - Certificado de Conformidade emitido. &#10;06/05 - Coleta confirmada, audit"/>
        <s v="30/08 - Certificado de Homologação emitido. Chegada CD: 07/10.&#10;29/08 - Status na Anatel: Em análise - RE.&#10;26/08 - Efetuado o upload dos arquivos na Anatel e solicitado retorno quanto à inclusão dos novos modelos.&#10;26/07 - Enviados documentos para Master, a"/>
        <m/>
        <s v="08/12 - Recebido o número de registro 012531/2022 e enviado a arte para a China realizar a impressão e etiquetagem.  Chegada CD 01/03 + uma parte após CNY - PKT-W2320-SZ.&#10;01/12 - Solicitado o Registro no sistema Orquestra.&#10;25/11 - Certificado de conformid"/>
        <s v="08/12 - Recebido o número de registro 012531/2022 e enviado a arte para a China realizar a impressão e etiquetagem. Chegada CD 01/03 - PKT-W2320-SZ.&#10;01/12 - Solicitado o Registro no sistema Orquestra.&#10;25/11 - Certificado de conformidade emitido.&#10;23/11 - D"/>
        <s v="07/12/23 - Encerramento solicitado no Orquestra.&#10;19/10/22 - Manutenção confirmada.&#10;-&#10;10/03 - Retrabalho da Qualidade (etiquetas) finalizado.&#10;06/01 - Registro concedido.&#10;15/12 - Solicitado o Registro no Orquestra. Guia do GRU enviada para pagamento. Previs"/>
        <s v="22/05/25 - Registro inativado.&#10;10/05/24 - Manutenção concluída.&#10;27/06 - Registro concedido."/>
        <s v="06/05 - Tarefa de invativação concluída.&#10;05/04 - Certificado encerrado no Orquestra.&#10;30/05 - Ensaios finalizados.&#10;09/05 - Audioria agendada para 26/05. Amostras recebidas no laboratório."/>
        <s v="06/05 - Tarefa de invativação concluída.&#10;05/04 - Certificado encerrado no Orquestra.&#10;01/08 - Adicionado ao registro no Orquestra"/>
        <s v="06/05 - Tarefa de invativação concluída. &#10;05/04 - Certificado encerrado no Orquestra.&#10;01/08 - Adicionado ao registro no Orquestra"/>
        <s v="18/07/24 - Certificado encerrado.&#10;10/11/23 - Item excluído do certificado/registro.&#10;25/10 - ETA CD: 10/11.&#10;19/09 - Booking confirmado, chegada CD: 03/11.&#10;08/09 - Etiquetagem finalizada na China.&#10;25/08 - Registro concedido, Número do Registro: 009074/2022."/>
        <s v="18/07/24 - Certificado encerrado.&#10;25/10 - ETA CD: 10/11.&#10;19/09 - Booking confirmado, chegada CD: 03/11.&#10;08/09 - Etiquetagem finalizada na China.&#10;25/08 - Registro concedido, Número do Registro: 009074/2022.&#10;18/08 - Recebido o certificado atualizado e solic"/>
        <s v="18/07/24 - Certificado encerrado.&#10;01/09 - Inclusão aprovada no Orquestra, processo concluído.&#10;01/08 - Adicionado ao registro no Orquestra"/>
        <s v="18/09/24 - Registro Inativado.&#10;12/01/24 - ESTOJOS W24 &amp; HW24 incluídos com sucesso.&#10;29/11/23 - Enviado memorial descritivo com inclusões para W24 e HW24.&#10;20/08 - Atualizado registro 006613/2020, com as inclusões de itens de HS24."/>
        <s v="18/07/24 - Certificado encerrado.&#10;14/11/23 - Solicitação concluída, certificação finalizada.&#10;10/11/23 - Solicitada inclusão no Orquestra.&#10;07/71/23 - Itens incluídos no certificado de conformidade sem ensaios."/>
        <s v="23/10/25 - Manutenção finalizada.&#10;23/08 - Certificado de Homologação recebido."/>
        <s v="01/10/24 - Registro inativado.&#10;18/01 - Registro concedido, 010967/2022.&#10;02/12 - Número de Registro recebido e informado para a equipe de produto/design.&#10;01/12 - Enviado o certificado revisado no Prodcert.&#10;26/09 - Certificado atualizado.&#10;20/09 - Inmetro so"/>
        <s v="01/10/24 - Registro inativado&#10;18/01 - Registro concedido, 010967/2022.&#10;02/12 - Número de Registro recebido e informado para a equipe de produto/design.&#10;01/12 - Enviado o certificado revisado no Prodcert.&#10;26/09 - Certificado atualizado.&#10;20/09 - Inmetro sol"/>
        <s v="18/11/25 - Certificação encerrado.&#10;29/10/24 - Manutenção finalizada.&#10;23/11 - Certificado de conformidade emitido, processo finalizado.&#10;08/09 - Auditoria reagendada para 11/09 devido as fortes chuvas na região."/>
        <s v="21/10/25 - Inclusão 5 finalizada.&#10;14/05/25 - Manutenção finalizada.&#10;12/05/25 - Inclusão 2 finalizada. &#10;08/11/24 - Inclusão 1 finalizada.&#10;17/07/24 - Registro concedido, processo finalizado."/>
        <s v="30/04/25 - Registro inativado.&#10;22/07/24 - Registro concedido.&#10;04/04/24 - Relatório de amostragem recebido."/>
        <s v="17/07/25 - Manutenção finalizada.&#10;14/08/24 - Registro concedido, processo finalizado."/>
        <s v="23/10/25 - Manutenção finalizada.&#10;09/07/24 - Certificado de Homologação recebido, inclusão finalizada."/>
        <s v="17/09/24 - Certificado de Homologação recebido, processo finalizado."/>
        <s v="17/07/24 - Registro inativado.&#10;19/09/24 - Registro concedido, processo finalizado."/>
        <s v="17/07/25 - Manutenção finalizada.&#10;07/05/25 - Inclusão finalizada."/>
        <s v="23/10/25 - Manutenção finalizada.&#10;17/06/25 - Certificado de Homologação recebido, inclusão finalizada."/>
        <s v="23/10/25 - Manutenção finalizada.&#10;21/05/25 - Certificado de Homologação recebido, inclusão finalizada."/>
        <s v="17/06/25 - Certificado de Homologação recebido, inclusão finalizada."/>
        <s v="25/04/25 - Inclusão concluída"/>
        <s v="27/05/25 - Inclusão finalizada no Orquestra."/>
        <s v="05/06/25 - Inclusão concedida, processo finalizado."/>
        <s v="23/09/25 - Inclusão concedida, processo finalizado."/>
        <s v="07/01/26 - Inclusão concedida, processo finalizado."/>
        <s v="17/07/25 - Inclusão finalizada no Orquestra."/>
        <s v="28/11/25 - Registro concedido no Orquestra."/>
      </sharedItems>
    </cacheField>
    <cacheField name="DATA ÚLTIMA ATUALIZAÇÃO (INICIAL, MANUTENÇÃO OU ENCERRAMENTO)" numFmtId="0">
      <sharedItems containsDate="1" containsString="0" containsBlank="1">
        <m/>
        <d v="2024-01-07T00:00:00Z"/>
        <d v="2025-05-22T00:00:00Z"/>
        <d v="2024-05-06T00:00:00Z"/>
        <d v="2024-07-18T00:00:00Z"/>
        <d v="2024-09-18T00:00:00Z"/>
        <d v="2025-10-23T00:00:00Z"/>
        <d v="2024-10-01T00:00:00Z"/>
        <d v="2025-11-18T00:00:00Z"/>
        <d v="2025-10-21T00:00:00Z"/>
        <d v="2025-04-30T00:00:00Z"/>
        <d v="2025-07-17T00:00:00Z"/>
        <d v="2024-09-17T00:00:00Z"/>
        <d v="2025-06-17T00:00:00Z"/>
        <d v="2025-04-25T00:00:00Z"/>
        <d v="2025-05-27T00:00:00Z"/>
        <d v="2025-06-05T00:00:00Z"/>
        <d v="2025-09-23T00:00:00Z"/>
        <d v="2026-01-07T00:00:00Z"/>
        <d v="2025-11-28T00:00:00Z"/>
      </sharedItems>
    </cacheField>
    <cacheField name="ROTULAGEM" numFmtId="0">
      <sharedItems containsBlank="1">
        <s v="Produto (selo Inmetro + advertências)"/>
        <s v="Produto + Manual (ANATEL)"/>
        <s v="Embalagem (INMETRO)"/>
        <s v="Embalagem + Manual (Inmetro)"/>
        <s v="Produto + Embalagem (INMETRO)"/>
        <m/>
      </sharedItems>
    </cacheField>
    <cacheField name="FABRICANTE" numFmtId="0">
      <sharedItems containsBlank="1">
        <m/>
        <s v="FAMAS SOLUÇÕES GRAFICAS"/>
        <s v="Shenzhen Xinhongsheng Toy Manufacturing CO.,Ltd"/>
        <s v="Fujian Tengmao Light Industrial Co.,Ltd Taiwanese Investment Zone Branch"/>
        <s v="Shenzhen Aita Technology Co., Ltd"/>
        <s v="GUANGZHOU TONGRU ELECTRONIC TECHNOLOGY CO.,LTD"/>
        <s v="Quanzhou Cheng Jian Bags Co., Ltd"/>
        <s v="Nice Garden Gift &amp; Toy Co., Ltd."/>
        <s v="JIANGSU L&amp;C STATIONERY CO.,LTD."/>
        <s v="Dongguan Bogao Silicone Products Co.,Ltd.                                                                                   "/>
        <s v="Hubei Story Crafts Gifts Co., Ltd."/>
        <s v="Taizhou Huangyan Weihuang Plastic Co., Ltd"/>
        <s v="NEW TIME PLASTIC MANUFACTURING LIMITED"/>
      </sharedItems>
    </cacheField>
    <cacheField name="Validade da Certificação">
      <sharedItems containsDate="1" containsBlank="1" containsMixedTypes="1">
        <d v="2023-06-08T00:00:00Z"/>
        <d v="2023-08-13T00:00:00Z"/>
        <d v="2023-09-29T00:00:00Z"/>
        <d v="2023-11-24T00:00:00Z"/>
        <d v="2023-11-26T00:00:00Z"/>
        <d v="2025-05-31T00:00:00Z"/>
        <d v="2024-06-01T00:00:00Z"/>
        <s v="n/a"/>
        <d v="2024-08-08T00:00:00Z"/>
        <d v="2027-08-11T00:00:00Z"/>
        <d v="2024-09-29T00:00:00Z"/>
        <d v="2025-11-21T00:00:00Z"/>
        <d v="2026-06-16T00:00:00Z"/>
        <d v="2025-06-04T00:00:00Z"/>
        <d v="2026-07-15T00:00:00Z"/>
        <d v="2026-08-23T00:00:00Z"/>
        <d v="2025-08-29T00:00:00Z"/>
        <d v="2026-04-21T00:00:00Z"/>
        <d v="2026-06-17T00:00:00Z"/>
        <d v="2026-09-07T00:00:00Z"/>
        <d v="2026-12-17T00:00:00Z"/>
        <d v="2026-11-12T00:00:00Z"/>
        <m/>
      </sharedItems>
    </cacheField>
    <cacheField name="Início Manutenção">
      <sharedItems containsDate="1" containsBlank="1" containsMixedTypes="1">
        <d v="2023-03-10T00:00:00Z"/>
        <d v="2023-05-15T00:00:00Z"/>
        <d v="2023-07-01T00:00:00Z"/>
        <d v="2023-08-26T00:00:00Z"/>
        <d v="2023-08-28T00:00:00Z"/>
        <d v="2025-03-02T00:00:00Z"/>
        <d v="2024-03-03T00:00:00Z"/>
        <s v="n/a"/>
        <d v="2024-05-10T00:00:00Z"/>
        <d v="2027-05-13T00:00:00Z"/>
        <d v="2024-07-01T00:00:00Z"/>
        <d v="2025-10-23T00:00:00Z"/>
        <d v="2026-03-18T00:00:00Z"/>
        <d v="2025-03-06T00:00:00Z"/>
        <d v="2026-04-16T00:00:00Z"/>
        <d v="2026-05-25T00:00:00Z"/>
        <d v="2025-05-31T00:00:00Z"/>
        <d v="2026-01-21T00:00:00Z"/>
        <d v="2026-03-19T00:00:00Z"/>
        <d v="2026-06-09T00:00:00Z"/>
        <d v="2026-09-18T00:00:00Z"/>
        <d v="2026-08-14T00:00:00Z"/>
        <n v="-90.0"/>
        <m/>
      </sharedItems>
    </cacheField>
    <cacheField name="Número Certificado" numFmtId="0">
      <sharedItems containsBlank="1">
        <s v="7796/2022-BRI-1"/>
        <s v="MT-5533/2021"/>
        <s v="IP-AESC-3488/2020-01&#10;IP-AESC-3488/2020-02&#10;IP-AESC-3488/2020-03"/>
        <s v="8338/2022-BRI-1"/>
        <s v="7296/2021-BRI-1"/>
        <s v="9304/2023-BRI-1"/>
        <s v="9410/2023-BRI-1"/>
        <s v="8039/2022-BRI-1"/>
        <s v="9459/2023-AE-1&#10;9459/2023-AE-3"/>
        <s v="MODERNA-1658/23"/>
        <s v="MODERNA-1659/23"/>
        <s v="7830/2022-BRI-1"/>
        <s v="9859/2023-ELE-1"/>
        <s v="10584/2024-AE-1&#10;10584/2024-AE-2"/>
        <s v="10648/2024-BRI-1"/>
        <s v="10861/2024-AE-1"/>
        <s v="MODERNA-3766/24"/>
        <s v="11061/2024-AE-1"/>
        <s v="10473/2024-BRI-1"/>
        <s v="10725/2024-BRI-1"/>
        <s v="12236/2025-BRI-1"/>
        <s v="12290/2025-BRI-1"/>
        <s v="12596/2025-BRI-1"/>
        <s v="13146/2025-BRI"/>
        <m/>
      </sharedItems>
    </cacheField>
    <cacheField name="Número Registro / Homologação" numFmtId="0">
      <sharedItems containsBlank="1">
        <s v="006561/2022"/>
        <s v="09550-21-11617"/>
        <s v="006914/2020&#10;006680/2020&#10;006682/2020"/>
        <s v="005580/2023"/>
        <s v="000284/2022"/>
        <s v="005821/2023"/>
        <s v="009074/2022"/>
        <s v=" 006613/2020&#10; 006615/2020"/>
        <s v="13912-23-11617"/>
        <s v="13911-23-11617"/>
        <s v="010967/2022"/>
        <s v="N/A"/>
        <s v="010208/2024&#10;010213/2024"/>
        <s v="009961/2024"/>
        <s v="012269/2024"/>
        <s v="08336-24-11617"/>
        <s v="014611/2024"/>
        <s v="006083/2024"/>
        <s v="010366/2024"/>
        <s v="010239/2025"/>
        <s v="014796/2025"/>
        <s v="013405/2025"/>
        <m/>
      </sharedItems>
    </cacheField>
    <cacheField name="Possui ISO 9001?" numFmtId="0">
      <sharedItems containsBlank="1">
        <b v="1"/>
        <b v="0"/>
        <m/>
      </sharedItems>
    </cacheField>
    <cacheField name="CHEGADA CD" numFmtId="167">
      <sharedItems containsBlank="1">
        <e v="#N/A"/>
        <m/>
      </sharedItems>
    </cacheField>
    <cacheField name="SITUAÇÃO" numFmtId="0">
      <sharedItems containsBlank="1">
        <s v="Encerrado"/>
        <s v="SKU excluído"/>
        <s v="Ativo"/>
        <s v="Em andamento"/>
        <m/>
      </sharedItems>
    </cacheField>
    <cacheField name="Descrição E-commerce" numFmtId="0">
      <sharedItems containsBlank="1">
        <s v="Certificação INMETRO: Produto certificado por BRICS OCP 0098 Nº Registro 006561/2022"/>
        <s v="Este produto está homologado pela Anatel de acordo com os procedimentos regulamentados para avaliação da conformidade de produtos para telecomunicações e atende aos requisitos técnicos aplicados, sendo referenciado pelo código de homologação Anatel: 09550"/>
        <m/>
        <s v="Certificação INMETRO: Produto certificado por BRICS OCP 0098 Nº Registro 000284/2022"/>
        <s v="Certificação INMETRO: Produto certificado por BRICS OCP 0098 Nº Registro 005821/2023"/>
        <s v="Certificação INMETRO: Produto certificado por BRICS OCP 0098 Nº Registro 005580/2023"/>
        <s v="Certificação INMETRO: Produto certificado por BRICS OCP 0098 Nº Registro 009074/2022"/>
        <s v="Este produto está homologado pela Anatel de acordo com os procedimentos regulamentados para avaliação da conformidade de produtos para telecomunicações e atende aos requisitos técnicos aplicados, sendo referenciado pelo código de homologação Anatel: 13912"/>
        <s v="Este produto está homologado pela Anatel de acordo com os procedimentos regulamentados para avaliação da conformidade de produtos para telecomunicações e atende aos requisitos técnicos aplicados, sendo referenciado pelo código de homologação Anatel: 13911"/>
        <s v="Certificação INMETRO: Produto certificado por BRICS OCP 0098 Nº Registro 010967/2022"/>
        <s v="Certificação INMETRO: Produto certificado por BRICS OCP 0098 Nº Registro 009961/2024"/>
        <s v="Certificação INMETRO: Produto certificado por BRICS OCP 0098 Nº Registro 012269/2024"/>
        <s v="Este produto está homologado pela Anatel de acordo com os procedimentos regulamentados para avaliação da conformidade de produtos para telecomunicações e atende aos requisitos técnicos aplicados, sendo referenciado pelo código de homologação Anatel: 08336"/>
        <s v="Certificação INMETRO: Produto certificado por BRICS OCP 0098 Nº Registro 014611/2024"/>
        <s v="Certificação INMETRO: Produto certificado por BRICS OCP 0098 Nº Registro 006083/2024"/>
        <s v="Certificação INMETRO: Produto certificado por BRICS OCP 0098 Nº Registro 010366/2024"/>
        <s v="Certificação INMETRO: Produto certificado por BRICS OCP 0098 Nº Registro 010239/2025"/>
        <s v="Certificação INMETRO: Produto certificado por BRICS OCP 0098 Nº Registro 014796/2025"/>
        <s v="Certificação INMETRO: Produto certificado por BRICS OCP 0098 Nº Registro 013405/2025"/>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888" sheet="Puket escolares"/>
  </cacheSource>
  <cacheFields>
    <cacheField name="SKU" numFmtId="0">
      <sharedItems containsBlank="1">
        <s v="050403838"/>
        <s v="050403847"/>
        <s v="050403818"/>
        <s v="050403794"/>
        <s v="050403803"/>
        <s v="050403790"/>
        <s v="050403845"/>
        <s v="050403796"/>
        <s v="050403788"/>
        <s v="050403831"/>
        <s v="050403897"/>
        <s v="050403846"/>
        <s v="050403802"/>
        <s v="050403813"/>
        <s v="050403830"/>
        <s v="050403784"/>
        <s v="050403779"/>
        <s v="050403772"/>
        <s v="050403771"/>
        <s v="050403778"/>
        <s v="050403811"/>
        <s v="050403827"/>
        <s v="050403839"/>
        <s v="050403800"/>
        <s v="050403833"/>
        <s v="050403806 &#10;050404398"/>
        <s v="050403814"/>
        <s v="050403809"/>
        <s v="050403785"/>
        <s v="050403770"/>
        <s v="050403780"/>
        <s v="050403776"/>
        <s v="050403768"/>
        <s v="050403782 &#10;050404399"/>
        <s v="050403844 &#10;050404396"/>
        <s v="050404032"/>
        <s v="050404027"/>
        <s v="050404024"/>
        <s v="050404026"/>
        <s v="050403832"/>
        <s v="050403989"/>
        <s v="050403955"/>
        <s v="050403951"/>
        <s v="050403933"/>
        <s v="050403971"/>
        <s v="050403985"/>
        <s v="050403945"/>
        <s v="050403990"/>
        <s v="050403991"/>
        <s v="050403944"/>
        <s v="050403950"/>
        <s v="050403954"/>
        <s v="050403936"/>
        <s v="050403949"/>
        <s v="050403986"/>
        <s v="050403941"/>
        <s v="050403982"/>
        <s v="050404011"/>
        <s v="050403932"/>
        <s v="050404117"/>
        <s v="050404231"/>
        <s v="050404307"/>
        <s v="050404150"/>
        <s v="050404114"/>
        <s v="050404144"/>
        <s v="050404094"/>
        <s v="050404110"/>
        <s v="050404272"/>
        <s v="050404306"/>
        <s v="050404118"/>
        <s v="050404241"/>
        <s v="050404147"/>
        <s v="050404185"/>
        <s v="050404143"/>
        <s v="050404095"/>
        <s v="050404301"/>
        <s v="050404273"/>
        <s v="050404124"/>
        <s v="050404149"/>
        <s v="050404145"/>
        <s v="050404135"/>
        <s v="050404263"/>
        <s v="050404119"/>
        <s v="050404242"/>
        <s v="050404246"/>
        <s v="050404148"/>
        <s v="050404130"/>
        <s v="050404186"/>
        <s v="050404142"/>
        <s v="050404096"/>
        <s v="050404137"/>
        <s v="050404262"/>
        <s v="050404274"/>
        <s v="050404121"/>
        <s v="050404153"/>
        <s v="050404140"/>
        <s v="050404099"/>
        <s v="050404296"/>
        <s v="050404232"/>
        <s v="050404168"/>
        <s v="050404133"/>
        <s v="050404405"/>
        <s v="050404403"/>
        <s v="050404327"/>
        <s v="050404407"/>
        <s v="050403611"/>
        <s v="050404408"/>
        <s v="050404406"/>
        <s v="050404423"/>
        <s v="050404349"/>
        <s v="050404386"/>
        <s v="050404382"/>
        <s v="050404332"/>
        <s v="050404387"/>
        <s v="050404345"/>
        <s v="050404377"/>
        <s v="050404334"/>
        <m/>
      </sharedItems>
    </cacheField>
    <cacheField name="NOME COMERCIAL" numFmtId="0">
      <sharedItems containsBlank="1">
        <s v="ESTOJO GRANDE DINO MIAMI"/>
        <s v="ESTOJO GRANDE TUBA ALOHA"/>
        <s v="ESTOJO GRANDE UNICÓRNIO ALOHA"/>
        <s v="ESTOJO GRANDE VACA ROMÂNTICA"/>
        <s v="ESTOJO GRANDE PET SEREIA"/>
        <s v="ESTOJO DUPLO UNICÓRNIO ALOHA"/>
        <s v="ESTOJO DUPLO TUBA ALOHA"/>
        <s v="ESTOJO DUPLO PET SEREIA"/>
        <s v="ESTOJO DUPLO PANDA MIAMI"/>
        <s v="ESTOJO DUPLO DINO MIAMI"/>
        <s v="ESTOJO PEQUENO UNICÓRNIO ALOHA"/>
        <s v="ESTOJO TRIPLO TUBA ALOHA"/>
        <s v="ESTOJO TRIPLO PET SEREIA"/>
        <s v="ESTOJO TRIPLO PANDA MIAMI"/>
        <s v="ESTOJO TRIPLO DINO MIAMI"/>
        <s v="ESTOJO GRANDE PANDA MIAMI"/>
        <s v="ESTOJO TRIPLO UNICÓRNIO ALOHA"/>
        <s v="ESTOJO TRIPLO VACA ROMÂNTICA"/>
        <s v="LANCHEIRA SEM GEL UNICÓRNIO ALOHA"/>
        <s v="LANCHEIRA SEM GEL TUBA ALOHA"/>
        <s v="LANCHEIRA SEM GEL DINO MIAMI"/>
        <s v="LANCHEIRA SEM GEL PET SEREIA"/>
        <s v="LANCHEIRA TÉRMICA PANDA MIAMI"/>
        <s v="LANCHEIRA TÉRMICA UNI ALOHA"/>
        <s v="LANCHEIRA SEM GEL PANDA MIAMI"/>
        <s v="LANCHEIRA SEM GEL VACA ROMÂNTICA"/>
        <s v="LANCHEIRA SEM GEL TUBARÃO ALOHA"/>
        <s v="ESTOJO PEQUENO TRIPLO PANDA"/>
        <s v="ESTOJO PEQUENO DUPLO LILO &amp; STITCH"/>
        <s v="ESTOJO GRANDE LILO &amp; STITCH"/>
        <s v="LANCHEIRA SEM GEL LILO &amp; STITCH"/>
        <s v="LANCHEIRA DINO"/>
        <s v="ESTOJO GRANDE DRAGÃO"/>
        <s v="ESTOJO GRANDE ONÇA FANTÁSTICA"/>
        <s v="ESTOJO GRANDE UNI FLORESTA ENCANTADA"/>
        <s v="ESTOJO GRANDE VACA CHOCOLATE"/>
        <s v="ESTOJO PEQUENO DUPLO UNI FLORESTA"/>
        <s v="ESTOJO PEQUENO TRIPLO GORILA"/>
        <s v="ESTOJO AMPLO TRIPLO ONÇA FANTÁSTICA"/>
        <s v="LANCHEIRA SEM GEL DRAGÃO"/>
        <s v="LANCHEIRA SEM GEL GORILA"/>
        <s v="LANCHEIRA SEM GEL ONÇA FANTÁSTICA"/>
        <s v="LANCHEIRA SEM GEL UNI FLORESTA ENCANTADA"/>
        <s v="LANCHEIRA SEM GEL DIF UNI FLORESTA"/>
        <s v="LANCHEIRA SEM GEL VACA CHOCOLATE"/>
        <s v="LANCHEIRA SEM GEL UNI FUN DE LEVE"/>
        <s v="LANCHEIRA SEM GEL ONÇA"/>
        <s v="LANCHEIRA SEM GEL UNI FLORESTA"/>
        <s v="LANCHEIRA TÉRMICA GORILA"/>
        <s v="ESTOJO PEQUENO VACA CHOCOLATE"/>
        <s v="ESTOJO GRANDE 3D MULTIBICHOS BFF"/>
        <s v="ESTOJO GRANDE PAETÊ GATA SEREIA"/>
        <s v="ESTOJO GRANDE GATA SEREIA"/>
        <s v="ESTOJO GRANDE JACA RELAX"/>
        <s v="ESTOJO GRANDE PANDA ROMÂNTICO"/>
        <s v="ESTOJO GRANDE TUBA FUTEVOLEI"/>
        <s v="ESTOJO GRANDE UNI TENNIS"/>
        <s v="ESTOJO GRANDE VACA DRINKS"/>
        <s v="ESTOJO GRANDE TIGRE"/>
        <s v="ESTOJO PEQUENO TRIPLO MULTIBICHOS BFF"/>
        <s v="ESTOJO TRIPLO PAETÊ GATA SEREIA"/>
        <s v="ESTOJO TRIPLO JACA RELAX"/>
        <s v="ESTOJO PEQUENO TRIPLO TIGRE"/>
        <s v="ESTOJO PEQUENO TRIPLO TUBA FUTEVOLEI"/>
        <s v="ESTOJO AMPLO TRIPLO UNI TENNIS"/>
        <s v="ESTOJO TRIPLO LILO &amp; STITCH"/>
        <s v="ESTOJO PEQUENO DUPLO MULTIBICHOS BFF"/>
        <s v="ESTOJO PEQUENO DUPLO JACA RELAX"/>
        <s v="ESTOJO PEQUENO DUPLO TUBA FUTEVOLEI"/>
        <s v="ESTOJO PEQUENO DUPLO UNI TENNIS"/>
        <s v="ESTOJO PEQUENO DUPLO CAPIVARA"/>
        <s v="LANCHEIRA SEM GEL MULTIBICHOS BFF"/>
        <s v="LANCHEIRA SEM GEL DIF GATA SEREIA"/>
        <s v="LANCHEIRA SEM GEL GATA SEREIA"/>
        <s v="LANCHEIRA SEM GEL JACA RELAX"/>
        <s v="LANCHEIRA SEM GEL PANDA ROMÂNTICO"/>
        <s v="LANCHEIRA SEM GEL TIGRE"/>
        <s v="LANCHEIRA SEM GEL TUBA FUTEVOLEI"/>
        <s v="LANCHEIRA SEM GEL UNI TENNIS"/>
        <s v="LANCHEIRA SEM GEL VACA DRINKS"/>
        <s v="LANCHEIRA SEM GEL CAPIVARA"/>
        <s v="LANCHEIRA MULTIBICHOS BFF"/>
        <s v="LANCHEIRA JACA RELAX"/>
        <s v="LANCHEIRA TUBA FUTEVOLEI"/>
        <s v="LANCHEIRA UNI TENNIS"/>
        <s v="LANCHEIRA GATA SEREIA"/>
        <s v="LANCHEIRA PANDA MIAMI"/>
        <s v="LANCHEIRA SEM GEL STITCH"/>
        <s v="LANCHEIRA SEM GEL UNI KAWAII LAVANDA"/>
        <s v="ESTOJO GRANDE LILAS UNI KAWAII"/>
        <s v="ESTOJO PEQUENO TRIPLO VACA ROMÂNTICA"/>
        <s v="ESTOJO PEQUENO DUPLO PANDA MIAMI"/>
        <s v="ESTOJO GRANDE CAPIVARA"/>
        <s v="ESTOJO PEQUENO TRIPLO UNI DIAMANTE"/>
        <s v="ESTOJO PEQUENO TRIPLO TIGRE LUCHA"/>
        <s v="ESTOJO PEQUENO DUPLO GATA SEREIA"/>
        <s v="LANCHEIRA SEM GEL UNI DIAMANTE"/>
        <s v="LANCHEIRA SEM GEL TIGRE LUCHA"/>
        <s v="LANCHEIRA TIGRE LUCHA"/>
        <m/>
      </sharedItems>
    </cacheField>
    <cacheField name="TIPO" numFmtId="0">
      <sharedItems containsBlank="1">
        <s v="ESTOJO"/>
        <s v="LANCHEIRA"/>
        <m/>
      </sharedItems>
    </cacheField>
    <cacheField name="CERTIFICADO" numFmtId="0">
      <sharedItems containsBlank="1">
        <s v="10584/2024-AE-1"/>
        <s v="10584/2024-AE-2"/>
        <m/>
      </sharedItems>
    </cacheField>
    <cacheField name="REGISTRO" numFmtId="0">
      <sharedItems containsBlank="1">
        <s v="010208/2024"/>
        <s v="010213/2024"/>
        <m/>
      </sharedItems>
    </cacheField>
    <cacheField name="INCLUSÃO" numFmtId="0">
      <sharedItems containsBlank="1">
        <s v="Inicial"/>
        <s v="Inclusão 1"/>
        <s v="Inclusão 2"/>
        <s v="Inclusão 3"/>
        <s v="Inclusão 4"/>
        <s v="Inclusão 5"/>
        <m/>
      </sharedItems>
    </cacheField>
    <cacheField name="STATUS" numFmtId="0">
      <sharedItems containsBlank="1">
        <s v="Ativo"/>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888" sheet="Puket escolares"/>
  </cacheSource>
  <cacheFields>
    <cacheField name="SKU" numFmtId="0">
      <sharedItems containsBlank="1">
        <s v="050403838"/>
        <s v="050403847"/>
        <s v="050403818"/>
        <s v="050403794"/>
        <s v="050403803"/>
        <s v="050403790"/>
        <s v="050403845"/>
        <s v="050403796"/>
        <s v="050403788"/>
        <s v="050403831"/>
        <s v="050403897"/>
        <s v="050403846"/>
        <s v="050403802"/>
        <s v="050403813"/>
        <s v="050403830"/>
        <s v="050403784"/>
        <s v="050403779"/>
        <s v="050403772"/>
        <s v="050403771"/>
        <s v="050403778"/>
        <s v="050403811"/>
        <s v="050403827"/>
        <s v="050403839"/>
        <s v="050403800"/>
        <s v="050403833"/>
        <s v="050403806 &#10;050404398"/>
        <s v="050403814"/>
        <s v="050403809"/>
        <s v="050403785"/>
        <s v="050403770"/>
        <s v="050403780"/>
        <s v="050403776"/>
        <s v="050403768"/>
        <s v="050403782 &#10;050404399"/>
        <s v="050403844 &#10;050404396"/>
        <s v="050404032"/>
        <s v="050404027"/>
        <s v="050404024"/>
        <s v="050404026"/>
        <s v="050403832"/>
        <s v="050403989"/>
        <s v="050403955"/>
        <s v="050403951"/>
        <s v="050403933"/>
        <s v="050403971"/>
        <s v="050403985"/>
        <s v="050403945"/>
        <s v="050403990"/>
        <s v="050403991"/>
        <s v="050403944"/>
        <s v="050403950"/>
        <s v="050403954"/>
        <s v="050403936"/>
        <s v="050403949"/>
        <s v="050403986"/>
        <s v="050403941"/>
        <s v="050403982"/>
        <s v="050404011"/>
        <s v="050403932"/>
        <s v="050404117"/>
        <s v="050404231"/>
        <s v="050404307"/>
        <s v="050404150"/>
        <s v="050404114"/>
        <s v="050404144"/>
        <s v="050404094"/>
        <s v="050404110"/>
        <s v="050404272"/>
        <s v="050404306"/>
        <s v="050404118"/>
        <s v="050404241"/>
        <s v="050404147"/>
        <s v="050404185"/>
        <s v="050404143"/>
        <s v="050404095"/>
        <s v="050404301"/>
        <s v="050404273"/>
        <s v="050404124"/>
        <s v="050404149"/>
        <s v="050404145"/>
        <s v="050404135"/>
        <s v="050404263"/>
        <s v="050404119"/>
        <s v="050404242"/>
        <s v="050404246"/>
        <s v="050404148"/>
        <s v="050404130"/>
        <s v="050404186"/>
        <s v="050404142"/>
        <s v="050404096"/>
        <s v="050404137"/>
        <s v="050404262"/>
        <s v="050404274"/>
        <s v="050404121"/>
        <s v="050404153"/>
        <s v="050404140"/>
        <s v="050404099"/>
        <s v="050404296"/>
        <s v="050404232"/>
        <s v="050404168"/>
        <s v="050404133"/>
        <s v="050404405"/>
        <s v="050404403"/>
        <s v="050404327"/>
        <s v="050404407"/>
        <s v="050403611"/>
        <s v="050404408"/>
        <s v="050404406"/>
        <s v="050404423"/>
        <s v="050404349"/>
        <s v="050404386"/>
        <s v="050404382"/>
        <s v="050404332"/>
        <s v="050404387"/>
        <s v="050404345"/>
        <s v="050404377"/>
        <s v="050404334"/>
        <m/>
      </sharedItems>
    </cacheField>
    <cacheField name="NOME COMERCIAL" numFmtId="0">
      <sharedItems containsBlank="1">
        <s v="ESTOJO GRANDE DINO MIAMI"/>
        <s v="ESTOJO GRANDE TUBA ALOHA"/>
        <s v="ESTOJO GRANDE UNICÓRNIO ALOHA"/>
        <s v="ESTOJO GRANDE VACA ROMÂNTICA"/>
        <s v="ESTOJO GRANDE PET SEREIA"/>
        <s v="ESTOJO DUPLO UNICÓRNIO ALOHA"/>
        <s v="ESTOJO DUPLO TUBA ALOHA"/>
        <s v="ESTOJO DUPLO PET SEREIA"/>
        <s v="ESTOJO DUPLO PANDA MIAMI"/>
        <s v="ESTOJO DUPLO DINO MIAMI"/>
        <s v="ESTOJO PEQUENO UNICÓRNIO ALOHA"/>
        <s v="ESTOJO TRIPLO TUBA ALOHA"/>
        <s v="ESTOJO TRIPLO PET SEREIA"/>
        <s v="ESTOJO TRIPLO PANDA MIAMI"/>
        <s v="ESTOJO TRIPLO DINO MIAMI"/>
        <s v="ESTOJO GRANDE PANDA MIAMI"/>
        <s v="ESTOJO TRIPLO UNICÓRNIO ALOHA"/>
        <s v="ESTOJO TRIPLO VACA ROMÂNTICA"/>
        <s v="LANCHEIRA SEM GEL UNICÓRNIO ALOHA"/>
        <s v="LANCHEIRA SEM GEL TUBA ALOHA"/>
        <s v="LANCHEIRA SEM GEL DINO MIAMI"/>
        <s v="LANCHEIRA SEM GEL PET SEREIA"/>
        <s v="LANCHEIRA TÉRMICA PANDA MIAMI"/>
        <s v="LANCHEIRA TÉRMICA UNI ALOHA"/>
        <s v="LANCHEIRA SEM GEL PANDA MIAMI"/>
        <s v="LANCHEIRA SEM GEL VACA ROMÂNTICA"/>
        <s v="LANCHEIRA SEM GEL TUBARÃO ALOHA"/>
        <s v="ESTOJO PEQUENO TRIPLO PANDA"/>
        <s v="ESTOJO PEQUENO DUPLO LILO &amp; STITCH"/>
        <s v="ESTOJO GRANDE LILO &amp; STITCH"/>
        <s v="LANCHEIRA SEM GEL LILO &amp; STITCH"/>
        <s v="LANCHEIRA DINO"/>
        <s v="ESTOJO GRANDE DRAGÃO"/>
        <s v="ESTOJO GRANDE ONÇA FANTÁSTICA"/>
        <s v="ESTOJO GRANDE UNI FLORESTA ENCANTADA"/>
        <s v="ESTOJO GRANDE VACA CHOCOLATE"/>
        <s v="ESTOJO PEQUENO DUPLO UNI FLORESTA"/>
        <s v="ESTOJO PEQUENO TRIPLO GORILA"/>
        <s v="ESTOJO AMPLO TRIPLO ONÇA FANTÁSTICA"/>
        <s v="LANCHEIRA SEM GEL DRAGÃO"/>
        <s v="LANCHEIRA SEM GEL GORILA"/>
        <s v="LANCHEIRA SEM GEL ONÇA FANTÁSTICA"/>
        <s v="LANCHEIRA SEM GEL UNI FLORESTA ENCANTADA"/>
        <s v="LANCHEIRA SEM GEL DIF UNI FLORESTA"/>
        <s v="LANCHEIRA SEM GEL VACA CHOCOLATE"/>
        <s v="LANCHEIRA SEM GEL UNI FUN DE LEVE"/>
        <s v="LANCHEIRA SEM GEL ONÇA"/>
        <s v="LANCHEIRA SEM GEL UNI FLORESTA"/>
        <s v="LANCHEIRA TÉRMICA GORILA"/>
        <s v="ESTOJO PEQUENO VACA CHOCOLATE"/>
        <s v="ESTOJO GRANDE 3D MULTIBICHOS BFF"/>
        <s v="ESTOJO GRANDE PAETÊ GATA SEREIA"/>
        <s v="ESTOJO GRANDE GATA SEREIA"/>
        <s v="ESTOJO GRANDE JACA RELAX"/>
        <s v="ESTOJO GRANDE PANDA ROMÂNTICO"/>
        <s v="ESTOJO GRANDE TUBA FUTEVOLEI"/>
        <s v="ESTOJO GRANDE UNI TENNIS"/>
        <s v="ESTOJO GRANDE VACA DRINKS"/>
        <s v="ESTOJO GRANDE TIGRE"/>
        <s v="ESTOJO PEQUENO TRIPLO MULTIBICHOS BFF"/>
        <s v="ESTOJO TRIPLO PAETÊ GATA SEREIA"/>
        <s v="ESTOJO TRIPLO JACA RELAX"/>
        <s v="ESTOJO PEQUENO TRIPLO TIGRE"/>
        <s v="ESTOJO PEQUENO TRIPLO TUBA FUTEVOLEI"/>
        <s v="ESTOJO AMPLO TRIPLO UNI TENNIS"/>
        <s v="ESTOJO TRIPLO LILO &amp; STITCH"/>
        <s v="ESTOJO PEQUENO DUPLO MULTIBICHOS BFF"/>
        <s v="ESTOJO PEQUENO DUPLO JACA RELAX"/>
        <s v="ESTOJO PEQUENO DUPLO TUBA FUTEVOLEI"/>
        <s v="ESTOJO PEQUENO DUPLO UNI TENNIS"/>
        <s v="ESTOJO PEQUENO DUPLO CAPIVARA"/>
        <s v="LANCHEIRA SEM GEL MULTIBICHOS BFF"/>
        <s v="LANCHEIRA SEM GEL DIF GATA SEREIA"/>
        <s v="LANCHEIRA SEM GEL GATA SEREIA"/>
        <s v="LANCHEIRA SEM GEL JACA RELAX"/>
        <s v="LANCHEIRA SEM GEL PANDA ROMÂNTICO"/>
        <s v="LANCHEIRA SEM GEL TIGRE"/>
        <s v="LANCHEIRA SEM GEL TUBA FUTEVOLEI"/>
        <s v="LANCHEIRA SEM GEL UNI TENNIS"/>
        <s v="LANCHEIRA SEM GEL VACA DRINKS"/>
        <s v="LANCHEIRA SEM GEL CAPIVARA"/>
        <s v="LANCHEIRA MULTIBICHOS BFF"/>
        <s v="LANCHEIRA JACA RELAX"/>
        <s v="LANCHEIRA TUBA FUTEVOLEI"/>
        <s v="LANCHEIRA UNI TENNIS"/>
        <s v="LANCHEIRA GATA SEREIA"/>
        <s v="LANCHEIRA PANDA MIAMI"/>
        <s v="LANCHEIRA SEM GEL STITCH"/>
        <s v="LANCHEIRA SEM GEL UNI KAWAII LAVANDA"/>
        <s v="ESTOJO GRANDE LILAS UNI KAWAII"/>
        <s v="ESTOJO PEQUENO TRIPLO VACA ROMÂNTICA"/>
        <s v="ESTOJO PEQUENO DUPLO PANDA MIAMI"/>
        <s v="ESTOJO GRANDE CAPIVARA"/>
        <s v="ESTOJO PEQUENO TRIPLO UNI DIAMANTE"/>
        <s v="ESTOJO PEQUENO TRIPLO TIGRE LUCHA"/>
        <s v="ESTOJO PEQUENO DUPLO GATA SEREIA"/>
        <s v="LANCHEIRA SEM GEL UNI DIAMANTE"/>
        <s v="LANCHEIRA SEM GEL TIGRE LUCHA"/>
        <s v="LANCHEIRA TIGRE LUCHA"/>
        <m/>
      </sharedItems>
    </cacheField>
    <cacheField name="TIPO" numFmtId="0">
      <sharedItems containsBlank="1">
        <s v="ESTOJO"/>
        <s v="LANCHEIRA"/>
        <m/>
      </sharedItems>
    </cacheField>
    <cacheField name="CERTIFICADO" numFmtId="0">
      <sharedItems containsBlank="1">
        <s v="10584/2024-AE-1"/>
        <s v="10584/2024-AE-2"/>
        <m/>
      </sharedItems>
    </cacheField>
    <cacheField name="REGISTRO" numFmtId="0">
      <sharedItems containsBlank="1">
        <s v="010208/2024"/>
        <s v="010213/2024"/>
        <m/>
      </sharedItems>
    </cacheField>
    <cacheField name="INCLUSÃO" numFmtId="0">
      <sharedItems containsBlank="1">
        <s v="Inicial"/>
        <s v="Inclusão 1"/>
        <s v="Inclusão 2"/>
        <s v="Inclusão 3"/>
        <s v="Inclusão 4"/>
        <s v="Inclusão 5"/>
        <m/>
      </sharedItems>
    </cacheField>
    <cacheField name="STATUS" numFmtId="0">
      <sharedItems containsBlank="1">
        <s v="Ativo"/>
        <m/>
      </sharedItems>
    </cacheField>
    <cacheField name="Descrição E-commerce" numFmtId="0">
      <sharedItems containsBlank="1">
        <s v="Certificação INMETRO: Produto certificado por BRICS OCP 0098 Nº Registro 010208/2024"/>
        <s v="Certificação INMETRO: Produto certificado por BRICS OCP 0098 Nº Registro 010213/2024"/>
        <m/>
      </sharedItems>
    </cacheField>
    <cacheField name="Coleção" numFmtId="0">
      <sharedItems containsBlank="1">
        <s v="2025 - SUMMER"/>
        <s v="2025 - HIGH SUMMER"/>
        <s v="2025 - WINTER"/>
        <s v="2025 - HIGH WINTER"/>
        <s v="2026 - HIGH SUMMER"/>
        <s v="2026 - SUMMER"/>
        <s v="2026 - HIGH WINTER"/>
        <s v="2026 - WINTER"/>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KPI" cacheId="0" dataCaption="" compact="0" compactData="0">
  <location ref="A9:B26" firstHeaderRow="0" firstDataRow="1" firstDataCol="0" rowPageCount="1" colPageCount="1"/>
  <pivotFields>
    <pivotField name="MARCA" compact="0" outline="0" multipleItemSelectionAllowed="1" showAll="0">
      <items>
        <item x="0"/>
        <item x="1"/>
        <item t="default"/>
      </items>
    </pivotField>
    <pivotField name="IMAGEM" compact="0" outline="0" multipleItemSelectionAllowed="1" showAll="0">
      <items>
        <item x="0"/>
        <item x="1"/>
        <item x="2"/>
        <item t="default"/>
      </items>
    </pivotField>
    <pivotField name="CÓDIG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COLE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Fornece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NEGÓCIO" compact="0" outline="0" multipleItemSelectionAllowed="1" showAll="0">
      <items>
        <item x="0"/>
        <item x="1"/>
        <item x="2"/>
        <item x="3"/>
        <item x="4"/>
        <item x="5"/>
        <item x="6"/>
        <item x="7"/>
        <item t="default"/>
      </items>
    </pivotField>
    <pivotField name="TIPO DE CERTIFICAÇÃO" axis="axisRow" dataField="1" compact="0" outline="0" multipleItemSelectionAllowed="1" showAll="0" sortType="ascending">
      <items>
        <item x="16"/>
        <item x="12"/>
        <item x="5"/>
        <item x="0"/>
        <item x="8"/>
        <item x="15"/>
        <item x="9"/>
        <item x="14"/>
        <item x="13"/>
        <item x="7"/>
        <item x="10"/>
        <item x="3"/>
        <item x="4"/>
        <item x="6"/>
        <item x="1"/>
        <item x="2"/>
        <item x="11"/>
        <item t="default"/>
      </items>
    </pivotField>
    <pivotField name="AMOSTRAS NECESSÁR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TAT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DATA ÚLTIMA ATUALIZAÇÃO (INICIAL, MANUTENÇÃO OU ENCERR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ROTULAGEM" compact="0" outline="0" multipleItemSelectionAllowed="1" showAll="0">
      <items>
        <item x="0"/>
        <item x="1"/>
        <item x="2"/>
        <item x="3"/>
        <item x="4"/>
        <item x="5"/>
        <item x="6"/>
        <item x="7"/>
        <item x="8"/>
        <item x="9"/>
        <item x="10"/>
        <item x="11"/>
        <item x="12"/>
        <item t="default"/>
      </items>
    </pivotField>
    <pivotField name="FABRICAN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Validade da Certific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Início Manuten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Número Cer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Número Registro / Homolog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OCP / OCD" compact="0" outline="0" multipleItemSelectionAllowed="1" showAll="0">
      <items>
        <item x="0"/>
        <item x="1"/>
        <item x="2"/>
        <item x="3"/>
        <item t="default"/>
      </items>
    </pivotField>
    <pivotField name="Possui ISO 9001?" compact="0" outline="0" multipleItemSelectionAllowed="1" showAll="0">
      <items>
        <item x="0"/>
        <item x="1"/>
        <item x="2"/>
        <item t="default"/>
      </items>
    </pivotField>
    <pivotField name="CHEGADA C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ITUAÇÃO" axis="axisPage" compact="0" outline="0" multipleItemSelectionAllowed="1" showAll="0">
      <items>
        <item x="0"/>
        <item x="1"/>
        <item x="2"/>
        <item h="1" x="3"/>
        <item t="default"/>
      </items>
    </pivotField>
    <pivotField name="Descrição E-comme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field x="7"/>
  </rowFields>
  <pageFields>
    <pageField fld="20"/>
  </pageFields>
  <dataFields>
    <dataField name="COUNTA of TIPO DE CERTIFICAÇÃO" fld="7" subtotal="count" baseField="0"/>
  </dataFields>
</pivotTableDefinition>
</file>

<file path=xl/pivotTables/pivotTable2.xml><?xml version="1.0" encoding="utf-8"?>
<pivotTableDefinition xmlns="http://schemas.openxmlformats.org/spreadsheetml/2006/main" name="KPI 2" cacheId="0" dataCaption="" compact="0" compactData="0">
  <location ref="D13:I25" firstHeaderRow="0" firstDataRow="1" firstDataCol="1"/>
  <pivotFields>
    <pivotField name="MARCA" compact="0" outline="0" multipleItemSelectionAllowed="1" showAll="0">
      <items>
        <item x="0"/>
        <item x="1"/>
        <item t="default"/>
      </items>
    </pivotField>
    <pivotField name="IMAGEM" compact="0" outline="0" multipleItemSelectionAllowed="1" showAll="0">
      <items>
        <item x="0"/>
        <item x="1"/>
        <item x="2"/>
        <item t="default"/>
      </items>
    </pivotField>
    <pivotField name="CÓDIG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COLEÇÃO" axis="axisRow" compact="0" outline="0" multipleItemSelectionAllowed="1" showAll="0" sortType="ascending">
      <items>
        <item h="1" x="47"/>
        <item h="1" x="33"/>
        <item h="1" x="1"/>
        <item h="1" x="0"/>
        <item h="1" x="2"/>
        <item h="1" x="3"/>
        <item h="1" x="4"/>
        <item h="1" x="7"/>
        <item h="1" x="6"/>
        <item h="1" x="27"/>
        <item h="1" x="14"/>
        <item h="1" x="10"/>
        <item h="1" x="8"/>
        <item h="1" x="11"/>
        <item h="1" x="13"/>
        <item h="1" x="15"/>
        <item h="1" x="16"/>
        <item h="1" x="5"/>
        <item h="1" x="17"/>
        <item h="1" x="19"/>
        <item h="1" x="18"/>
        <item h="1" x="12"/>
        <item h="1" x="21"/>
        <item h="1" x="23"/>
        <item h="1" x="22"/>
        <item h="1" x="24"/>
        <item h="1" x="25"/>
        <item h="1" x="26"/>
        <item h="1" x="9"/>
        <item h="1" x="28"/>
        <item h="1" x="20"/>
        <item h="1" x="29"/>
        <item h="1" x="30"/>
        <item h="1" x="31"/>
        <item h="1" x="32"/>
        <item h="1" x="34"/>
        <item h="1" x="35"/>
        <item h="1" x="36"/>
        <item x="37"/>
        <item x="38"/>
        <item x="41"/>
        <item x="39"/>
        <item x="40"/>
        <item x="42"/>
        <item x="43"/>
        <item x="44"/>
        <item x="45"/>
        <item x="46"/>
        <item t="default"/>
      </items>
    </pivotField>
    <pivotField name="Fornece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NEGÓCIO" compact="0" outline="0" multipleItemSelectionAllowed="1" showAll="0">
      <items>
        <item x="0"/>
        <item x="1"/>
        <item x="2"/>
        <item x="3"/>
        <item x="4"/>
        <item x="5"/>
        <item x="6"/>
        <item x="7"/>
        <item t="default"/>
      </items>
    </pivotField>
    <pivotField name="TIPO DE CERTIFICAÇÃO" axis="axisCol" dataField="1" compact="0" outline="0" multipleItemSelectionAllowed="1" showAll="0" sortType="ascending">
      <items>
        <item x="16"/>
        <item x="12"/>
        <item x="5"/>
        <item x="0"/>
        <item x="8"/>
        <item x="15"/>
        <item x="9"/>
        <item x="14"/>
        <item x="13"/>
        <item x="7"/>
        <item x="10"/>
        <item x="3"/>
        <item x="4"/>
        <item x="6"/>
        <item x="1"/>
        <item x="2"/>
        <item x="11"/>
        <item t="default"/>
      </items>
    </pivotField>
    <pivotField name="AMOSTRAS NECESSÁR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TAT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DATA ÚLTIMA ATUALIZAÇÃO (INICIAL, MANUTENÇÃO OU ENCERR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ROTULAGEM" compact="0" outline="0" multipleItemSelectionAllowed="1" showAll="0">
      <items>
        <item x="0"/>
        <item x="1"/>
        <item x="2"/>
        <item x="3"/>
        <item x="4"/>
        <item x="5"/>
        <item x="6"/>
        <item x="7"/>
        <item x="8"/>
        <item x="9"/>
        <item x="10"/>
        <item x="11"/>
        <item x="12"/>
        <item t="default"/>
      </items>
    </pivotField>
    <pivotField name="FABRICANT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Validade da Certific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Início Manuten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Número Cer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Número Registro / Homolog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OCP / OCD" compact="0" outline="0" multipleItemSelectionAllowed="1" showAll="0">
      <items>
        <item x="0"/>
        <item x="1"/>
        <item x="2"/>
        <item x="3"/>
        <item t="default"/>
      </items>
    </pivotField>
    <pivotField name="Possui ISO 9001?" compact="0" outline="0" multipleItemSelectionAllowed="1" showAll="0">
      <items>
        <item x="0"/>
        <item x="1"/>
        <item x="2"/>
        <item t="default"/>
      </items>
    </pivotField>
    <pivotField name="CHEGADA C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ITUAÇÃO" compact="0" outline="0" multipleItemSelectionAllowed="1" showAll="0">
      <items>
        <item x="0"/>
        <item x="1"/>
        <item x="2"/>
        <item x="3"/>
        <item t="default"/>
      </items>
    </pivotField>
    <pivotField name="Descrição E-comme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field x="3"/>
  </rowFields>
  <colFields>
    <field x="7"/>
  </colFields>
  <dataFields>
    <dataField name="COUNTA of TIPO DE CERTIFICAÇÃO" fld="7" subtotal="count" baseField="0"/>
  </dataFields>
</pivotTableDefinition>
</file>

<file path=xl/pivotTables/pivotTable3.xml><?xml version="1.0" encoding="utf-8"?>
<pivotTableDefinition xmlns="http://schemas.openxmlformats.org/spreadsheetml/2006/main" name="KPI 3" cacheId="1" dataCaption="" compact="0" compactData="0">
  <location ref="K13:O20" firstHeaderRow="0" firstDataRow="1" firstDataCol="1"/>
  <pivotFields>
    <pivotField name="MARCA" compact="0" outline="0" multipleItemSelectionAllowed="1" showAll="0">
      <items>
        <item x="0"/>
        <item x="1"/>
        <item t="default"/>
      </items>
    </pivotField>
    <pivotField name="IMAGEM" compact="0" outline="0" multipleItemSelectionAllowed="1" showAll="0">
      <items>
        <item x="0"/>
        <item x="1"/>
        <item t="default"/>
      </items>
    </pivotField>
    <pivotField name="CÓDIG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COLEÇÃO" axis="axisRow" compact="0" outline="0" multipleItemSelectionAllowed="1" showAll="0" sortType="ascending">
      <items>
        <item h="1" x="1"/>
        <item h="1" x="3"/>
        <item h="1" x="0"/>
        <item h="1" x="2"/>
        <item h="1" x="4"/>
        <item x="6"/>
        <item x="5"/>
        <item x="7"/>
        <item x="8"/>
        <item x="9"/>
        <item h="1" x="10"/>
        <item t="default"/>
      </items>
    </pivotField>
    <pivotField name="Fornecedor" compact="0" outline="0" multipleItemSelectionAllowed="1" showAll="0">
      <items>
        <item x="0"/>
        <item x="1"/>
        <item x="2"/>
        <item x="3"/>
        <item x="4"/>
        <item x="5"/>
        <item x="6"/>
        <item x="7"/>
        <item x="8"/>
        <item x="9"/>
        <item x="10"/>
        <item x="11"/>
        <item x="12"/>
        <item x="13"/>
        <item t="default"/>
      </items>
    </pivotField>
    <pivotField name="NO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NEGÓCIO" compact="0" outline="0" multipleItemSelectionAllowed="1" showAll="0">
      <items>
        <item x="0"/>
        <item x="1"/>
        <item x="2"/>
        <item x="3"/>
        <item t="default"/>
      </items>
    </pivotField>
    <pivotField name="TIPO DE CERTIFICAÇÃO" axis="axisCol" dataField="1" compact="0" outline="0" multipleItemSelectionAllowed="1" showAll="0" sortType="ascending">
      <items>
        <item x="5"/>
        <item x="1"/>
        <item x="4"/>
        <item x="0"/>
        <item x="3"/>
        <item x="2"/>
        <item t="default"/>
      </items>
    </pivotField>
    <pivotField name="AMOSTRAS NECESSÁRIAS" compact="0" outline="0" multipleItemSelectionAllowed="1" showAll="0">
      <items>
        <item x="0"/>
        <item x="1"/>
        <item x="2"/>
        <item x="3"/>
        <item x="4"/>
        <item x="5"/>
        <item x="6"/>
        <item x="7"/>
        <item x="8"/>
        <item x="9"/>
        <item x="10"/>
        <item x="11"/>
        <item t="default"/>
      </items>
    </pivotField>
    <pivotField name="STAT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ATA ÚLTIMA ATUALIZAÇÃO (INICIAL, MANUTENÇÃO OU ENCERRAMEN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OTULAGEM" compact="0" outline="0" multipleItemSelectionAllowed="1" showAll="0">
      <items>
        <item x="0"/>
        <item x="1"/>
        <item x="2"/>
        <item x="3"/>
        <item x="4"/>
        <item x="5"/>
        <item t="default"/>
      </items>
    </pivotField>
    <pivotField name="FABRICANTE" compact="0" outline="0" multipleItemSelectionAllowed="1" showAll="0">
      <items>
        <item x="0"/>
        <item x="1"/>
        <item x="2"/>
        <item x="3"/>
        <item x="4"/>
        <item x="5"/>
        <item x="6"/>
        <item x="7"/>
        <item x="8"/>
        <item x="9"/>
        <item x="10"/>
        <item x="11"/>
        <item x="12"/>
        <item t="default"/>
      </items>
    </pivotField>
    <pivotField name="Validade da Certificaçã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nício Manuten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úmero Cer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Número Registro / Homologaçã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ossui ISO 9001?" compact="0" outline="0" multipleItemSelectionAllowed="1" showAll="0">
      <items>
        <item x="0"/>
        <item x="1"/>
        <item x="2"/>
        <item t="default"/>
      </items>
    </pivotField>
    <pivotField name="CHEGADA CD" compact="0" numFmtId="167" outline="0" multipleItemSelectionAllowed="1" showAll="0">
      <items>
        <item x="0"/>
        <item x="1"/>
        <item t="default"/>
      </items>
    </pivotField>
    <pivotField name="SITUAÇÃO" compact="0" outline="0" multipleItemSelectionAllowed="1" showAll="0">
      <items>
        <item x="0"/>
        <item x="1"/>
        <item x="2"/>
        <item x="3"/>
        <item x="4"/>
        <item t="default"/>
      </items>
    </pivotField>
    <pivotField name="Descrição E-commerce"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3"/>
  </rowFields>
  <colFields>
    <field x="7"/>
  </colFields>
  <dataFields>
    <dataField name="COUNTA of TIPO DE CERTIFICAÇÃO" fld="7" subtotal="count" baseField="0"/>
  </dataFields>
</pivotTableDefinition>
</file>

<file path=xl/pivotTables/pivotTable4.xml><?xml version="1.0" encoding="utf-8"?>
<pivotTableDefinition xmlns="http://schemas.openxmlformats.org/spreadsheetml/2006/main" name="KPI 4" cacheId="3" dataCaption="" compact="0" compactData="0">
  <location ref="K23:L28" firstHeaderRow="0" firstDataRow="1" firstDataCol="0"/>
  <pivotFields>
    <pivotField name="SKU"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NOME COMER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IPO" compact="0" outline="0" multipleItemSelectionAllowed="1" showAll="0">
      <items>
        <item x="0"/>
        <item x="1"/>
        <item x="2"/>
        <item t="default"/>
      </items>
    </pivotField>
    <pivotField name="CERTIFICADO" compact="0" outline="0" multipleItemSelectionAllowed="1" showAll="0">
      <items>
        <item x="0"/>
        <item x="1"/>
        <item x="2"/>
        <item t="default"/>
      </items>
    </pivotField>
    <pivotField name="REGISTRO" compact="0" outline="0" multipleItemSelectionAllowed="1" showAll="0">
      <items>
        <item x="0"/>
        <item x="1"/>
        <item x="2"/>
        <item t="default"/>
      </items>
    </pivotField>
    <pivotField name="INCLUSÃO" compact="0" outline="0" multipleItemSelectionAllowed="1" showAll="0">
      <items>
        <item x="0"/>
        <item x="1"/>
        <item x="2"/>
        <item x="3"/>
        <item x="4"/>
        <item x="5"/>
        <item x="6"/>
        <item t="default"/>
      </items>
    </pivotField>
    <pivotField name="STATUS" compact="0" outline="0" multipleItemSelectionAllowed="1" showAll="0">
      <items>
        <item x="0"/>
        <item x="1"/>
        <item t="default"/>
      </items>
    </pivotField>
    <pivotField name="Descrição E-commerce" compact="0" outline="0" multipleItemSelectionAllowed="1" showAll="0">
      <items>
        <item x="0"/>
        <item x="1"/>
        <item x="2"/>
        <item t="default"/>
      </items>
    </pivotField>
    <pivotField name="Coleção" axis="axisRow" compact="0" outline="0" multipleItemSelectionAllowed="1" showAll="0" sortType="ascending">
      <items>
        <item h="1" x="8"/>
        <item h="1" x="1"/>
        <item h="1" x="3"/>
        <item h="1" x="0"/>
        <item h="1" x="2"/>
        <item x="4"/>
        <item x="6"/>
        <item x="5"/>
        <item x="7"/>
        <item t="default"/>
      </items>
    </pivotField>
  </pivotFields>
  <rowFields>
    <field x="8"/>
  </rowFields>
  <dataFields>
    <dataField name="COUNTA of SKU"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1-05-04T16:36:07.00" personId="{41858fe7-5bb6-4e6e-8d0d-723b1475daae}" id="{96d5ca81-6bb9-4f28-9eca-9a34fd12a5e7}" done="0">
    <x18tc:text xml:space="preserve">Canetas com LED</x18tc:text>
  </x18tc:threadedComment>
  <x18tc:threadedComment ref="A1" dT="2019-12-09T13:09:40.00" personId="{bd8a26bf-458f-4e3d-ba22-2e86e6384d40}" id="{04e46c95-c62d-4af2-9d09-d6b6657831a6}" done="0">
    <x18tc:text xml:space="preserve">Documentação Recebida, aguardando aprovação da equipe para início do processo de certificação</x18tc:text>
  </x18tc:threadedComment>
  <x18tc:threadedComment ref="A1" dT="2021-07-15T11:59:50.00" personId="{41858fe7-5bb6-4e6e-8d0d-723b1475daae}" id="{800717dc-9c47-4db0-a75c-11b22cdd2510}" done="0">
    <x18tc:text xml:space="preserve">Late FAT 09</x18tc:text>
  </x18tc:threadedComment>
  <x18tc:threadedComment ref="A1" dT="2020-10-13T18:13:17.00" personId="{bd8a26bf-458f-4e3d-ba22-2e86e6384d40}" id="{0bd27158-3e90-49a9-a390-3e59d91f1ef1}" done="0">
    <x18tc:text xml:space="preserve">Verificar se dá para reutilizar o módulo da 3rd eye</x18tc:text>
  </x18tc:threadedComment>
  <x18tc:threadedComment ref="D133" dT="2022-12-02T03:51:49.00" personId="{41858fe7-5bb6-4e6e-8d0d-723b1475daae}" id="{16cad10d-da9a-4680-917d-bc7cfff68ba7}" done="1">
    <x18tc:text xml:space="preserve">Possível alteração para FAT 10 - 2023</x18tc:text>
  </x18tc:threadedComment>
  <x18tc:threadedComment ref="D135" dT="2022-12-02T03:51:54.00" personId="{41858fe7-5bb6-4e6e-8d0d-723b1475daae}" id="{348e4c07-afd7-483d-8e3c-103c171b606c}" done="1">
    <x18tc:text xml:space="preserve">Possível alteração para FAT 10 - 2023</x18tc:text>
  </x18tc:threadedComment>
  <x18tc:threadedComment ref="D130" dT="2022-12-02T03:51:52.00" personId="{41858fe7-5bb6-4e6e-8d0d-723b1475daae}" id="{884643db-fc1f-49c8-9ba2-cc98cb750961}" done="1">
    <x18tc:text xml:space="preserve">Possível alteração para FAT 10 - 2023</x18tc:text>
  </x18tc:threadedComment>
  <x18tc:threadedComment ref="A1" dT="2020-11-26T12:21:30.00" personId="{1422f3a2-dde3-4fd9-a29a-379da87b882c}" id="{a724aa22-de38-4aa7-a8d7-a55d3c982eaa}" done="0">
    <x18tc:text xml:space="preserve">está sendo contemplado que será pago no orçamento de 2020!</x18tc:text>
  </x18tc:threadedComment>
  <x18tc:threadedComment ref="F48" dT="2020-11-24T17:10:59.00" personId="{bd8a26bf-458f-4e3d-ba22-2e86e6384d40}" id="{0075d7f4-28e5-47fd-b9ce-9eb2dce00cfa}" done="1">
    <x18tc:text xml:space="preserve">Double check com o time na china e avaliar se teve troca da PCB / Módulo Bluetooth</x18tc:text>
  </x18tc:threadedComment>
  <x18tc:threadedComment ref="A1" dT="2020-11-23T13:01:34.00" personId="{1422f3a2-dde3-4fd9-a29a-379da87b882c}" id="{98784a50-0ef9-4f1e-a3ea-7d4407d045cc}" done="1">
    <x18tc:text xml:space="preserve">lote</x18tc:text>
  </x18tc:threadedComment>
  <x18tc:threadedComment ref="F55" dT="2020-11-24T16:38:27.00" personId="{1422f3a2-dde3-4fd9-a29a-379da87b882c}" id="{e10dc20c-c1cc-49d3-ab82-737299fc54ca}" done="1">
    <x18tc:text xml:space="preserve">confirmado pela china que é um módulo BT novo!</x18tc:text>
  </x18tc:threadedComment>
  <x18tc:threadedComment ref="A1" dT="2020-11-26T12:21:38.00" personId="{1422f3a2-dde3-4fd9-a29a-379da87b882c}" id="{db093102-42d8-4107-892f-4b3b26e84aca}" done="0">
    <x18tc:text xml:space="preserve">está sendo contemplado que será pago no orçamento de 2020!</x18tc:text>
  </x18tc:threadedComment>
  <x18tc:threadedComment ref="A1" dT="2020-11-26T12:21:44.00" personId="{1422f3a2-dde3-4fd9-a29a-379da87b882c}" id="{9227f530-13cb-4697-b618-6e61f058981a}" done="0">
    <x18tc:text xml:space="preserve">está sendo contemplado que será pago no orçamento de 2020!</x18tc:text>
  </x18tc:threadedComment>
  <x18tc:threadedComment ref="A1" dT="2019-11-29T15:11:30.00" personId="{73d2ed88-7d13-4a50-8812-2eb2e5223f46}" id="{4268cc5a-74af-43f6-94dc-be005683a9aa}" done="0">
    <x18tc:text xml:space="preserve">Poderemos certificar o fornecedor. 20 a 30 dias para certificação.</x18tc:text>
  </x18tc:threadedComment>
  <x18tc:threadedComment ref="A1" dT="2019-12-02T14:29:13.00" personId="{c1012cf8-d5d4-410f-8eae-bb2689cbf168}" id="{21161480-15bb-4430-9d72-bc702e80dede}" done="1">
    <x18tc:text xml:space="preserve">02/12 solicitada amostra no WEP</x18tc:text>
  </x18tc:threadedComment>
  <x18tc:threadedComment ref="F23" dT="2020-05-13T20:10:04.00" personId="{bd8a26bf-458f-4e3d-ba22-2e86e6384d40}" id="{2bcc80f9-78e6-4d2b-93d2-4d7688f000ba}" done="1">
    <x18tc:text xml:space="preserve">Passar no ERP o pedido para incluir a etiqueta do produto</x18tc:text>
  </x18tc:threadedComment>
  <x18tc:threadedComment ref="Q47" dT="2021-05-20T13:20:31.00" personId="{41858fe7-5bb6-4e6e-8d0d-723b1475daae}" id="{5bb5ae07-efd1-45a7-8404-1b795951329f}" done="1">
    <x18tc:text xml:space="preserve">Código incorreto - Vincent enviou nova Rep. Letter em 12/05, código correto sairá no dia 21/05.</x18tc:text>
  </x18tc:threadedComment>
  <x18tc:threadedComment ref="A1" dT="2020-11-26T12:21:34.00" personId="{1422f3a2-dde3-4fd9-a29a-379da87b882c}" id="{36ed1c70-1628-4357-ade4-e1a89f219f3c}" done="0">
    <x18tc:text xml:space="preserve">está sendo contemplado que será pago no orçamento de 2020!</x18tc:text>
  </x18tc:threadedComment>
  <x18tc:threadedComment ref="A1" dT="2019-11-29T15:09:42.00" personId="{73d2ed88-7d13-4a50-8812-2eb2e5223f46}" id="{98a0534c-1efa-4647-9c6b-0827b05a1281}" done="0">
    <x18tc:text xml:space="preserve">aguardando informações do produto.</x18tc:text>
  </x18tc:threadedComment>
  <x18tc:threadedComment ref="A1" dT="2020-02-04T17:56:16.00" personId="{69f66124-b151-4186-ba98-d80fb3eb4b95}" id="{4c702283-9bcd-426c-b6ea-1a1f9b6f096f}" done="0">
    <x18tc:text xml:space="preserve">talvez cancele: pouca quantidade, muito caro certificar.</x18tc:text>
  </x18tc:threadedComment>
  <x18tc:threadedComment ref="I20" dT="2019-12-02T14:29:43.00" personId="{c1012cf8-d5d4-410f-8eae-bb2689cbf168}" id="{4fe9485b-3fbb-4d7f-8004-65eaea514bbc}" done="0">
    <x18tc:text xml:space="preserve">02/12 solicitada amostra ERP</x18tc:text>
  </x18tc:threadedComment>
  <x18tc:threadedComment ref="I40" dT="2019-12-02T14:49:08.00" personId="{c1012cf8-d5d4-410f-8eae-bb2689cbf168}" id="{1f8a7c35-16ec-4f6d-bf0b-5b614e35b657}" done="1">
    <x18tc:text xml:space="preserve">02/12 solicitada amostra ERP</x18tc:text>
  </x18tc:threadedComment>
  <x18tc:threadedComment ref="F17" dT="2019-11-29T15:04:46.00" personId="{73d2ed88-7d13-4a50-8812-2eb2e5223f46}" id="{3249e838-9669-4918-9da3-13e3470b252a}" done="1">
    <x18tc:text xml:space="preserve">Certificação de brinquedo. Talvez tentarmos lote etiquetado na China. 
Certificar o lote. Checar prazo do produto no chegadas.</x18tc:text>
  </x18tc:threadedComment>
  <x18tc:threadedComment ref="A1" dT="2020-09-30T20:01:38.00" personId="{bd8a26bf-458f-4e3d-ba22-2e86e6384d40}" id="{f4c0c343-6e0e-4616-aef0-57817527342e}" done="0">
    <x18tc:text xml:space="preserve">Arte sóbria, verificar se podemos evitar a certificação fernanda da VISTO</x18tc:text>
  </x18tc:threadedComment>
  <x18tc:threadedComment ref="F6" dT="2019-11-29T14:49:13.00" personId="{73d2ed88-7d13-4a50-8812-2eb2e5223f46}" id="{600209a3-d1d9-4a33-8214-ec0af25bdee1}" done="1">
    <x18tc:text xml:space="preserve">Checar com China se nosso módulo bluetooth já está certificado. Precisamos enviar selo</x18tc:text>
  </x18tc:threadedComment>
  <x18tc:threadedComment ref="A1" dT="2021-08-02T17:59:07.00" personId="{41858fe7-5bb6-4e6e-8d0d-723b1475daae}" id="{877352ac-6678-49a6-a055-6e0e6d16bcdd}" done="0">
    <x18tc:text xml:space="preserve">Late FAT 01 - Serena</x18tc:text>
  </x18tc:threadedComment>
  <x18tc:threadedComment ref="A1" dT="2019-12-09T13:09:15.00" personId="{bd8a26bf-458f-4e3d-ba22-2e86e6384d40}" id="{a89049ae-98d5-4d9e-a15b-ed95bcf2b925}" done="0">
    <x18tc:text xml:space="preserve">Documentação Recebida, aguardando aprovação da equipe para início do processo de certificação</x18tc:text>
  </x18tc:threadedComment>
  <x18tc:threadedComment ref="F19" dT="2019-11-29T15:03:42.00" personId="{73d2ed88-7d13-4a50-8812-2eb2e5223f46}" id="{5bb315e4-b257-4755-b80a-f8c31986d441}" done="1">
    <x18tc:text xml:space="preserve">Estimativa do selo em fevereiro.
Checar cronograma de chegadas e se ficar muito apertado retrabalharemos no Brasil.</x18tc:text>
  </x18tc:threadedComment>
  <x18tc:threadedComment ref="O30" dT="2020-06-05T13:10:28.00" personId="{bd8a26bf-458f-4e3d-ba22-2e86e6384d40}" id="{99af24ad-a644-4222-8f7a-a3522563e364}" done="1">
    <x18tc:text xml:space="preserve">Teste ASTEC - INPUT até XX/XX
@elizeu.schutz@grupounico.com
@willian.miranda@imaginarium.com.br
@francielly.goulart@grupounico.com
Atribuído a francielly.goulart@grupounico.com</x18tc:text>
    <x18tc:mentions>
      <x18tc:mention mentionpersonId="{897dc08f-27d4-4162-a8d0-a3303e1c390f}" mentionId="{39b245e1-214d-4c93-a055-81c915c229c4}" startIndex="31" length="29"/>
      <x18tc:mention mentionpersonId="{c5e49e63-f4b4-44ee-9a90-9c07cdb6ff89}" mentionId="{4d498679-2363-4fa0-be60-5a59ca43f855}" startIndex="61" length="35"/>
      <x18tc:mention mentionpersonId="{c49c1854-d025-411a-b92c-11bc978c81f6}" mentionId="{ef754b6b-4a02-45f6-86cc-9f0b8942e2ff}" startIndex="97" length="34"/>
    </x18tc:mentions>
  </x18tc:threadedComment>
  <x18tc:threadedComment ref="F12" dT="2019-11-29T15:03:08.00" personId="{73d2ed88-7d13-4a50-8812-2eb2e5223f46}" id="{7df66a43-3f43-4159-a691-04b51a0f64a4}" done="1">
    <x18tc:text xml:space="preserve">Estimativa do selo em fevereiro.
Checar cronograma de chegadas e se ficar muito apertado retrabalharemos no Brasil.</x18tc:text>
  </x18tc:threadedComment>
  <x18tc:threadedComment ref="F15" dT="2019-11-29T15:03:02.00" personId="{73d2ed88-7d13-4a50-8812-2eb2e5223f46}" id="{0d2c6348-c055-43fb-a6f9-bf460840c3f8}" done="1">
    <x18tc:text xml:space="preserve">Estimativa do selo em fevereiro.
Checar cronograma de chegadas e se ficar muito apertado retrabalharemos no Brasil.</x18tc:text>
  </x18tc:threadedComment>
  <x18tc:threadedComment ref="F47" dT="2020-10-01T17:43:18.00" personId="{bd8a26bf-458f-4e3d-ba22-2e86e6384d40}" id="{a7497a1a-7279-44f5-96c2-69dc1d5f1524}" done="1">
    <x18tc:text xml:space="preserve">Verificar se vai ser o mesmo módulo do FAT 03</x18tc:text>
  </x18tc:threadedComment>
  <x18tc:threadedComment ref="F36" dT="2020-10-14T19:42:36.00" personId="{bd8a26bf-458f-4e3d-ba22-2e86e6384d40}" id="{f964770c-6eda-4509-92b3-5d4db41f2f88}" done="1">
    <x18tc:text xml:space="preserve">Confirmado que será o mesmo módulo da lancheira com speaker anterior, cobrar docs</x18tc:text>
  </x18tc:threadedComment>
  <x18tc:threadedComment ref="F122" dT="2022-08-18T14:21:09.00" personId="{41858fe7-5bb6-4e6e-8d0d-723b1475daae}" id="{c6944f1d-765c-442d-8557-b9fd48a30865}" done="1">
    <x18tc:text xml:space="preserve">É COELHO</x18tc:text>
  </x18tc:threadedComment>
  <x18tc:threadedComment ref="A1" dT="2021-07-15T11:59:43.00" personId="{41858fe7-5bb6-4e6e-8d0d-723b1475daae}" id="{ced1d8b2-ad3b-4747-8695-50b0ab415479}" done="1">
    <x18tc:text xml:space="preserve">Late FAT 09</x18tc:text>
  </x18tc:threadedComment>
  <x18tc:threadedComment ref="J35" dT="2020-06-23T17:21:19.00" personId="{bd8a26bf-458f-4e3d-ba22-2e86e6384d40}" id="{1e4f6a28-e611-48a6-b9d6-617b3644d9d5}" done="1">
    <x18tc:text xml:space="preserve">COBRAR TAMANHO E RESPOSTA DO SELO ANATEL PARA MASTER</x18tc:text>
  </x18tc:threadedComment>
  <x18tc:threadedComment ref="F116" dT="2022-08-18T14:08:41.00" personId="{41858fe7-5bb6-4e6e-8d0d-723b1475daae}" id="{b3e9ae60-1cf9-4a2a-8f0f-979f882416b8}" done="1">
    <x18tc:text xml:space="preserve">PROJETO SERÁ ALTERADO PARA COGUMELO</x18tc:text>
  </x18tc:threadedComment>
  <x18tc:threadedComment ref="A1" dT="2021-07-15T11:59:26.00" personId="{41858fe7-5bb6-4e6e-8d0d-723b1475daae}" id="{52c689e3-f717-4d92-ae9c-45ce0dcddbcd}" done="0">
    <x18tc:text xml:space="preserve">Late FAT 09</x18tc:text>
  </x18tc:threadedComment>
  <x18tc:threadedComment ref="A1" dT="2020-10-27T19:16:23.00" personId="{bd8a26bf-458f-4e3d-ba22-2e86e6384d40}" id="{4d78fd65-2c3f-4568-a106-b5b558d9eb11}" done="0">
    <x18tc:text xml:space="preserve">https://mail.google.com/mail/u/2/?tab=wm&amp;ogbl#inbox/FMfcgxwKjBJBJCXgsWLDdMkbZTDJcRxH</x18tc:text>
    <x18tc:extLst>
      <ext uri="{F7C98A9C-CBB3-438F-8F68-D28B6AF4A901}">
        <xltc2:checksum/>
        <xltc2:hyperlink startIndex="0" length="84" url="https://mail.google.com/mail/u/2/?tab=wm&amp;ogbl#inbox/FMfcgxwKjBJBJCXgsWLDdMkbZTDJcRxH"/>
      </ext>
    </x18tc:extLst>
  </x18tc:threadedComment>
  <x18tc:threadedComment ref="A1" dT="2019-11-29T15:01:54.00" personId="{73d2ed88-7d13-4a50-8812-2eb2e5223f46}" id="{ad969ac5-0d42-433e-926b-82460d9ad6a4}" done="0">
    <x18tc:text xml:space="preserve">Aguardar amostra para definir tudo.</x18tc:text>
  </x18tc:threadedComment>
  <x18tc:threadedComment ref="I21" dT="2019-12-02T14:50:16.00" personId="{c1012cf8-d5d4-410f-8eae-bb2689cbf168}" id="{754ac3b1-13ea-49f8-af93-9ea8f89b4ee0}" done="0">
    <x18tc:text xml:space="preserve">02/12 solicitada amostra ERP</x18tc:text>
  </x18tc:threadedComment>
  <x18tc:threadedComment ref="D28" dT="2021-03-29T11:49:38.00" personId="{41858fe7-5bb6-4e6e-8d0d-723b1475daae}" id="{55e234e9-6fa2-4592-8988-f9e9e0c39d8b}" done="0">
    <x18tc:text xml:space="preserve">Recompra FAT 08</x18tc:text>
  </x18tc:threadedComment>
  <x18tc:threadedComment ref="F14" dT="2019-11-29T15:09:22.00" personId="{73d2ed88-7d13-4a50-8812-2eb2e5223f46}" id="{3209589e-9da8-4555-9a2e-a520bbf60747}" done="1">
    <x18tc:text xml:space="preserve">certificar módulo BT. 20 a 30 dias.</x18tc:text>
  </x18tc:threadedComment>
  <x18tc:threadedComment ref="A1" dT="2020-11-26T12:20:49.00" personId="{1422f3a2-dde3-4fd9-a29a-379da87b882c}" id="{6184c5f8-954f-433e-92ad-fcb89e5c57c6}" done="1">
    <x18tc:text xml:space="preserve">está sendo contemplado que será pago no orçamento de 2020!</x18tc:text>
  </x18tc:threadedComment>
  <x18tc:threadedComment ref="F42" dT="2020-10-14T19:44:46.00" personId="{bd8a26bf-458f-4e3d-ba22-2e86e6384d40}" id="{a3b146f0-34df-42af-a26e-ff30b7085996}" done="1">
    <x18tc:text xml:space="preserve">Será confirmado na sexta dia 16/10 se manteremos na kayuan ou não</x18tc:text>
  </x18tc:threadedComment>
  <x18tc:threadedComment ref="F21" dT="2019-11-29T15:08:08.00" personId="{73d2ed88-7d13-4a50-8812-2eb2e5223f46}" id="{913806b1-f90a-4881-9e50-e829133094bd}" done="0">
    <x18tc:text xml:space="preserve">Checar com a China se já poderemos enviar placa final para certificação. Ideal termos essa certificação até final de Dezembro.</x18tc:text>
  </x18tc:threadedComment>
  <x18tc:threadedComment ref="A1" dT="2019-11-29T15:18:12.00" personId="{73d2ed88-7d13-4a50-8812-2eb2e5223f46}" id="{ef7e9017-9dc6-46d7-9fee-8bc3bb1efd3c}" done="0">
    <x18tc:text xml:space="preserve">Terá certificação BT. 20 a 30 dias.</x18tc:text>
  </x18tc:threadedComment>
  <x18tc:threadedComment ref="A1" dT="2020-10-27T19:16:19.00" personId="{bd8a26bf-458f-4e3d-ba22-2e86e6384d40}" id="{65dbf5a7-9091-48d9-b2ba-78fbf0a857e5}" done="0">
    <x18tc:text xml:space="preserve">https://mail.google.com/mail/u/2/?tab=wm&amp;ogbl#inbox/FMfcgxwKjBJBJCXgsWLDdMkbZTDJcRxH</x18tc:text>
    <x18tc:extLst>
      <ext uri="{F7C98A9C-CBB3-438F-8F68-D28B6AF4A901}">
        <xltc2:checksum/>
        <xltc2:hyperlink startIndex="0" length="84" url="https://mail.google.com/mail/u/2/?tab=wm&amp;ogbl#inbox/FMfcgxwKjBJBJCXgsWLDdMkbZTDJcRxH"/>
      </ext>
    </x18tc:extLst>
  </x18tc:threadedComment>
  <x18tc:threadedComment ref="J26" dT="2020-06-10T19:47:55.00" personId="{bd8a26bf-458f-4e3d-ba22-2e86e6384d40}" id="{c6fb63d2-87a3-49c8-85ce-2814312ca4ed}" done="0">
    <x18tc:text xml:space="preserve">Mandar email para curadoria e planejamento e falar sobre o prazo de certificação do produto</x18tc:text>
  </x18tc:threadedComment>
  <x18tc:threadedComment ref="F40" dT="2019-11-29T15:07:11.00" personId="{73d2ed88-7d13-4a50-8812-2eb2e5223f46}" id="{a86a0a0b-a74b-443e-8394-4c204bfc9c7a}" done="1">
    <x18tc:text xml:space="preserve">Certificação anatel. 20 dias para produção do selo. Precisamos da documentação China para começarmos a contar os 20 dias.
Mandar e-mail para pedirmos apenas a placa final do wireless charger.</x18tc:text>
  </x18tc:threadedComment>
  <x18tc:threadedComment ref="A1" dT="2021-06-22T16:13:48.00" personId="{41858fe7-5bb6-4e6e-8d0d-723b1475daae}" id="{fe9f43a4-183b-4ff1-9f56-5e210ff4dfbc}" done="1">
    <x18tc:text xml:space="preserve">Questões de cronograma oficial, Fred tinha passado previsão de 15/12 no CD considerando início do MP em 1608.</x18tc:text>
  </x18tc:threadedComment>
  <x18tc:threadedComment ref="A1" dT="2019-12-02T14:31:28.00" personId="{c1012cf8-d5d4-410f-8eae-bb2689cbf168}" id="{9daddb00-7874-4ae0-8585-2ddde3e883a8}" done="0">
    <x18tc:text xml:space="preserve">02/12 solicitada amostra ERP</x18tc:text>
  </x18tc:threadedComment>
  <x18tc:threadedComment ref="F5" dT="2019-11-29T14:52:11.00" personId="{73d2ed88-7d13-4a50-8812-2eb2e5223f46}" id="{2288a236-780a-43fb-a5fe-0e5108b0edae}" done="1">
    <x18tc:text xml:space="preserve">Produto passará por ensaios. Auditoria será feita em 06/12.
Precisará ser retrabalhado no Brasil.</x18tc:text>
  </x18tc:threadedComment>
  <x18tc:threadedComment ref="F7" dT="2019-11-29T14:54:24.00" personId="{73d2ed88-7d13-4a50-8812-2eb2e5223f46}" id="{2c30482f-05a7-4162-8274-1169909d60db}" done="1">
    <x18tc:text xml:space="preserve">Certificação em lote. Existe possibilidade de certificarmos na China.</x18tc:text>
  </x18tc:threadedComment>
  <x18tc:threadedComment ref="J34" dT="2020-06-23T17:13:17.00" personId="{bd8a26bf-458f-4e3d-ba22-2e86e6384d40}" id="{6eda1280-7fbe-4dab-b1e6-23dd84ef7b4c}" done="1">
    <x18tc:text xml:space="preserve">Gerar o código de barras.</x18tc:text>
  </x18tc:threadedComment>
  <x18tc:threadedComment ref="A1" dT="2020-10-01T17:45:32.00" personId="{bd8a26bf-458f-4e3d-ba22-2e86e6384d40}" id="{6e5a4f3b-73ef-484c-9468-c85c55c8d551}" done="0">
    <x18tc:text xml:space="preserve">Ainda não está definido o shape</x18tc:text>
  </x18tc:threadedComment>
  <x18tc:threadedComment ref="A1" dT="2020-11-24T16:39:25.00" personId="{1422f3a2-dde3-4fd9-a29a-379da87b882c}" id="{16a5655d-42f8-4e23-878e-1d7d708b326f}" parentId="{6e5a4f3b-73ef-484c-9468-c85c55c8d551}">
    <x18tc:text xml:space="preserve">está sendo cotado com ambos, china sabe que o preferencial é Hesen mas ainda não recebemos cotação, projeto foi enviado na última sexta!</x18tc:text>
  </x18tc:threadedComment>
  <x18tc:threadedComment ref="A1" dT="2019-11-29T15:16:04.00" personId="{73d2ed88-7d13-4a50-8812-2eb2e5223f46}" id="{9d870cea-1194-416c-9aa7-0970b9f1385c}" done="0">
    <x18tc:text xml:space="preserve">produto será FAT08 por conta de tempo de certificação. Leva 2 meses para certificar.</x18tc:text>
  </x18tc:threadedComment>
  <x18tc:threadedComment ref="A1" dT="2020-09-08T14:10:59.00" personId="{1422f3a2-dde3-4fd9-a29a-379da87b882c}" id="{85602f7b-0a7d-4643-ad52-545ee9678adf}" done="0">
    <x18tc:text xml:space="preserve">@guilherme.carvalho@grupounico.com confirmar com china mas é pra utilizar o mesmo módulo do speaker dos demais amplificadores de chuveiro</x18tc:text>
    <x18tc:mentions>
      <x18tc:mention mentionpersonId="{a5b97ab0-59c3-491f-9f4a-4f644df6f7fe}" mentionId="{a53518b9-49b1-432b-84cc-fec9e26a1d77}" startIndex="0" length="34"/>
    </x18tc:mentions>
  </x18tc:threadedComment>
  <x18tc:threadedComment ref="A1" dT="2020-07-22T20:00:12.00" personId="{1422f3a2-dde3-4fd9-a29a-379da87b882c}" id="{57147dde-8ef8-4057-ae1f-8c12dca3939e}" done="0">
    <x18tc:text xml:space="preserve">produto em stand by para desenvolvimento, provável que fat 3, vamos rever parte interna, nao solicitar amostra ainda @guilherme.carvalho@grupounico.com
Atribuído a </x18tc:text>
    <x18tc:mentions>
      <x18tc:mention mentionpersonId="{a5b97ab0-59c3-491f-9f4a-4f644df6f7fe}" mentionId="{e5feb38d-df5e-45d1-a485-d81270ba64cc}" startIndex="117" length="34"/>
    </x18tc:mentions>
  </x18tc:threadedComment>
  <x18tc:threadedComment ref="F16" dT="2019-11-29T15:13:53.00" personId="{73d2ed88-7d13-4a50-8812-2eb2e5223f46}" id="{ef383242-d4ad-42af-9315-74c82191eaf7}" done="1">
    <x18tc:text xml:space="preserve">Certificação Inmetro de criança. Certificar lote. Após ensaios (dura 3 semanas), teremos que aguardar mais 30 dias. Talvez tenhamos que retrabalhar no Brasil devido a prazo.</x18tc:text>
  </x18tc:threadedComment>
  <x18tc:threadedComment ref="F63" dT="2023-03-20T15:03:00.00" personId="{41858fe7-5bb6-4e6e-8d0d-723b1475daae}" id="{a59eef5f-7082-4980-9888-deba06fb77e7}" done="0">
    <x18tc:text xml:space="preserve">Renovar, mas validar antes com Marcel.</x18tc:text>
  </x18tc:threadedComment>
  <x18tc:threadedComment ref="A1" dT="2020-06-05T13:09:48.00" personId="{bd8a26bf-458f-4e3d-ba22-2e86e6384d40}" id="{4d794877-8eed-4980-8f2a-315d52a19795}" done="0">
    <x18tc:text xml:space="preserve">Teste ASTEC - INPUT até XX/XX
@elizeu.schutz@grupounico.com 
@willian.miranda@imaginarium.com.br</x18tc:text>
    <x18tc:mentions>
      <x18tc:mention mentionpersonId="{897dc08f-27d4-4162-a8d0-a3303e1c390f}" mentionId="{78218b5d-65eb-48bd-8174-65ffc6bad408}" startIndex="31" length="29"/>
      <x18tc:mention mentionpersonId="{c5e49e63-f4b4-44ee-9a90-9c07cdb6ff89}" mentionId="{9bdce0e2-e73b-4e17-9a85-d139df8aeabe}" startIndex="62" length="35"/>
    </x18tc:mentions>
  </x18tc:threadedComment>
  <x18tc:threadedComment ref="A1" dT="2020-09-30T20:12:05.00" personId="{bd8a26bf-458f-4e3d-ba22-2e86e6384d40}" id="{b3dafbdf-6f9b-439e-9ae3-a8b29212a10b}" done="0">
    <x18tc:text xml:space="preserve">Ver com a Fer da Visto o produto, shape e afins</x18tc:text>
  </x18tc:threadedComment>
  <x18tc:threadedComment ref="F9" dT="2019-11-29T14:58:47.00" personId="{73d2ed88-7d13-4a50-8812-2eb2e5223f46}" id="{92570bcd-e7a2-4c44-82a3-b1a1e1596afc}" done="1">
    <x18tc:text xml:space="preserve">Existe interesse de recompra. Ainda falta os adesivos. Estimativa de adesivos final de dezembro, início de janeiro. Checar cronograma pra ver se teremos que retrabalhar no Brasil.</x18tc:text>
  </x18tc:threadedComment>
  <x18tc:threadedComment ref="A1" dT="2020-06-05T13:08:48.00" personId="{bd8a26bf-458f-4e3d-ba22-2e86e6384d40}" id="{d3f7ee16-9faf-4cb2-942d-e2f26c89ca65}" done="1">
    <x18tc:text xml:space="preserve">@astec@imaginarium.com.br  - Data limite de Input XX/XX/XXXX
Atribuído a astec@imaginarium.com.br</x18tc:text>
    <x18tc:mentions>
      <x18tc:mention mentionpersonId="{854af053-07b8-40b0-8c87-a18909d4d6a3}" mentionId="{ae827e8a-0796-4a8b-8317-a7fa8be62a38}" startIndex="0" length="25"/>
    </x18tc:mentions>
  </x18tc:threadedComment>
  <x18tc:threadedComment ref="F8" dT="2019-11-29T14:58:09.00" personId="{73d2ed88-7d13-4a50-8812-2eb2e5223f46}" id="{11e8b1e4-c66b-4ee5-8192-f63af4ee1cbf}" done="1">
    <x18tc:text xml:space="preserve">Existe interesse de recompra. Ainda falta os adesivos. Estimativa de adesivos final de dezembro, início de janeiro. Checar cronograma pra ver se teremos que retrabalhar no Brasil.</x18tc:text>
  </x18tc:threadedComment>
  <x18tc:threadedComment ref="A1" dT="2020-11-23T18:56:06.00" personId="{1422f3a2-dde3-4fd9-a29a-379da87b882c}" id="{e9fd598a-591a-4dae-94ae-fa7248cb8188}" done="0">
    <x18tc:text xml:space="preserve">2020 nossa média foi de quase 7,6k por certificação anatel, sendo que a média é R$ 6.600, pois tivemos vários cancelamentos e projetos que pagamos e não avançamos. Conversei com Gui e colocamos uma gordura de R$ 8.000 por certificação Anatel para termos mais margem, + etiquetas e motoboy!</x18tc:text>
  </x18tc:threadedComment>
  <x18tc:threadedComment ref="E45" dT="2020-11-24T16:40:41.00" personId="{1422f3a2-dde3-4fd9-a29a-379da87b882c}" id="{1fb8f167-bfac-4a70-873d-33d9a4cf74a2}" done="1">
    <x18tc:text xml:space="preserve">já tem fornecedor definido! @guilherme.carvalho@grupounico.com
acredito que aqui seria bom um procv das chegadas, não?</x18tc:text>
    <x18tc:mentions>
      <x18tc:mention mentionpersonId="{a5b97ab0-59c3-491f-9f4a-4f644df6f7fe}" mentionId="{161972a8-c30f-4b8f-9f79-8937889afd12}" startIndex="28" length="34"/>
    </x18tc:mentions>
  </x18tc:threadedComment>
  <x18tc:threadedComment ref="A1" dT="2020-09-30T20:10:43.00" personId="{bd8a26bf-458f-4e3d-ba22-2e86e6384d40}" id="{fd159427-c110-42aa-ade9-e8f3d9e622f1}" done="0">
    <x18tc:text xml:space="preserve">Verificar se é o mesmo carregador interno já feito no passado (se é só shape novo)</x18tc:text>
  </x18tc:threadedComment>
  <x18tc:threadedComment ref="A1" dT="2020-09-30T20:26:56.00" personId="{bd8a26bf-458f-4e3d-ba22-2e86e6384d40}" id="{5097b761-76b2-434e-978d-ed4f1c917012}" parentId="{fd159427-c110-42aa-ade9-e8f3d9e622f1}">
    <x18tc:text xml:space="preserve">Verificar se de fato possui carregamento sem fio para os dois produtos</x18tc:text>
  </x18tc:threadedComment>
  <x18tc:threadedComment ref="A1" dT="2020-11-24T20:14:43.00" personId="{1422f3a2-dde3-4fd9-a29a-379da87b882c}" id="{94fb44f7-b155-4a7f-95d1-6faa86fa8e2e}" done="1">
    <x18tc:text xml:space="preserve">14k para fabrica e 7,8 lote</x18tc:text>
  </x18tc:threadedComment>
  <x18tc:threadedComment ref="J75" dT="2021-05-12T20:00:48.00" personId="{41858fe7-5bb6-4e6e-8d0d-723b1475daae}" id="{8fc0b356-64c1-456b-bab0-980cb11dc440}" done="1">
    <x18tc:text xml:space="preserve">Já tem amostra - cobrar</x18tc:text>
  </x18tc:threadedComment>
  <x18tc:threadedComment ref="A1" dT="2020-11-23T21:06:09.00" personId="{1422f3a2-dde3-4fd9-a29a-379da87b882c}" id="{35340a16-69c8-42ad-bf02-dc9039f381b6}" done="1">
    <x18tc:text xml:space="preserve">vamos ter que fazer de novo ano que vem?</x18tc:text>
  </x18tc:threadedComment>
  <x18tc:threadedComment ref="F11" dT="2019-11-29T15:00:42.00" personId="{73d2ed88-7d13-4a50-8812-2eb2e5223f46}" id="{925e6c8c-7464-450f-8f95-9e309227c7f5}" done="1">
    <x18tc:text xml:space="preserve">Certificação Inmetro e Anatel.
Selos anatel serão liberados até 20/12 e Inmetro pode ser em 20/01.
Será retrabalhado no Brasil.</x18tc:text>
  </x18tc:threadedComment>
  <x18tc:threadedComment ref="A1" dT="2021-08-02T17:58:56.00" personId="{41858fe7-5bb6-4e6e-8d0d-723b1475daae}" id="{4053d3cc-ad02-46d1-b34d-6d0ac084a488}" done="0">
    <x18tc:text xml:space="preserve">Late FAT 1 - Serena</x18tc:text>
  </x18tc:threadedComment>
  <x18tc:threadedComment ref="A1" dT="2020-11-23T19:50:16.00" personId="{1422f3a2-dde3-4fd9-a29a-379da87b882c}" id="{6ae1c132-9fca-40f0-ae92-ffd6f86b6e81}" done="1">
    <x18tc:text xml:space="preserve">considerando 1 eletrodoméstico a cada bimestre!</x18tc:text>
  </x18tc:threadedComment>
  <x18tc:threadedComment ref="F10" dT="2019-11-29T15:00:28.00" personId="{73d2ed88-7d13-4a50-8812-2eb2e5223f46}" id="{ff4d320a-aa94-4054-8388-38cd699a9458}" done="1">
    <x18tc:text xml:space="preserve">Certificação Inmetro e Anatel.
Selos anatel serão liberados até 20/12 e Inmetro pode ser em 20/01.
Será retrabalhado no Brasil.</x18tc:text>
  </x18tc:threadedComment>
  <x18tc:threadedComment ref="A1" dT="2021-06-22T16:13:00.00" personId="{41858fe7-5bb6-4e6e-8d0d-723b1475daae}" id="{92f9d6c2-c666-4d33-99f7-847049f3eb3f}" done="1">
    <x18tc:text xml:space="preserve">Questões de cronograma oficial, Fred tinha passado previsão de 15/12 no CD considerando início do MP em 1608.</x18tc:text>
  </x18tc:threadedComment>
  <x18tc:threadedComment ref="A1" dT="2020-10-01T17:45:16.00" personId="{bd8a26bf-458f-4e3d-ba22-2e86e6384d40}" id="{f80f49ab-df0a-48d8-9949-ea20cbceb09f}" done="0">
    <x18tc:text xml:space="preserve">Se for em shape de animal, precisa certificar</x18tc:text>
  </x18tc:threadedComment>
  <x18tc:threadedComment ref="A1" dT="2020-10-28T20:10:46.00" personId="{bd8a26bf-458f-4e3d-ba22-2e86e6384d40}" id="{a4a81363-aaf1-4be2-8a3e-3250bb9eceb0}" parentId="{f80f49ab-df0a-48d8-9949-ea20cbceb09f}">
    <x18tc:text xml:space="preserve">Não tem shape animal, pleitear pela não certificação do produto</x18tc:text>
  </x18tc:threadedComment>
  <x18tc:threadedComment ref="A1" dT="2020-09-30T20:12:00.00" personId="{bd8a26bf-458f-4e3d-ba22-2e86e6384d40}" id="{32c12798-efc7-4a9b-8a73-14c9a8da6da4}" done="0">
    <x18tc:text xml:space="preserve">Ver com a Fer da Visto o produto, shape e afins</x18tc:text>
  </x18tc:threadedComment>
  <x18tc:threadedComment ref="F34" dT="2021-02-05T12:30:55.00" personId="{41858fe7-5bb6-4e6e-8d0d-723b1475daae}" id="{c1a43a64-01f5-4791-ae04-42816eb53527}" done="1">
    <x18tc:text xml:space="preserve">Solicitar documentos para emissão da LI na volta do feriado chinês.</x18tc:text>
  </x18tc:threadedComment>
  <x18tc:threadedComment ref="A1" dT="2020-11-23T21:04:22.00" personId="{1422f3a2-dde3-4fd9-a29a-379da87b882c}" id="{c7446f67-5c12-4b58-b43b-3f8dab7f7100}" done="1">
    <x18tc:text xml:space="preserve">aqui foi 15k de manutenção?</x18tc:text>
  </x18tc:threadedComment>
  <x18tc:threadedComment ref="A1" dT="2020-08-20T12:55:56.00" personId="{1422f3a2-dde3-4fd9-a29a-379da87b882c}" id="{3986f2f4-ddbf-4dee-b67f-ac00d7acfaa8}" done="0">
    <x18tc:text xml:space="preserve">produto cancelado, podemos tirar da planilha</x18tc:text>
  </x18tc:threadedComment>
  <x18tc:threadedComment ref="F58" dT="2023-03-20T15:02:47.00" personId="{41858fe7-5bb6-4e6e-8d0d-723b1475daae}" id="{8695ac15-5382-49f3-ba33-d462a4527c10}" done="1">
    <x18tc:text xml:space="preserve">Renovar, mas validar antes com Marcel.</x18tc:text>
  </x18tc:threadedComment>
  <x18tc:threadedComment ref="J20" dT="2019-12-02T13:26:34.00" personId="{c1012cf8-d5d4-410f-8eae-bb2689cbf168}" id="{e2291599-dd10-4579-9683-9428430d4304}" done="1">
    <x18tc:text xml:space="preserve">@guilherme.carvalho@grupounico.com preciso verificar com vc a quantidade de amostra que precisamos para iniciar a certificação desse item
Atribuído a </x18tc:text>
    <x18tc:mentions>
      <x18tc:mention mentionpersonId="{a5b97ab0-59c3-491f-9f4a-4f644df6f7fe}" mentionId="{d561fd63-9d6d-49ea-8c26-206e8f54bb5f}" startIndex="0" length="34"/>
    </x18tc:mentions>
  </x18tc:threadedComment>
  <x18tc:threadedComment ref="J20" dT="2019-12-02T14:19:23.00" personId="{bd8a26bf-458f-4e3d-ba22-2e86e6384d40}" id="{863bea38-3457-4b09-bf1f-052a0e5c2fa8}" parentId="{e2291599-dd10-4579-9683-9428430d4304}">
    <x18tc:text xml:space="preserve">Oi Lis, criei uma coluna a mais para adicionar estas informações permitindo que todos fiquem alinhados</x18tc:text>
  </x18tc:threadedComment>
  <x18tc:threadedComment ref="O1" dT="2020-06-05T13:19:39.00" personId="{bd8a26bf-458f-4e3d-ba22-2e86e6384d40}" id="{b23837f6-6856-4405-a630-1b4a79d6f88d}" done="1">
    <x18tc:text xml:space="preserve">https://docs.google.com/spreadsheets/d/180TcrF7le_INyWy35rnB2L4fZz4cKEIMyeymUkoagUU/edit#gid=442255857</x18tc:text>
    <x18tc:extLst>
      <ext uri="{F7C98A9C-CBB3-438F-8F68-D28B6AF4A901}">
        <xltc2:checksum/>
        <xltc2:hyperlink startIndex="0" length="102" url="https://docs.google.com/spreadsheets/d/180TcrF7le_INyWy35rnB2L4fZz4cKEIMyeymUkoagUU/edit#gid=442255857"/>
      </ext>
    </x18tc:extLst>
  </x18tc:threadedComment>
  <x18tc:threadedComment ref="A1" dT="2020-11-24T16:41:18.00" personId="{1422f3a2-dde3-4fd9-a29a-379da87b882c}" id="{f404656c-a754-46ac-8462-884d42c7fb20}" done="0">
    <x18tc:text xml:space="preserve">definimos nessa semana em voltar para a cotação com fio, não será mais BT, tirar do radar de certificação!</x18tc:text>
  </x18tc:threadedComment>
  <x18tc:threadedComment ref="A1" dT="2020-07-07T12:23:44.00" personId="{1422f3a2-dde3-4fd9-a29a-379da87b882c}" id="{54a7ee99-dc48-4ce2-a578-cc92ad62cd00}" done="0">
    <x18tc:text xml:space="preserve">em cotação fat 2, não confirmado ainda</x18tc:text>
  </x18tc:threadedComment>
  <x18tc:threadedComment ref="F32" dT="2020-10-28T19:59:09.00" personId="{bd8a26bf-458f-4e3d-ba22-2e86e6384d40}" id="{b6bfc268-e91d-41a9-9cc3-79d73d848bd1}" done="1">
    <x18tc:text xml:space="preserve">Incluir João e Layla na troca de email com o OCP para alinhar etiqueta de certificação</x18tc:text>
  </x18tc:threadedComment>
  <x18tc:threadedComment ref="D136" dT="2022-12-02T03:51:57.00" personId="{41858fe7-5bb6-4e6e-8d0d-723b1475daae}" id="{86c36021-bbd7-4acc-97ee-8a0b6754a76b}" done="1">
    <x18tc:text xml:space="preserve">Possível alteração para FAT 10 - 2023</x18tc:text>
  </x18tc:threadedComment>
  <x18tc:threadedComment ref="A1" dT="2020-07-07T12:23:21.00" personId="{1422f3a2-dde3-4fd9-a29a-379da87b882c}" id="{63d892df-b346-408a-a017-5ce5176bac01}" done="0">
    <x18tc:text xml:space="preserve">não vamos mais recomprar, cmv altíssimo</x18tc:text>
  </x18tc:threadedComment>
  <x18tc:threadedComment ref="D138" dT="2022-12-02T03:52:01.00" personId="{41858fe7-5bb6-4e6e-8d0d-723b1475daae}" id="{f17ea2a8-3efa-41c7-b810-dc55e9b21ccf}" done="1">
    <x18tc:text xml:space="preserve">Possível alteração para FAT 10 - 2023</x18tc:text>
  </x18tc:threadedComment>
  <x18tc:threadedComment ref="A1" dT="2020-11-23T21:07:20.00" personId="{1422f3a2-dde3-4fd9-a29a-379da87b882c}" id="{0570ca86-58b5-4067-a632-e59856e4a454}" done="1">
    <x18tc:text xml:space="preserve">aqui foram 6?</x18tc:text>
  </x18tc:threadedComment>
  <x18tc:threadedComment ref="D137" dT="2022-12-02T03:51:59.00" personId="{41858fe7-5bb6-4e6e-8d0d-723b1475daae}" id="{ebdfa5c4-89bc-43ba-9117-1028d21c95b4}" done="1">
    <x18tc:text xml:space="preserve">Possível alteração para FAT 10 - 2023</x18tc:text>
  </x18tc:threadedComment>
  <x18tc:threadedComment ref="A1" dT="2020-11-23T21:07:35.00" personId="{1422f3a2-dde3-4fd9-a29a-379da87b882c}" id="{754fd306-7057-4b18-bef5-1b3689ea1ffd}" done="1">
    <x18tc:text xml:space="preserve">entender todos que foram aqui!</x18tc:text>
  </x18tc:threadedComment>
  <x18tc:threadedComment ref="I14" dT="2019-12-02T14:51:33.00" personId="{c1012cf8-d5d4-410f-8eae-bb2689cbf168}" id="{3e2fe611-7407-4330-b042-dcb2be1ced3e}" done="0">
    <x18tc:text xml:space="preserve">02/12 solicitada amostra ERP</x18tc:text>
  </x18tc:threadedComment>
  <x18tc:threadedComment ref="A1" dT="2019-12-02T14:54:53.00" personId="{c1012cf8-d5d4-410f-8eae-bb2689cbf168}" id="{9f42318b-2519-47f5-a5b3-5dfe1d8ab235}" done="0">
    <x18tc:text xml:space="preserve">02/12 - amostra solicitada ERP</x18tc:text>
  </x18tc:threadedComment>
  <x18tc:threadedComment ref="C75" dT="2021-06-22T17:32:26.00" personId="{41858fe7-5bb6-4e6e-8d0d-723b1475daae}" id="{22b7acd4-eac7-46ef-8d35-bcef37890b39}" done="1">
    <x18tc:text xml:space="preserve">Verificando com André impacto em prazo, tem um item da norma desse eletro que a STU não faz o teste.</x18tc:text>
  </x18tc:threadedComment>
  <x18tc:threadedComment ref="A1" dT="2020-11-24T20:06:56.00" personId="{1422f3a2-dde3-4fd9-a29a-379da87b882c}" id="{a83c500a-49c7-4a6b-a581-24cb1d45c0ce}" done="1">
    <x18tc:text xml:space="preserve">nossa média é 13.8k mas consideramos uma média de 15k para termos uma gordura!</x18tc:text>
  </x18tc:threadedComment>
  <x18tc:threadedComment ref="F31" dT="2020-10-28T19:54:22.00" personId="{bd8a26bf-458f-4e3d-ba22-2e86e6384d40}" id="{77f4e7f7-5ca6-4c86-8c14-012ace1d7ced}" done="1">
    <x18tc:text xml:space="preserve">COBRAR NÚMERO DO REGISTRO SEM FALTA ATÉ SEXTA</x18tc:text>
  </x18tc:threadedComment>
  <x18tc:threadedComment ref="J128" dT="2022-10-26T13:57:25.00" personId="{41858fe7-5bb6-4e6e-8d0d-723b1475daae}" id="{34c74a56-2fc9-4ac3-aa3d-3a643d69e183}" done="0">
    <x18tc:text xml:space="preserve">Verificar</x18tc:text>
  </x18tc:threadedComment>
  <x18tc:threadedComment ref="A1" dT="2021-08-16T13:07:50.00" personId="{41858fe7-5bb6-4e6e-8d0d-723b1475daae}" id="{d78a98b6-11fd-48bb-81c5-ab3690e90820}" done="0">
    <x18tc:text xml:space="preserve">Late FAT 09</x18tc:text>
  </x18tc:threadedComment>
  <x18tc:threadedComment ref="A1" dT="2019-12-02T14:52:07.00" personId="{c1012cf8-d5d4-410f-8eae-bb2689cbf168}" id="{184601a4-2f71-4024-92b7-74cf704420c6}" done="0">
    <x18tc:text xml:space="preserve">02/12 solicitada amostra ERP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www.anatel.gov.br/" TargetMode="External"/><Relationship Id="rId22" Type="http://schemas.openxmlformats.org/officeDocument/2006/relationships/drawing" Target="../drawings/drawing2.xml"/><Relationship Id="rId21" Type="http://schemas.openxmlformats.org/officeDocument/2006/relationships/hyperlink" Target="http://www.anatel.gov.br/"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www.anatel.gov.br/" TargetMode="External"/><Relationship Id="rId9" Type="http://schemas.openxmlformats.org/officeDocument/2006/relationships/hyperlink" Target="http://www.anatel.gov.br/" TargetMode="External"/><Relationship Id="rId5" Type="http://schemas.openxmlformats.org/officeDocument/2006/relationships/hyperlink" Target="http://www.anatel.gov.br/" TargetMode="External"/><Relationship Id="rId6" Type="http://schemas.openxmlformats.org/officeDocument/2006/relationships/hyperlink" Target="http://www.anatel.gov.br/" TargetMode="External"/><Relationship Id="rId7" Type="http://schemas.openxmlformats.org/officeDocument/2006/relationships/hyperlink" Target="http://www.anatel.gov.br/" TargetMode="External"/><Relationship Id="rId8" Type="http://schemas.openxmlformats.org/officeDocument/2006/relationships/hyperlink" Target="http://www.anatel.gov.br/" TargetMode="External"/><Relationship Id="rId11" Type="http://schemas.openxmlformats.org/officeDocument/2006/relationships/hyperlink" Target="http://www.anatel.gov.br/" TargetMode="External"/><Relationship Id="rId10" Type="http://schemas.openxmlformats.org/officeDocument/2006/relationships/hyperlink" Target="http://www.anatel.gov.br/" TargetMode="External"/><Relationship Id="rId13" Type="http://schemas.openxmlformats.org/officeDocument/2006/relationships/hyperlink" Target="http://www.anatel.gov.br/" TargetMode="External"/><Relationship Id="rId12" Type="http://schemas.openxmlformats.org/officeDocument/2006/relationships/hyperlink" Target="http://www.anatel.gov.br/" TargetMode="External"/><Relationship Id="rId15" Type="http://schemas.openxmlformats.org/officeDocument/2006/relationships/hyperlink" Target="http://www.anatel.gov.br/" TargetMode="External"/><Relationship Id="rId14" Type="http://schemas.openxmlformats.org/officeDocument/2006/relationships/hyperlink" Target="http://www.anatel.gov.br/" TargetMode="External"/><Relationship Id="rId17" Type="http://schemas.openxmlformats.org/officeDocument/2006/relationships/hyperlink" Target="http://www.anatel.gov.br/" TargetMode="External"/><Relationship Id="rId16" Type="http://schemas.openxmlformats.org/officeDocument/2006/relationships/hyperlink" Target="http://www.anatel.gov.br/" TargetMode="External"/><Relationship Id="rId19" Type="http://schemas.openxmlformats.org/officeDocument/2006/relationships/hyperlink" Target="http://www.anatel.gov.br/" TargetMode="External"/><Relationship Id="rId18" Type="http://schemas.openxmlformats.org/officeDocument/2006/relationships/hyperlink" Target="http://www.anatel.gov.b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anatel.gov.br/" TargetMode="External"/><Relationship Id="rId2" Type="http://schemas.openxmlformats.org/officeDocument/2006/relationships/hyperlink" Target="http://www.anatel.gov.br/" TargetMode="External"/><Relationship Id="rId3" Type="http://schemas.openxmlformats.org/officeDocument/2006/relationships/hyperlink" Target="http://www.anatel.gov.br/" TargetMode="External"/><Relationship Id="rId4" Type="http://schemas.openxmlformats.org/officeDocument/2006/relationships/hyperlink" Target="http://www.anatel.gov.br/" TargetMode="External"/><Relationship Id="rId9" Type="http://schemas.openxmlformats.org/officeDocument/2006/relationships/hyperlink" Target="http://www.anatel.gov.br/" TargetMode="External"/><Relationship Id="rId5" Type="http://schemas.openxmlformats.org/officeDocument/2006/relationships/hyperlink" Target="http://www.anatel.gov.br/" TargetMode="External"/><Relationship Id="rId6" Type="http://schemas.openxmlformats.org/officeDocument/2006/relationships/hyperlink" Target="http://www.anatel.gov.br/" TargetMode="External"/><Relationship Id="rId7" Type="http://schemas.openxmlformats.org/officeDocument/2006/relationships/hyperlink" Target="http://www.anatel.gov.br/" TargetMode="External"/><Relationship Id="rId8" Type="http://schemas.openxmlformats.org/officeDocument/2006/relationships/hyperlink" Target="http://www.anatel.gov.br/" TargetMode="External"/><Relationship Id="rId11" Type="http://schemas.openxmlformats.org/officeDocument/2006/relationships/hyperlink" Target="http://www.anatel.gov.br/" TargetMode="External"/><Relationship Id="rId10" Type="http://schemas.openxmlformats.org/officeDocument/2006/relationships/hyperlink" Target="http://www.anatel.gov.br/" TargetMode="External"/><Relationship Id="rId13" Type="http://schemas.openxmlformats.org/officeDocument/2006/relationships/hyperlink" Target="http://www.anatel.gov.br/" TargetMode="External"/><Relationship Id="rId12" Type="http://schemas.openxmlformats.org/officeDocument/2006/relationships/hyperlink" Target="http://www.anatel.gov.br/" TargetMode="External"/><Relationship Id="rId15" Type="http://schemas.openxmlformats.org/officeDocument/2006/relationships/drawing" Target="../drawings/drawing3.xml"/><Relationship Id="rId14" Type="http://schemas.openxmlformats.org/officeDocument/2006/relationships/hyperlink" Target="http://www.anatel.gov.br/"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1EagMaYGAstPePQuEiH5p2adrgsTQZz_h1KvRIcriQ4/edit" TargetMode="External"/><Relationship Id="rId2" Type="http://schemas.openxmlformats.org/officeDocument/2006/relationships/hyperlink" Target="https://docs.google.com/spreadsheets/d/1WFoLKEYLjaFjFpJi4_1zvGMKC7Ql9rx4dKXOiaPYsb4/edit" TargetMode="External"/><Relationship Id="rId3" Type="http://schemas.openxmlformats.org/officeDocument/2006/relationships/hyperlink" Target="https://drive.google.com/file/d/1r4wDqmaAXmdS_AeUeptFYUozqaz6YKf-/view?usp=sharing" TargetMode="External"/><Relationship Id="rId4" Type="http://schemas.openxmlformats.org/officeDocument/2006/relationships/hyperlink" Target="https://docs.google.com/spreadsheets/d/1WFoLKEYLjaFjFpJi4_1zvGMKC7Ql9rx4dKXOiaPYsb4/edit" TargetMode="External"/><Relationship Id="rId5" Type="http://schemas.openxmlformats.org/officeDocument/2006/relationships/hyperlink" Target="https://drive.google.com/file/d/1Zg7kf1C6alQBGa_xDbgVnUV6qfB6-_fl/view?usp=sharing" TargetMode="External"/><Relationship Id="rId6" Type="http://schemas.openxmlformats.org/officeDocument/2006/relationships/hyperlink" Target="https://docs.google.com/spreadsheets/d/1rb-c3lhFlgbcdHWsInfLNbqodFb2uONiQH3EkIXurPA/edit?usp=sharing" TargetMode="External"/><Relationship Id="rId7" Type="http://schemas.openxmlformats.org/officeDocument/2006/relationships/hyperlink" Target="https://docs.google.com/spreadsheets/d/1WFoLKEYLjaFjFpJi4_1zvGMKC7Ql9rx4dKXOiaPYsb4/edit"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nmetro.gov.br/qualidade/rtepac/compulsorios.asp"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21.0"/>
    <col customWidth="1" min="3" max="3" width="18.63"/>
    <col customWidth="1" hidden="1" min="4" max="4" width="15.13"/>
    <col customWidth="1" hidden="1" min="5" max="5" width="15.5"/>
    <col hidden="1" min="6" max="7" width="12.63"/>
    <col customWidth="1" hidden="1" min="8" max="8" width="18.13"/>
    <col customWidth="1" min="9" max="9" width="69.13"/>
  </cols>
  <sheetData>
    <row r="1" ht="31.5" customHeight="1">
      <c r="A1" s="1" t="s">
        <v>0</v>
      </c>
      <c r="B1" s="1" t="s">
        <v>1</v>
      </c>
      <c r="C1" s="1" t="s">
        <v>2</v>
      </c>
      <c r="D1" s="1" t="s">
        <v>3</v>
      </c>
      <c r="E1" s="1" t="s">
        <v>4</v>
      </c>
      <c r="F1" s="1" t="s">
        <v>5</v>
      </c>
      <c r="G1" s="1" t="s">
        <v>6</v>
      </c>
      <c r="H1" s="1" t="s">
        <v>7</v>
      </c>
      <c r="I1" s="1" t="s">
        <v>8</v>
      </c>
    </row>
    <row r="2">
      <c r="A2" s="2"/>
      <c r="B2" s="3" t="s">
        <v>9</v>
      </c>
      <c r="C2" s="4" t="s">
        <v>10</v>
      </c>
      <c r="D2" s="5"/>
      <c r="E2" s="5"/>
      <c r="F2" s="6" t="s">
        <v>11</v>
      </c>
      <c r="G2" s="5"/>
      <c r="H2" s="5"/>
      <c r="I2" s="7"/>
    </row>
    <row r="3">
      <c r="A3" s="8"/>
      <c r="B3" s="9" t="s">
        <v>12</v>
      </c>
      <c r="C3" s="10" t="s">
        <v>10</v>
      </c>
      <c r="D3" s="11"/>
      <c r="E3" s="10" t="s">
        <v>13</v>
      </c>
      <c r="F3" s="6" t="s">
        <v>11</v>
      </c>
      <c r="G3" s="11"/>
      <c r="H3" s="11"/>
      <c r="I3" s="12"/>
    </row>
    <row r="4">
      <c r="A4" s="8"/>
      <c r="B4" s="10" t="s">
        <v>14</v>
      </c>
      <c r="C4" s="10" t="s">
        <v>10</v>
      </c>
      <c r="D4" s="11"/>
      <c r="E4" s="11"/>
      <c r="F4" s="6" t="s">
        <v>11</v>
      </c>
      <c r="G4" s="11"/>
      <c r="H4" s="11"/>
      <c r="I4" s="12"/>
    </row>
    <row r="5">
      <c r="A5" s="8"/>
      <c r="B5" s="10" t="s">
        <v>15</v>
      </c>
      <c r="C5" s="10" t="s">
        <v>16</v>
      </c>
      <c r="D5" s="10" t="s">
        <v>17</v>
      </c>
      <c r="E5" s="10" t="s">
        <v>18</v>
      </c>
      <c r="F5" s="6" t="s">
        <v>11</v>
      </c>
      <c r="G5" s="11"/>
      <c r="H5" s="11"/>
      <c r="I5" s="12"/>
    </row>
    <row r="6">
      <c r="A6" s="13" t="s">
        <v>19</v>
      </c>
      <c r="B6" s="10" t="s">
        <v>20</v>
      </c>
      <c r="C6" s="10" t="s">
        <v>16</v>
      </c>
      <c r="D6" s="10" t="s">
        <v>21</v>
      </c>
      <c r="E6" s="10" t="s">
        <v>22</v>
      </c>
      <c r="F6" s="6" t="s">
        <v>11</v>
      </c>
      <c r="G6" s="10" t="s">
        <v>23</v>
      </c>
      <c r="H6" s="14">
        <v>44074.0</v>
      </c>
      <c r="I6" s="15" t="s">
        <v>24</v>
      </c>
    </row>
    <row r="7">
      <c r="A7" s="8"/>
      <c r="B7" s="10" t="s">
        <v>25</v>
      </c>
      <c r="C7" s="11"/>
      <c r="D7" s="11"/>
      <c r="E7" s="11"/>
      <c r="F7" s="6" t="s">
        <v>11</v>
      </c>
      <c r="G7" s="11"/>
      <c r="H7" s="16">
        <v>44063.0</v>
      </c>
      <c r="I7" s="15" t="s">
        <v>26</v>
      </c>
    </row>
    <row r="8">
      <c r="A8" s="8"/>
      <c r="B8" s="10" t="s">
        <v>27</v>
      </c>
      <c r="C8" s="10" t="s">
        <v>16</v>
      </c>
      <c r="D8" s="10" t="s">
        <v>17</v>
      </c>
      <c r="E8" s="10" t="s">
        <v>18</v>
      </c>
      <c r="F8" s="6" t="s">
        <v>11</v>
      </c>
      <c r="G8" s="11"/>
      <c r="H8" s="11"/>
      <c r="I8" s="12"/>
    </row>
    <row r="9">
      <c r="A9" s="8"/>
      <c r="B9" s="10" t="s">
        <v>28</v>
      </c>
      <c r="C9" s="10" t="s">
        <v>10</v>
      </c>
      <c r="D9" s="11"/>
      <c r="E9" s="11"/>
      <c r="F9" s="6" t="s">
        <v>11</v>
      </c>
      <c r="G9" s="11"/>
      <c r="H9" s="11"/>
      <c r="I9" s="12"/>
    </row>
    <row r="10">
      <c r="A10" s="8"/>
      <c r="B10" s="10" t="s">
        <v>29</v>
      </c>
      <c r="C10" s="10" t="s">
        <v>16</v>
      </c>
      <c r="D10" s="10" t="s">
        <v>17</v>
      </c>
      <c r="E10" s="11"/>
      <c r="F10" s="6" t="s">
        <v>11</v>
      </c>
      <c r="G10" s="11"/>
      <c r="H10" s="11"/>
      <c r="I10" s="12"/>
    </row>
    <row r="11">
      <c r="A11" s="8"/>
      <c r="B11" s="17" t="s">
        <v>30</v>
      </c>
      <c r="C11" s="10" t="s">
        <v>10</v>
      </c>
      <c r="D11" s="11"/>
      <c r="E11" s="11"/>
      <c r="F11" s="6" t="s">
        <v>11</v>
      </c>
      <c r="G11" s="17" t="s">
        <v>31</v>
      </c>
      <c r="H11" s="11"/>
      <c r="I11" s="12"/>
    </row>
    <row r="12">
      <c r="A12" s="8"/>
      <c r="B12" s="17" t="s">
        <v>32</v>
      </c>
      <c r="C12" s="10" t="s">
        <v>10</v>
      </c>
      <c r="D12" s="11"/>
      <c r="E12" s="11"/>
      <c r="F12" s="6" t="s">
        <v>11</v>
      </c>
      <c r="G12" s="17" t="s">
        <v>31</v>
      </c>
      <c r="H12" s="11"/>
      <c r="I12" s="12"/>
    </row>
    <row r="13">
      <c r="A13" s="13" t="s">
        <v>33</v>
      </c>
      <c r="B13" s="17" t="s">
        <v>34</v>
      </c>
      <c r="C13" s="10" t="s">
        <v>16</v>
      </c>
      <c r="D13" s="10" t="s">
        <v>35</v>
      </c>
      <c r="E13" s="10" t="s">
        <v>18</v>
      </c>
      <c r="F13" s="6" t="s">
        <v>11</v>
      </c>
      <c r="G13" s="17" t="s">
        <v>31</v>
      </c>
      <c r="H13" s="14">
        <v>44111.0</v>
      </c>
      <c r="I13" s="15" t="s">
        <v>36</v>
      </c>
    </row>
    <row r="14">
      <c r="A14" s="8"/>
      <c r="B14" s="11" t="s">
        <v>37</v>
      </c>
      <c r="C14" s="10" t="s">
        <v>10</v>
      </c>
      <c r="D14" s="11"/>
      <c r="E14" s="11"/>
      <c r="F14" s="6" t="s">
        <v>11</v>
      </c>
      <c r="G14" s="17" t="s">
        <v>31</v>
      </c>
      <c r="H14" s="11"/>
      <c r="I14" s="12"/>
    </row>
    <row r="15">
      <c r="A15" s="8" t="s">
        <v>38</v>
      </c>
      <c r="B15" s="11" t="s">
        <v>39</v>
      </c>
      <c r="C15" s="10" t="s">
        <v>16</v>
      </c>
      <c r="D15" s="11" t="s">
        <v>40</v>
      </c>
      <c r="E15" s="10" t="s">
        <v>41</v>
      </c>
      <c r="F15" s="6" t="s">
        <v>11</v>
      </c>
      <c r="G15" s="11" t="s">
        <v>42</v>
      </c>
      <c r="H15" s="14">
        <v>44138.0</v>
      </c>
      <c r="I15" s="15" t="s">
        <v>43</v>
      </c>
    </row>
    <row r="16">
      <c r="A16" s="8" t="s">
        <v>44</v>
      </c>
      <c r="B16" s="11" t="s">
        <v>45</v>
      </c>
      <c r="C16" s="10" t="s">
        <v>16</v>
      </c>
      <c r="D16" s="11" t="s">
        <v>46</v>
      </c>
      <c r="E16" s="10" t="s">
        <v>18</v>
      </c>
      <c r="F16" s="6" t="s">
        <v>11</v>
      </c>
      <c r="G16" s="11" t="s">
        <v>42</v>
      </c>
      <c r="H16" s="14">
        <v>44138.0</v>
      </c>
      <c r="I16" s="15" t="s">
        <v>43</v>
      </c>
    </row>
    <row r="17">
      <c r="A17" s="8" t="s">
        <v>47</v>
      </c>
      <c r="B17" s="11" t="s">
        <v>45</v>
      </c>
      <c r="C17" s="10" t="s">
        <v>16</v>
      </c>
      <c r="D17" s="11" t="s">
        <v>46</v>
      </c>
      <c r="E17" s="10" t="s">
        <v>18</v>
      </c>
      <c r="F17" s="6" t="s">
        <v>11</v>
      </c>
      <c r="G17" s="11" t="s">
        <v>42</v>
      </c>
      <c r="H17" s="14">
        <v>44138.0</v>
      </c>
      <c r="I17" s="15" t="s">
        <v>43</v>
      </c>
    </row>
    <row r="18">
      <c r="A18" s="8" t="s">
        <v>48</v>
      </c>
      <c r="B18" s="11" t="s">
        <v>49</v>
      </c>
      <c r="C18" s="10" t="s">
        <v>16</v>
      </c>
      <c r="D18" s="11" t="s">
        <v>50</v>
      </c>
      <c r="E18" s="10" t="s">
        <v>18</v>
      </c>
      <c r="F18" s="6" t="s">
        <v>11</v>
      </c>
      <c r="G18" s="11" t="s">
        <v>42</v>
      </c>
      <c r="H18" s="14">
        <v>44138.0</v>
      </c>
      <c r="I18" s="15" t="s">
        <v>43</v>
      </c>
    </row>
    <row r="19">
      <c r="A19" s="8" t="s">
        <v>51</v>
      </c>
      <c r="B19" s="11" t="s">
        <v>52</v>
      </c>
      <c r="C19" s="10" t="s">
        <v>16</v>
      </c>
      <c r="D19" s="11" t="s">
        <v>40</v>
      </c>
      <c r="E19" s="10" t="s">
        <v>41</v>
      </c>
      <c r="F19" s="6" t="s">
        <v>11</v>
      </c>
      <c r="G19" s="11" t="s">
        <v>42</v>
      </c>
      <c r="H19" s="14">
        <v>44138.0</v>
      </c>
      <c r="I19" s="15" t="s">
        <v>43</v>
      </c>
    </row>
    <row r="20">
      <c r="A20" s="8" t="s">
        <v>53</v>
      </c>
      <c r="B20" s="11" t="s">
        <v>54</v>
      </c>
      <c r="C20" s="10" t="s">
        <v>16</v>
      </c>
      <c r="D20" s="11" t="s">
        <v>50</v>
      </c>
      <c r="E20" s="10" t="s">
        <v>18</v>
      </c>
      <c r="F20" s="6" t="s">
        <v>11</v>
      </c>
      <c r="G20" s="11" t="s">
        <v>42</v>
      </c>
      <c r="H20" s="14">
        <v>44138.0</v>
      </c>
      <c r="I20" s="15" t="s">
        <v>43</v>
      </c>
    </row>
    <row r="21">
      <c r="A21" s="8" t="s">
        <v>55</v>
      </c>
      <c r="B21" s="11" t="s">
        <v>56</v>
      </c>
      <c r="C21" s="10" t="s">
        <v>16</v>
      </c>
      <c r="D21" s="11" t="s">
        <v>50</v>
      </c>
      <c r="E21" s="10" t="s">
        <v>18</v>
      </c>
      <c r="F21" s="6" t="s">
        <v>11</v>
      </c>
      <c r="G21" s="11" t="s">
        <v>42</v>
      </c>
      <c r="H21" s="14">
        <v>44138.0</v>
      </c>
      <c r="I21" s="15" t="s">
        <v>43</v>
      </c>
    </row>
    <row r="22">
      <c r="A22" s="8"/>
      <c r="B22" s="10" t="s">
        <v>57</v>
      </c>
      <c r="C22" s="10" t="s">
        <v>10</v>
      </c>
      <c r="D22" s="10" t="s">
        <v>10</v>
      </c>
      <c r="E22" s="10" t="s">
        <v>58</v>
      </c>
      <c r="F22" s="6" t="s">
        <v>11</v>
      </c>
      <c r="G22" s="10" t="s">
        <v>59</v>
      </c>
      <c r="H22" s="11"/>
      <c r="I22" s="15" t="s">
        <v>60</v>
      </c>
    </row>
    <row r="23">
      <c r="A23" s="9" t="s">
        <v>61</v>
      </c>
      <c r="B23" s="10" t="s">
        <v>62</v>
      </c>
      <c r="C23" s="10" t="s">
        <v>16</v>
      </c>
      <c r="D23" s="11" t="s">
        <v>40</v>
      </c>
      <c r="E23" s="10" t="s">
        <v>41</v>
      </c>
      <c r="F23" s="6" t="s">
        <v>11</v>
      </c>
      <c r="G23" s="10" t="s">
        <v>63</v>
      </c>
      <c r="H23" s="18">
        <v>44470.0</v>
      </c>
      <c r="I23" s="15" t="s">
        <v>64</v>
      </c>
    </row>
    <row r="24">
      <c r="A24" s="9" t="s">
        <v>65</v>
      </c>
      <c r="B24" s="10" t="s">
        <v>66</v>
      </c>
      <c r="C24" s="10" t="s">
        <v>16</v>
      </c>
      <c r="D24" s="11" t="s">
        <v>40</v>
      </c>
      <c r="E24" s="10" t="s">
        <v>67</v>
      </c>
      <c r="F24" s="6" t="s">
        <v>11</v>
      </c>
      <c r="G24" s="10" t="s">
        <v>63</v>
      </c>
      <c r="H24" s="18">
        <v>44470.0</v>
      </c>
      <c r="I24" s="15" t="s">
        <v>64</v>
      </c>
    </row>
    <row r="25">
      <c r="A25" s="9" t="s">
        <v>68</v>
      </c>
      <c r="B25" s="10" t="s">
        <v>69</v>
      </c>
      <c r="C25" s="10" t="s">
        <v>16</v>
      </c>
      <c r="D25" s="11" t="s">
        <v>40</v>
      </c>
      <c r="E25" s="10" t="s">
        <v>67</v>
      </c>
      <c r="F25" s="6" t="s">
        <v>11</v>
      </c>
      <c r="G25" s="10" t="s">
        <v>63</v>
      </c>
      <c r="H25" s="18">
        <v>44470.0</v>
      </c>
      <c r="I25" s="15" t="s">
        <v>64</v>
      </c>
    </row>
    <row r="26">
      <c r="A26" s="9" t="s">
        <v>70</v>
      </c>
      <c r="B26" s="10" t="s">
        <v>71</v>
      </c>
      <c r="C26" s="10" t="s">
        <v>16</v>
      </c>
      <c r="D26" s="11" t="s">
        <v>40</v>
      </c>
      <c r="E26" s="10" t="s">
        <v>41</v>
      </c>
      <c r="F26" s="6" t="s">
        <v>11</v>
      </c>
      <c r="G26" s="10" t="s">
        <v>63</v>
      </c>
      <c r="H26" s="18">
        <v>44470.0</v>
      </c>
      <c r="I26" s="15" t="s">
        <v>64</v>
      </c>
    </row>
    <row r="27">
      <c r="A27" s="9" t="s">
        <v>72</v>
      </c>
      <c r="B27" s="10" t="s">
        <v>73</v>
      </c>
      <c r="C27" s="10" t="s">
        <v>16</v>
      </c>
      <c r="D27" s="11" t="s">
        <v>40</v>
      </c>
      <c r="E27" s="10" t="s">
        <v>41</v>
      </c>
      <c r="F27" s="6" t="s">
        <v>11</v>
      </c>
      <c r="G27" s="10" t="s">
        <v>63</v>
      </c>
      <c r="H27" s="18">
        <v>44470.0</v>
      </c>
      <c r="I27" s="15" t="s">
        <v>64</v>
      </c>
    </row>
    <row r="28">
      <c r="A28" s="9" t="s">
        <v>74</v>
      </c>
      <c r="B28" s="10" t="s">
        <v>75</v>
      </c>
      <c r="C28" s="10" t="s">
        <v>16</v>
      </c>
      <c r="D28" s="11" t="s">
        <v>40</v>
      </c>
      <c r="E28" s="10" t="s">
        <v>41</v>
      </c>
      <c r="F28" s="6" t="s">
        <v>11</v>
      </c>
      <c r="G28" s="10"/>
      <c r="H28" s="18">
        <v>44470.0</v>
      </c>
      <c r="I28" s="15" t="s">
        <v>76</v>
      </c>
    </row>
    <row r="29">
      <c r="A29" s="9" t="s">
        <v>77</v>
      </c>
      <c r="B29" s="10" t="s">
        <v>78</v>
      </c>
      <c r="C29" s="10" t="s">
        <v>16</v>
      </c>
      <c r="D29" s="11" t="s">
        <v>40</v>
      </c>
      <c r="E29" s="10" t="s">
        <v>41</v>
      </c>
      <c r="F29" s="6" t="s">
        <v>11</v>
      </c>
      <c r="G29" s="10" t="s">
        <v>79</v>
      </c>
      <c r="H29" s="18">
        <v>44529.0</v>
      </c>
      <c r="I29" s="15"/>
    </row>
    <row r="30">
      <c r="A30" s="9" t="s">
        <v>80</v>
      </c>
      <c r="B30" s="10" t="s">
        <v>81</v>
      </c>
      <c r="C30" s="10" t="s">
        <v>16</v>
      </c>
      <c r="D30" s="11" t="s">
        <v>40</v>
      </c>
      <c r="E30" s="10" t="s">
        <v>41</v>
      </c>
      <c r="F30" s="6" t="s">
        <v>11</v>
      </c>
      <c r="G30" s="10" t="s">
        <v>79</v>
      </c>
      <c r="H30" s="18">
        <v>44529.0</v>
      </c>
      <c r="I30" s="15"/>
    </row>
    <row r="31">
      <c r="A31" s="9" t="s">
        <v>82</v>
      </c>
      <c r="B31" s="10" t="s">
        <v>83</v>
      </c>
      <c r="C31" s="10" t="s">
        <v>16</v>
      </c>
      <c r="D31" s="11" t="s">
        <v>84</v>
      </c>
      <c r="E31" s="10" t="s">
        <v>67</v>
      </c>
      <c r="F31" s="6" t="s">
        <v>11</v>
      </c>
      <c r="G31" s="10" t="s">
        <v>85</v>
      </c>
      <c r="H31" s="18">
        <v>44529.0</v>
      </c>
      <c r="I31" s="15"/>
    </row>
    <row r="32">
      <c r="A32" s="6" t="s">
        <v>86</v>
      </c>
      <c r="B32" s="19" t="s">
        <v>87</v>
      </c>
      <c r="C32" s="10" t="s">
        <v>16</v>
      </c>
      <c r="D32" s="11" t="s">
        <v>40</v>
      </c>
      <c r="E32" s="10" t="s">
        <v>41</v>
      </c>
      <c r="F32" s="6" t="s">
        <v>11</v>
      </c>
      <c r="G32" s="20" t="s">
        <v>88</v>
      </c>
      <c r="H32" s="18">
        <v>44529.0</v>
      </c>
      <c r="I32" s="21"/>
      <c r="J32" s="22"/>
      <c r="K32" s="22"/>
      <c r="L32" s="22"/>
      <c r="M32" s="22"/>
      <c r="N32" s="22"/>
      <c r="O32" s="22"/>
      <c r="P32" s="22"/>
      <c r="Q32" s="22"/>
      <c r="R32" s="22"/>
      <c r="S32" s="22"/>
      <c r="T32" s="22"/>
      <c r="U32" s="22"/>
      <c r="V32" s="22"/>
      <c r="W32" s="22"/>
      <c r="X32" s="22"/>
      <c r="Y32" s="22"/>
      <c r="Z32" s="22"/>
    </row>
    <row r="33">
      <c r="A33" s="6" t="s">
        <v>89</v>
      </c>
      <c r="B33" s="19" t="s">
        <v>90</v>
      </c>
      <c r="C33" s="10" t="s">
        <v>16</v>
      </c>
      <c r="D33" s="11" t="s">
        <v>91</v>
      </c>
      <c r="E33" s="10" t="s">
        <v>92</v>
      </c>
      <c r="F33" s="23" t="s">
        <v>93</v>
      </c>
      <c r="G33" s="20" t="s">
        <v>94</v>
      </c>
      <c r="H33" s="18">
        <v>44501.0</v>
      </c>
      <c r="I33" s="15" t="s">
        <v>95</v>
      </c>
      <c r="J33" s="22"/>
      <c r="K33" s="22"/>
      <c r="L33" s="22"/>
      <c r="M33" s="22"/>
      <c r="N33" s="22"/>
      <c r="O33" s="22"/>
      <c r="P33" s="22"/>
      <c r="Q33" s="22"/>
      <c r="R33" s="22"/>
      <c r="S33" s="22"/>
      <c r="T33" s="22"/>
      <c r="U33" s="22"/>
      <c r="V33" s="22"/>
      <c r="W33" s="22"/>
      <c r="X33" s="22"/>
      <c r="Y33" s="22"/>
      <c r="Z33" s="22"/>
    </row>
    <row r="34">
      <c r="A34" s="6" t="s">
        <v>96</v>
      </c>
      <c r="B34" s="19" t="s">
        <v>97</v>
      </c>
      <c r="C34" s="10" t="s">
        <v>16</v>
      </c>
      <c r="D34" s="11" t="s">
        <v>98</v>
      </c>
      <c r="E34" s="10" t="s">
        <v>18</v>
      </c>
      <c r="F34" s="6" t="s">
        <v>11</v>
      </c>
      <c r="G34" s="20" t="s">
        <v>99</v>
      </c>
      <c r="H34" s="18">
        <v>44593.0</v>
      </c>
      <c r="I34" s="15" t="s">
        <v>100</v>
      </c>
      <c r="J34" s="22"/>
      <c r="K34" s="22"/>
      <c r="L34" s="22"/>
      <c r="M34" s="22"/>
      <c r="N34" s="22"/>
      <c r="O34" s="22"/>
      <c r="P34" s="22"/>
      <c r="Q34" s="22"/>
      <c r="R34" s="22"/>
      <c r="S34" s="22"/>
      <c r="T34" s="22"/>
      <c r="U34" s="22"/>
      <c r="V34" s="22"/>
      <c r="W34" s="22"/>
      <c r="X34" s="22"/>
      <c r="Y34" s="22"/>
      <c r="Z34" s="22"/>
    </row>
    <row r="35">
      <c r="A35" s="6" t="s">
        <v>101</v>
      </c>
      <c r="B35" s="19" t="s">
        <v>102</v>
      </c>
      <c r="C35" s="10" t="s">
        <v>16</v>
      </c>
      <c r="D35" s="11" t="s">
        <v>98</v>
      </c>
      <c r="E35" s="10" t="s">
        <v>18</v>
      </c>
      <c r="F35" s="6" t="s">
        <v>11</v>
      </c>
      <c r="G35" s="20" t="s">
        <v>99</v>
      </c>
      <c r="H35" s="18">
        <v>44593.0</v>
      </c>
      <c r="I35" s="15" t="s">
        <v>100</v>
      </c>
      <c r="J35" s="22"/>
      <c r="K35" s="22"/>
      <c r="L35" s="22"/>
      <c r="M35" s="22"/>
      <c r="N35" s="22"/>
      <c r="O35" s="22"/>
      <c r="P35" s="22"/>
      <c r="Q35" s="22"/>
      <c r="R35" s="22"/>
      <c r="S35" s="22"/>
      <c r="T35" s="22"/>
      <c r="U35" s="22"/>
      <c r="V35" s="22"/>
      <c r="W35" s="22"/>
      <c r="X35" s="22"/>
      <c r="Y35" s="22"/>
      <c r="Z35" s="22"/>
    </row>
    <row r="36">
      <c r="A36" s="6" t="s">
        <v>103</v>
      </c>
      <c r="B36" s="19" t="s">
        <v>104</v>
      </c>
      <c r="C36" s="10" t="s">
        <v>16</v>
      </c>
      <c r="D36" s="11" t="s">
        <v>98</v>
      </c>
      <c r="E36" s="10" t="s">
        <v>18</v>
      </c>
      <c r="F36" s="6" t="s">
        <v>11</v>
      </c>
      <c r="G36" s="20" t="s">
        <v>99</v>
      </c>
      <c r="H36" s="18">
        <v>44593.0</v>
      </c>
      <c r="I36" s="15"/>
    </row>
    <row r="37">
      <c r="A37" s="6" t="s">
        <v>105</v>
      </c>
      <c r="B37" s="19" t="s">
        <v>106</v>
      </c>
      <c r="C37" s="10" t="s">
        <v>16</v>
      </c>
      <c r="D37" s="11" t="s">
        <v>98</v>
      </c>
      <c r="E37" s="10" t="s">
        <v>18</v>
      </c>
      <c r="F37" s="6" t="s">
        <v>11</v>
      </c>
      <c r="G37" s="20" t="s">
        <v>99</v>
      </c>
      <c r="H37" s="18">
        <v>44593.0</v>
      </c>
      <c r="I37" s="15" t="s">
        <v>107</v>
      </c>
    </row>
    <row r="38">
      <c r="A38" s="6" t="s">
        <v>108</v>
      </c>
      <c r="B38" s="19" t="s">
        <v>109</v>
      </c>
      <c r="C38" s="10" t="s">
        <v>16</v>
      </c>
      <c r="D38" s="11" t="s">
        <v>98</v>
      </c>
      <c r="E38" s="10" t="s">
        <v>18</v>
      </c>
      <c r="F38" s="6" t="s">
        <v>11</v>
      </c>
      <c r="G38" s="20" t="s">
        <v>99</v>
      </c>
      <c r="H38" s="18">
        <v>44713.0</v>
      </c>
      <c r="I38" s="15" t="s">
        <v>110</v>
      </c>
    </row>
    <row r="39">
      <c r="A39" s="6" t="s">
        <v>111</v>
      </c>
      <c r="B39" s="19" t="s">
        <v>112</v>
      </c>
      <c r="C39" s="10" t="s">
        <v>16</v>
      </c>
      <c r="D39" s="17" t="s">
        <v>113</v>
      </c>
      <c r="E39" s="10" t="s">
        <v>18</v>
      </c>
      <c r="F39" s="6" t="s">
        <v>11</v>
      </c>
      <c r="G39" s="20" t="s">
        <v>114</v>
      </c>
      <c r="H39" s="18">
        <v>44805.0</v>
      </c>
      <c r="I39" s="15" t="s">
        <v>115</v>
      </c>
    </row>
    <row r="40">
      <c r="A40" s="6" t="s">
        <v>116</v>
      </c>
      <c r="B40" s="19" t="s">
        <v>117</v>
      </c>
      <c r="C40" s="10" t="s">
        <v>16</v>
      </c>
      <c r="D40" s="11" t="s">
        <v>98</v>
      </c>
      <c r="E40" s="10" t="s">
        <v>18</v>
      </c>
      <c r="F40" s="6" t="s">
        <v>11</v>
      </c>
      <c r="G40" s="20" t="s">
        <v>118</v>
      </c>
      <c r="H40" s="18">
        <v>44805.0</v>
      </c>
      <c r="I40" s="15" t="s">
        <v>119</v>
      </c>
      <c r="J40" s="24"/>
      <c r="K40" s="24"/>
      <c r="L40" s="24"/>
      <c r="M40" s="24"/>
      <c r="N40" s="24"/>
      <c r="O40" s="24"/>
      <c r="P40" s="24"/>
      <c r="Q40" s="24"/>
      <c r="R40" s="24"/>
      <c r="S40" s="24"/>
      <c r="T40" s="24"/>
      <c r="U40" s="24"/>
      <c r="V40" s="24"/>
      <c r="W40" s="24"/>
      <c r="X40" s="24"/>
      <c r="Y40" s="24"/>
      <c r="Z40" s="24"/>
    </row>
    <row r="41">
      <c r="A41" s="6" t="s">
        <v>120</v>
      </c>
      <c r="B41" s="19"/>
      <c r="C41" s="10"/>
      <c r="D41" s="11"/>
      <c r="E41" s="10"/>
      <c r="F41" s="6"/>
      <c r="G41" s="20"/>
      <c r="H41" s="18"/>
      <c r="I41" s="15"/>
      <c r="J41" s="24"/>
      <c r="K41" s="24"/>
      <c r="L41" s="24"/>
      <c r="M41" s="24"/>
      <c r="N41" s="24"/>
      <c r="O41" s="24"/>
      <c r="P41" s="24"/>
      <c r="Q41" s="24"/>
      <c r="R41" s="24"/>
      <c r="S41" s="24"/>
      <c r="T41" s="24"/>
      <c r="U41" s="24"/>
      <c r="V41" s="24"/>
      <c r="W41" s="24"/>
      <c r="X41" s="24"/>
      <c r="Y41" s="24"/>
      <c r="Z41" s="24"/>
    </row>
    <row r="42">
      <c r="A42" s="6" t="s">
        <v>121</v>
      </c>
      <c r="B42" s="19"/>
      <c r="C42" s="10"/>
      <c r="D42" s="11"/>
      <c r="E42" s="10"/>
      <c r="F42" s="6"/>
      <c r="G42" s="20"/>
      <c r="H42" s="18"/>
      <c r="I42" s="15"/>
      <c r="J42" s="24"/>
      <c r="K42" s="24"/>
      <c r="L42" s="24"/>
      <c r="M42" s="24"/>
      <c r="N42" s="24"/>
      <c r="O42" s="24"/>
      <c r="P42" s="24"/>
      <c r="Q42" s="24"/>
      <c r="R42" s="24"/>
      <c r="S42" s="24"/>
      <c r="T42" s="24"/>
      <c r="U42" s="24"/>
      <c r="V42" s="24"/>
      <c r="W42" s="24"/>
      <c r="X42" s="24"/>
      <c r="Y42" s="24"/>
      <c r="Z42" s="24"/>
    </row>
    <row r="43">
      <c r="A43" s="6">
        <v>1.0040042E8</v>
      </c>
      <c r="B43" s="19" t="s">
        <v>122</v>
      </c>
      <c r="C43" s="10"/>
      <c r="D43" s="11"/>
      <c r="E43" s="10"/>
      <c r="F43" s="6"/>
      <c r="G43" s="20" t="s">
        <v>123</v>
      </c>
      <c r="H43" s="18"/>
      <c r="I43" s="15" t="s">
        <v>124</v>
      </c>
      <c r="J43" s="24"/>
      <c r="K43" s="24"/>
      <c r="L43" s="24"/>
      <c r="M43" s="24"/>
      <c r="N43" s="24"/>
      <c r="O43" s="24"/>
      <c r="P43" s="24"/>
      <c r="Q43" s="24"/>
      <c r="R43" s="24"/>
      <c r="S43" s="24"/>
      <c r="T43" s="24"/>
      <c r="U43" s="24"/>
      <c r="V43" s="24"/>
      <c r="W43" s="24"/>
      <c r="X43" s="24"/>
      <c r="Y43" s="24"/>
      <c r="Z43" s="24"/>
    </row>
    <row r="44">
      <c r="A44" s="6">
        <v>1.00400421E8</v>
      </c>
      <c r="B44" s="19" t="s">
        <v>125</v>
      </c>
      <c r="C44" s="10"/>
      <c r="D44" s="11"/>
      <c r="E44" s="10"/>
      <c r="F44" s="6"/>
      <c r="G44" s="20" t="s">
        <v>123</v>
      </c>
      <c r="H44" s="18"/>
      <c r="I44" s="15" t="s">
        <v>126</v>
      </c>
      <c r="J44" s="24"/>
      <c r="K44" s="24"/>
      <c r="L44" s="24"/>
      <c r="M44" s="24"/>
      <c r="N44" s="24"/>
      <c r="O44" s="24"/>
      <c r="P44" s="24"/>
      <c r="Q44" s="24"/>
      <c r="R44" s="24"/>
      <c r="S44" s="24"/>
      <c r="T44" s="24"/>
      <c r="U44" s="24"/>
      <c r="V44" s="24"/>
      <c r="W44" s="24"/>
      <c r="X44" s="24"/>
      <c r="Y44" s="24"/>
      <c r="Z44" s="24"/>
    </row>
    <row r="45">
      <c r="A45" s="6">
        <v>5.0403295E7</v>
      </c>
      <c r="B45" s="19" t="s">
        <v>127</v>
      </c>
      <c r="C45" s="10"/>
      <c r="D45" s="11"/>
      <c r="E45" s="10"/>
      <c r="F45" s="6"/>
      <c r="G45" s="20" t="s">
        <v>128</v>
      </c>
      <c r="H45" s="18"/>
      <c r="I45" s="15" t="s">
        <v>129</v>
      </c>
      <c r="J45" s="24"/>
      <c r="K45" s="24"/>
      <c r="L45" s="24"/>
      <c r="M45" s="24"/>
      <c r="N45" s="24"/>
      <c r="O45" s="24"/>
      <c r="P45" s="24"/>
      <c r="Q45" s="24"/>
      <c r="R45" s="24"/>
      <c r="S45" s="24"/>
      <c r="T45" s="24"/>
      <c r="U45" s="24"/>
      <c r="V45" s="24"/>
      <c r="W45" s="24"/>
      <c r="X45" s="24"/>
      <c r="Y45" s="24"/>
      <c r="Z45" s="24"/>
    </row>
    <row r="46">
      <c r="A46" s="6" t="s">
        <v>111</v>
      </c>
      <c r="B46" s="19" t="s">
        <v>112</v>
      </c>
      <c r="C46" s="10"/>
      <c r="D46" s="11"/>
      <c r="E46" s="10"/>
      <c r="F46" s="6"/>
      <c r="G46" s="20" t="s">
        <v>130</v>
      </c>
      <c r="H46" s="18"/>
      <c r="I46" s="15" t="s">
        <v>131</v>
      </c>
      <c r="J46" s="24"/>
      <c r="K46" s="24"/>
      <c r="L46" s="24"/>
      <c r="M46" s="24"/>
      <c r="N46" s="24"/>
      <c r="O46" s="24"/>
      <c r="P46" s="24"/>
      <c r="Q46" s="24"/>
      <c r="R46" s="24"/>
      <c r="S46" s="24"/>
      <c r="T46" s="24"/>
      <c r="U46" s="24"/>
      <c r="V46" s="24"/>
      <c r="W46" s="24"/>
      <c r="X46" s="24"/>
      <c r="Y46" s="24"/>
      <c r="Z46" s="24"/>
    </row>
    <row r="47">
      <c r="A47" s="6" t="s">
        <v>116</v>
      </c>
      <c r="B47" s="19" t="s">
        <v>132</v>
      </c>
      <c r="C47" s="10"/>
      <c r="D47" s="11"/>
      <c r="E47" s="10"/>
      <c r="F47" s="6"/>
      <c r="G47" s="20" t="s">
        <v>133</v>
      </c>
      <c r="H47" s="18"/>
      <c r="I47" s="15" t="s">
        <v>134</v>
      </c>
      <c r="J47" s="24"/>
      <c r="K47" s="24"/>
      <c r="L47" s="24"/>
      <c r="M47" s="24"/>
      <c r="N47" s="24"/>
      <c r="O47" s="24"/>
      <c r="P47" s="24"/>
      <c r="Q47" s="24"/>
      <c r="R47" s="24"/>
      <c r="S47" s="24"/>
      <c r="T47" s="24"/>
      <c r="U47" s="24"/>
      <c r="V47" s="24"/>
      <c r="W47" s="24"/>
      <c r="X47" s="24"/>
      <c r="Y47" s="24"/>
      <c r="Z47" s="24"/>
    </row>
    <row r="48">
      <c r="A48" s="6" t="s">
        <v>135</v>
      </c>
      <c r="B48" s="19" t="s">
        <v>136</v>
      </c>
      <c r="C48" s="10"/>
      <c r="D48" s="11"/>
      <c r="E48" s="10"/>
      <c r="F48" s="6"/>
      <c r="G48" s="20" t="s">
        <v>137</v>
      </c>
      <c r="H48" s="18"/>
      <c r="I48" s="15" t="s">
        <v>138</v>
      </c>
      <c r="J48" s="24"/>
      <c r="K48" s="24"/>
      <c r="L48" s="24"/>
      <c r="M48" s="24"/>
      <c r="N48" s="24"/>
      <c r="O48" s="24"/>
      <c r="P48" s="24"/>
      <c r="Q48" s="24"/>
      <c r="R48" s="24"/>
      <c r="S48" s="24"/>
      <c r="T48" s="24"/>
      <c r="U48" s="24"/>
      <c r="V48" s="24"/>
      <c r="W48" s="24"/>
      <c r="X48" s="24"/>
      <c r="Y48" s="24"/>
      <c r="Z48" s="24"/>
    </row>
    <row r="49">
      <c r="A49" s="6" t="s">
        <v>139</v>
      </c>
      <c r="B49" s="19" t="s">
        <v>140</v>
      </c>
      <c r="C49" s="10"/>
      <c r="D49" s="11"/>
      <c r="E49" s="10"/>
      <c r="F49" s="6"/>
      <c r="G49" s="20" t="s">
        <v>133</v>
      </c>
      <c r="H49" s="18"/>
      <c r="I49" s="15" t="s">
        <v>141</v>
      </c>
      <c r="J49" s="24"/>
      <c r="K49" s="24"/>
      <c r="L49" s="24"/>
      <c r="M49" s="24"/>
      <c r="N49" s="24"/>
      <c r="O49" s="24"/>
      <c r="P49" s="24"/>
      <c r="Q49" s="24"/>
      <c r="R49" s="24"/>
      <c r="S49" s="24"/>
      <c r="T49" s="24"/>
      <c r="U49" s="24"/>
      <c r="V49" s="24"/>
      <c r="W49" s="24"/>
      <c r="X49" s="24"/>
      <c r="Y49" s="24"/>
      <c r="Z49" s="24"/>
    </row>
    <row r="50">
      <c r="A50" s="6" t="s">
        <v>142</v>
      </c>
      <c r="B50" s="19" t="s">
        <v>143</v>
      </c>
      <c r="C50" s="10"/>
      <c r="D50" s="11"/>
      <c r="E50" s="10"/>
      <c r="F50" s="6"/>
      <c r="G50" s="20" t="s">
        <v>144</v>
      </c>
      <c r="H50" s="18"/>
      <c r="I50" s="15" t="s">
        <v>145</v>
      </c>
      <c r="J50" s="24"/>
      <c r="K50" s="24"/>
      <c r="L50" s="24"/>
      <c r="M50" s="24"/>
      <c r="N50" s="24"/>
      <c r="O50" s="24"/>
      <c r="P50" s="24"/>
      <c r="Q50" s="24"/>
      <c r="R50" s="24"/>
      <c r="S50" s="24"/>
      <c r="T50" s="24"/>
      <c r="U50" s="24"/>
      <c r="V50" s="24"/>
      <c r="W50" s="24"/>
      <c r="X50" s="24"/>
      <c r="Y50" s="24"/>
      <c r="Z50" s="24"/>
    </row>
    <row r="51">
      <c r="A51" s="6" t="s">
        <v>146</v>
      </c>
      <c r="B51" s="19" t="s">
        <v>147</v>
      </c>
      <c r="C51" s="10"/>
      <c r="D51" s="11"/>
      <c r="E51" s="10"/>
      <c r="F51" s="6"/>
      <c r="G51" s="20" t="s">
        <v>144</v>
      </c>
      <c r="H51" s="18"/>
      <c r="I51" s="15" t="s">
        <v>148</v>
      </c>
      <c r="J51" s="24"/>
      <c r="K51" s="24"/>
      <c r="L51" s="24"/>
      <c r="M51" s="24"/>
      <c r="N51" s="24"/>
      <c r="O51" s="24"/>
      <c r="P51" s="24"/>
      <c r="Q51" s="24"/>
      <c r="R51" s="24"/>
      <c r="S51" s="24"/>
      <c r="T51" s="24"/>
      <c r="U51" s="24"/>
      <c r="V51" s="24"/>
      <c r="W51" s="24"/>
      <c r="X51" s="24"/>
      <c r="Y51" s="24"/>
      <c r="Z51" s="24"/>
    </row>
    <row r="52">
      <c r="A52" s="6" t="s">
        <v>149</v>
      </c>
      <c r="B52" s="19" t="s">
        <v>150</v>
      </c>
      <c r="C52" s="10"/>
      <c r="D52" s="11"/>
      <c r="E52" s="10"/>
      <c r="F52" s="6"/>
      <c r="G52" s="20" t="s">
        <v>137</v>
      </c>
      <c r="H52" s="18"/>
      <c r="I52" s="15" t="s">
        <v>151</v>
      </c>
      <c r="J52" s="24"/>
      <c r="K52" s="24"/>
      <c r="L52" s="24"/>
      <c r="M52" s="24"/>
      <c r="N52" s="24"/>
      <c r="O52" s="24"/>
      <c r="P52" s="24"/>
      <c r="Q52" s="24"/>
      <c r="R52" s="24"/>
      <c r="S52" s="24"/>
      <c r="T52" s="24"/>
      <c r="U52" s="24"/>
      <c r="V52" s="24"/>
      <c r="W52" s="24"/>
      <c r="X52" s="24"/>
      <c r="Y52" s="24"/>
      <c r="Z52" s="24"/>
    </row>
    <row r="53">
      <c r="A53" s="6" t="s">
        <v>152</v>
      </c>
      <c r="B53" s="19" t="s">
        <v>153</v>
      </c>
      <c r="C53" s="10"/>
      <c r="D53" s="11"/>
      <c r="E53" s="10"/>
      <c r="F53" s="6"/>
      <c r="G53" s="20" t="s">
        <v>137</v>
      </c>
      <c r="H53" s="18"/>
      <c r="I53" s="15" t="s">
        <v>151</v>
      </c>
      <c r="J53" s="24"/>
      <c r="K53" s="24"/>
      <c r="L53" s="24"/>
      <c r="M53" s="24"/>
      <c r="N53" s="24"/>
      <c r="O53" s="24"/>
      <c r="P53" s="24"/>
      <c r="Q53" s="24"/>
      <c r="R53" s="24"/>
      <c r="S53" s="24"/>
      <c r="T53" s="24"/>
      <c r="U53" s="24"/>
      <c r="V53" s="24"/>
      <c r="W53" s="24"/>
      <c r="X53" s="24"/>
      <c r="Y53" s="24"/>
      <c r="Z53" s="24"/>
    </row>
    <row r="54">
      <c r="A54" s="6" t="s">
        <v>154</v>
      </c>
      <c r="B54" s="19" t="s">
        <v>155</v>
      </c>
      <c r="C54" s="10"/>
      <c r="D54" s="11"/>
      <c r="E54" s="10"/>
      <c r="F54" s="6"/>
      <c r="G54" s="20" t="s">
        <v>137</v>
      </c>
      <c r="H54" s="18"/>
      <c r="I54" s="15" t="s">
        <v>151</v>
      </c>
      <c r="J54" s="24"/>
      <c r="K54" s="24"/>
      <c r="L54" s="24"/>
      <c r="M54" s="24"/>
      <c r="N54" s="24"/>
      <c r="O54" s="24"/>
      <c r="P54" s="24"/>
      <c r="Q54" s="24"/>
      <c r="R54" s="24"/>
      <c r="S54" s="24"/>
      <c r="T54" s="24"/>
      <c r="U54" s="24"/>
      <c r="V54" s="24"/>
      <c r="W54" s="24"/>
      <c r="X54" s="24"/>
      <c r="Y54" s="24"/>
      <c r="Z54" s="24"/>
    </row>
    <row r="55">
      <c r="A55" s="6" t="s">
        <v>156</v>
      </c>
      <c r="B55" s="19" t="s">
        <v>157</v>
      </c>
      <c r="C55" s="10"/>
      <c r="D55" s="11"/>
      <c r="E55" s="10"/>
      <c r="F55" s="6"/>
      <c r="G55" s="20" t="s">
        <v>137</v>
      </c>
      <c r="H55" s="18"/>
      <c r="I55" s="15" t="s">
        <v>151</v>
      </c>
      <c r="J55" s="24"/>
      <c r="K55" s="24"/>
      <c r="L55" s="24"/>
      <c r="M55" s="24"/>
      <c r="N55" s="24"/>
      <c r="O55" s="24"/>
      <c r="P55" s="24"/>
      <c r="Q55" s="24"/>
      <c r="R55" s="24"/>
      <c r="S55" s="24"/>
      <c r="T55" s="24"/>
      <c r="U55" s="24"/>
      <c r="V55" s="24"/>
      <c r="W55" s="24"/>
      <c r="X55" s="24"/>
      <c r="Y55" s="24"/>
      <c r="Z55" s="24"/>
    </row>
    <row r="56">
      <c r="A56" s="6" t="s">
        <v>158</v>
      </c>
      <c r="B56" s="19" t="s">
        <v>159</v>
      </c>
      <c r="C56" s="10"/>
      <c r="D56" s="11"/>
      <c r="E56" s="10"/>
      <c r="F56" s="6"/>
      <c r="G56" s="20" t="s">
        <v>160</v>
      </c>
      <c r="H56" s="18"/>
      <c r="I56" s="15" t="s">
        <v>161</v>
      </c>
      <c r="J56" s="24"/>
      <c r="K56" s="24"/>
      <c r="L56" s="24"/>
      <c r="M56" s="24"/>
      <c r="N56" s="24"/>
      <c r="O56" s="24"/>
      <c r="P56" s="24"/>
      <c r="Q56" s="24"/>
      <c r="R56" s="24"/>
      <c r="S56" s="24"/>
      <c r="T56" s="24"/>
      <c r="U56" s="24"/>
      <c r="V56" s="24"/>
      <c r="W56" s="24"/>
      <c r="X56" s="24"/>
      <c r="Y56" s="24"/>
      <c r="Z56" s="24"/>
    </row>
    <row r="57">
      <c r="A57" s="6" t="s">
        <v>162</v>
      </c>
      <c r="B57" s="19" t="s">
        <v>163</v>
      </c>
      <c r="C57" s="10"/>
      <c r="D57" s="11"/>
      <c r="E57" s="10"/>
      <c r="F57" s="6"/>
      <c r="G57" s="20" t="s">
        <v>160</v>
      </c>
      <c r="H57" s="18"/>
      <c r="I57" s="15" t="s">
        <v>161</v>
      </c>
      <c r="J57" s="24"/>
      <c r="K57" s="24"/>
      <c r="L57" s="24"/>
      <c r="M57" s="24"/>
      <c r="N57" s="24"/>
      <c r="O57" s="24"/>
      <c r="P57" s="24"/>
      <c r="Q57" s="24"/>
      <c r="R57" s="24"/>
      <c r="S57" s="24"/>
      <c r="T57" s="24"/>
      <c r="U57" s="24"/>
      <c r="V57" s="24"/>
      <c r="W57" s="24"/>
      <c r="X57" s="24"/>
      <c r="Y57" s="24"/>
      <c r="Z57" s="24"/>
    </row>
    <row r="58">
      <c r="A58" s="25" t="s">
        <v>164</v>
      </c>
      <c r="B58" s="19" t="s">
        <v>165</v>
      </c>
      <c r="C58" s="10"/>
      <c r="D58" s="11"/>
      <c r="E58" s="10"/>
      <c r="F58" s="6"/>
      <c r="G58" s="20" t="s">
        <v>166</v>
      </c>
      <c r="H58" s="18"/>
      <c r="I58" s="15" t="s">
        <v>167</v>
      </c>
      <c r="J58" s="24"/>
      <c r="K58" s="24"/>
      <c r="L58" s="24"/>
      <c r="M58" s="24"/>
      <c r="N58" s="24"/>
      <c r="O58" s="24"/>
      <c r="P58" s="24"/>
      <c r="Q58" s="24"/>
      <c r="R58" s="24"/>
      <c r="S58" s="24"/>
      <c r="T58" s="24"/>
      <c r="U58" s="24"/>
      <c r="V58" s="24"/>
      <c r="W58" s="24"/>
      <c r="X58" s="24"/>
      <c r="Y58" s="24"/>
      <c r="Z58" s="24"/>
    </row>
    <row r="59">
      <c r="A59" s="6" t="s">
        <v>168</v>
      </c>
      <c r="B59" s="19" t="s">
        <v>169</v>
      </c>
      <c r="C59" s="10"/>
      <c r="D59" s="11"/>
      <c r="E59" s="10"/>
      <c r="F59" s="6"/>
      <c r="G59" s="20" t="s">
        <v>160</v>
      </c>
      <c r="H59" s="18"/>
      <c r="I59" s="15" t="s">
        <v>170</v>
      </c>
      <c r="J59" s="24"/>
      <c r="K59" s="24"/>
      <c r="L59" s="24"/>
      <c r="M59" s="24"/>
      <c r="N59" s="24"/>
      <c r="O59" s="24"/>
      <c r="P59" s="24"/>
      <c r="Q59" s="24"/>
      <c r="R59" s="24"/>
      <c r="S59" s="24"/>
      <c r="T59" s="24"/>
      <c r="U59" s="24"/>
      <c r="V59" s="24"/>
      <c r="W59" s="24"/>
      <c r="X59" s="24"/>
      <c r="Y59" s="24"/>
      <c r="Z59" s="24"/>
    </row>
    <row r="60">
      <c r="A60" s="6" t="s">
        <v>171</v>
      </c>
      <c r="B60" s="19" t="s">
        <v>172</v>
      </c>
      <c r="C60" s="10"/>
      <c r="D60" s="11"/>
      <c r="E60" s="10"/>
      <c r="F60" s="6"/>
      <c r="G60" s="20" t="s">
        <v>160</v>
      </c>
      <c r="H60" s="18"/>
      <c r="I60" s="15" t="s">
        <v>170</v>
      </c>
      <c r="J60" s="24"/>
      <c r="K60" s="24"/>
      <c r="L60" s="24"/>
      <c r="M60" s="24"/>
      <c r="N60" s="24"/>
      <c r="O60" s="24"/>
      <c r="P60" s="24"/>
      <c r="Q60" s="24"/>
      <c r="R60" s="24"/>
      <c r="S60" s="24"/>
      <c r="T60" s="24"/>
      <c r="U60" s="24"/>
      <c r="V60" s="24"/>
      <c r="W60" s="24"/>
      <c r="X60" s="24"/>
      <c r="Y60" s="24"/>
      <c r="Z60" s="24"/>
    </row>
    <row r="61">
      <c r="A61" s="6" t="s">
        <v>173</v>
      </c>
      <c r="B61" s="19" t="s">
        <v>174</v>
      </c>
      <c r="C61" s="10"/>
      <c r="D61" s="11"/>
      <c r="E61" s="10"/>
      <c r="F61" s="6"/>
      <c r="G61" s="20" t="s">
        <v>160</v>
      </c>
      <c r="H61" s="18"/>
      <c r="I61" s="15" t="s">
        <v>170</v>
      </c>
      <c r="J61" s="24"/>
      <c r="K61" s="24"/>
      <c r="L61" s="24"/>
      <c r="M61" s="24"/>
      <c r="N61" s="24"/>
      <c r="O61" s="24"/>
      <c r="P61" s="24"/>
      <c r="Q61" s="24"/>
      <c r="R61" s="24"/>
      <c r="S61" s="24"/>
      <c r="T61" s="24"/>
      <c r="U61" s="24"/>
      <c r="V61" s="24"/>
      <c r="W61" s="24"/>
      <c r="X61" s="24"/>
      <c r="Y61" s="24"/>
      <c r="Z61" s="24"/>
    </row>
    <row r="62">
      <c r="A62" s="6" t="s">
        <v>175</v>
      </c>
      <c r="B62" s="19" t="s">
        <v>176</v>
      </c>
      <c r="C62" s="10"/>
      <c r="D62" s="11"/>
      <c r="E62" s="10"/>
      <c r="F62" s="6"/>
      <c r="G62" s="20" t="s">
        <v>160</v>
      </c>
      <c r="H62" s="18"/>
      <c r="I62" s="15" t="s">
        <v>177</v>
      </c>
      <c r="J62" s="24"/>
      <c r="K62" s="24"/>
      <c r="L62" s="24"/>
      <c r="M62" s="24"/>
      <c r="N62" s="24"/>
      <c r="O62" s="24"/>
      <c r="P62" s="24"/>
      <c r="Q62" s="24"/>
      <c r="R62" s="24"/>
      <c r="S62" s="24"/>
      <c r="T62" s="24"/>
      <c r="U62" s="24"/>
      <c r="V62" s="24"/>
      <c r="W62" s="24"/>
      <c r="X62" s="24"/>
      <c r="Y62" s="24"/>
      <c r="Z62" s="24"/>
    </row>
    <row r="63">
      <c r="A63" s="6"/>
      <c r="B63" s="19" t="s">
        <v>178</v>
      </c>
      <c r="C63" s="10"/>
      <c r="D63" s="11"/>
      <c r="E63" s="10"/>
      <c r="F63" s="6"/>
      <c r="G63" s="20" t="s">
        <v>179</v>
      </c>
      <c r="H63" s="18"/>
      <c r="I63" s="15" t="s">
        <v>180</v>
      </c>
      <c r="J63" s="24"/>
      <c r="K63" s="24"/>
      <c r="L63" s="24"/>
      <c r="M63" s="24"/>
      <c r="N63" s="24"/>
      <c r="O63" s="24"/>
      <c r="P63" s="24"/>
      <c r="Q63" s="24"/>
      <c r="R63" s="24"/>
      <c r="S63" s="24"/>
      <c r="T63" s="24"/>
      <c r="U63" s="24"/>
      <c r="V63" s="24"/>
      <c r="W63" s="24"/>
      <c r="X63" s="24"/>
      <c r="Y63" s="24"/>
      <c r="Z63" s="24"/>
    </row>
    <row r="64">
      <c r="A64" s="6"/>
      <c r="B64" s="19" t="s">
        <v>181</v>
      </c>
      <c r="C64" s="10"/>
      <c r="D64" s="11"/>
      <c r="E64" s="10"/>
      <c r="F64" s="6"/>
      <c r="G64" s="20" t="s">
        <v>182</v>
      </c>
      <c r="H64" s="18"/>
      <c r="I64" s="15" t="s">
        <v>183</v>
      </c>
      <c r="J64" s="24"/>
      <c r="K64" s="24"/>
      <c r="L64" s="24"/>
      <c r="M64" s="24"/>
      <c r="N64" s="24"/>
      <c r="O64" s="24"/>
      <c r="P64" s="24"/>
      <c r="Q64" s="24"/>
      <c r="R64" s="24"/>
      <c r="S64" s="24"/>
      <c r="T64" s="24"/>
      <c r="U64" s="24"/>
      <c r="V64" s="24"/>
      <c r="W64" s="24"/>
      <c r="X64" s="24"/>
      <c r="Y64" s="24"/>
      <c r="Z64" s="24"/>
    </row>
    <row r="65">
      <c r="A65" s="6"/>
      <c r="B65" s="19" t="s">
        <v>184</v>
      </c>
      <c r="C65" s="10"/>
      <c r="D65" s="11"/>
      <c r="E65" s="10"/>
      <c r="F65" s="6"/>
      <c r="G65" s="20" t="s">
        <v>179</v>
      </c>
      <c r="H65" s="18"/>
      <c r="I65" s="15" t="s">
        <v>185</v>
      </c>
      <c r="J65" s="24"/>
      <c r="K65" s="24"/>
      <c r="L65" s="24"/>
      <c r="M65" s="24"/>
      <c r="N65" s="24"/>
      <c r="O65" s="24"/>
      <c r="P65" s="24"/>
      <c r="Q65" s="24"/>
      <c r="R65" s="24"/>
      <c r="S65" s="24"/>
      <c r="T65" s="24"/>
      <c r="U65" s="24"/>
      <c r="V65" s="24"/>
      <c r="W65" s="24"/>
      <c r="X65" s="24"/>
      <c r="Y65" s="24"/>
      <c r="Z65" s="24"/>
    </row>
    <row r="66">
      <c r="A66" s="6"/>
      <c r="B66" s="19" t="s">
        <v>186</v>
      </c>
      <c r="C66" s="10"/>
      <c r="D66" s="11"/>
      <c r="E66" s="10"/>
      <c r="F66" s="6"/>
      <c r="G66" s="20" t="s">
        <v>182</v>
      </c>
      <c r="H66" s="18"/>
      <c r="I66" s="15" t="s">
        <v>187</v>
      </c>
      <c r="J66" s="24"/>
      <c r="K66" s="24"/>
      <c r="L66" s="24"/>
      <c r="M66" s="24"/>
      <c r="N66" s="24"/>
      <c r="O66" s="24"/>
      <c r="P66" s="24"/>
      <c r="Q66" s="24"/>
      <c r="R66" s="24"/>
      <c r="S66" s="24"/>
      <c r="T66" s="24"/>
      <c r="U66" s="24"/>
      <c r="V66" s="24"/>
      <c r="W66" s="24"/>
      <c r="X66" s="24"/>
      <c r="Y66" s="24"/>
      <c r="Z66" s="24"/>
    </row>
    <row r="67">
      <c r="A67" s="6"/>
      <c r="B67" s="19" t="s">
        <v>188</v>
      </c>
      <c r="C67" s="10"/>
      <c r="D67" s="11"/>
      <c r="E67" s="10"/>
      <c r="F67" s="6"/>
      <c r="G67" s="20" t="s">
        <v>189</v>
      </c>
      <c r="H67" s="18"/>
      <c r="I67" s="15" t="s">
        <v>190</v>
      </c>
      <c r="J67" s="24"/>
      <c r="K67" s="24"/>
      <c r="L67" s="24"/>
      <c r="M67" s="24"/>
      <c r="N67" s="24"/>
      <c r="O67" s="24"/>
      <c r="P67" s="24"/>
      <c r="Q67" s="24"/>
      <c r="R67" s="24"/>
      <c r="S67" s="24"/>
      <c r="T67" s="24"/>
      <c r="U67" s="24"/>
      <c r="V67" s="24"/>
      <c r="W67" s="24"/>
      <c r="X67" s="24"/>
      <c r="Y67" s="24"/>
      <c r="Z67" s="24"/>
    </row>
    <row r="68">
      <c r="A68" s="6"/>
      <c r="B68" s="19" t="s">
        <v>191</v>
      </c>
      <c r="C68" s="10"/>
      <c r="D68" s="11"/>
      <c r="E68" s="10"/>
      <c r="F68" s="6"/>
      <c r="G68" s="20" t="s">
        <v>192</v>
      </c>
      <c r="H68" s="18"/>
      <c r="I68" s="15" t="s">
        <v>193</v>
      </c>
      <c r="J68" s="24"/>
      <c r="K68" s="24"/>
      <c r="L68" s="24"/>
      <c r="M68" s="24"/>
      <c r="N68" s="24"/>
      <c r="O68" s="24"/>
      <c r="P68" s="24"/>
      <c r="Q68" s="24"/>
      <c r="R68" s="24"/>
      <c r="S68" s="24"/>
      <c r="T68" s="24"/>
      <c r="U68" s="24"/>
      <c r="V68" s="24"/>
      <c r="W68" s="24"/>
      <c r="X68" s="24"/>
      <c r="Y68" s="24"/>
      <c r="Z68" s="24"/>
    </row>
    <row r="69">
      <c r="A69" s="6"/>
      <c r="B69" s="19" t="s">
        <v>194</v>
      </c>
      <c r="C69" s="10"/>
      <c r="D69" s="11"/>
      <c r="E69" s="10"/>
      <c r="F69" s="6"/>
      <c r="G69" s="20" t="s">
        <v>195</v>
      </c>
      <c r="H69" s="18"/>
      <c r="I69" s="15" t="s">
        <v>196</v>
      </c>
      <c r="J69" s="24"/>
      <c r="K69" s="24"/>
      <c r="L69" s="24"/>
      <c r="M69" s="24"/>
      <c r="N69" s="24"/>
      <c r="O69" s="24"/>
      <c r="P69" s="24"/>
      <c r="Q69" s="24"/>
      <c r="R69" s="24"/>
      <c r="S69" s="24"/>
      <c r="T69" s="24"/>
      <c r="U69" s="24"/>
      <c r="V69" s="24"/>
      <c r="W69" s="24"/>
      <c r="X69" s="24"/>
      <c r="Y69" s="24"/>
      <c r="Z69" s="24"/>
    </row>
    <row r="70">
      <c r="A70" s="6"/>
      <c r="B70" s="19" t="s">
        <v>197</v>
      </c>
      <c r="C70" s="10"/>
      <c r="D70" s="11"/>
      <c r="E70" s="10"/>
      <c r="F70" s="6"/>
      <c r="G70" s="20" t="s">
        <v>195</v>
      </c>
      <c r="H70" s="18"/>
      <c r="I70" s="15" t="s">
        <v>198</v>
      </c>
      <c r="J70" s="24"/>
      <c r="K70" s="24"/>
      <c r="L70" s="24"/>
      <c r="M70" s="24"/>
      <c r="N70" s="24"/>
      <c r="O70" s="24"/>
      <c r="P70" s="24"/>
      <c r="Q70" s="24"/>
      <c r="R70" s="24"/>
      <c r="S70" s="24"/>
      <c r="T70" s="24"/>
      <c r="U70" s="24"/>
      <c r="V70" s="24"/>
      <c r="W70" s="24"/>
      <c r="X70" s="24"/>
      <c r="Y70" s="24"/>
      <c r="Z70" s="24"/>
    </row>
    <row r="71">
      <c r="A71" s="6"/>
      <c r="B71" s="19" t="s">
        <v>199</v>
      </c>
      <c r="C71" s="10"/>
      <c r="D71" s="11"/>
      <c r="E71" s="10"/>
      <c r="F71" s="6"/>
      <c r="G71" s="20" t="s">
        <v>195</v>
      </c>
      <c r="H71" s="18"/>
      <c r="I71" s="15" t="s">
        <v>200</v>
      </c>
      <c r="J71" s="24"/>
      <c r="K71" s="24"/>
      <c r="L71" s="24"/>
      <c r="M71" s="24"/>
      <c r="N71" s="24"/>
      <c r="O71" s="24"/>
      <c r="P71" s="24"/>
      <c r="Q71" s="24"/>
      <c r="R71" s="24"/>
      <c r="S71" s="24"/>
      <c r="T71" s="24"/>
      <c r="U71" s="24"/>
      <c r="V71" s="24"/>
      <c r="W71" s="24"/>
      <c r="X71" s="24"/>
      <c r="Y71" s="24"/>
      <c r="Z71" s="24"/>
    </row>
    <row r="72">
      <c r="A72" s="6"/>
      <c r="B72" s="19" t="s">
        <v>201</v>
      </c>
      <c r="C72" s="10"/>
      <c r="D72" s="11"/>
      <c r="E72" s="10"/>
      <c r="F72" s="6"/>
      <c r="G72" s="20" t="s">
        <v>192</v>
      </c>
      <c r="H72" s="18"/>
      <c r="I72" s="15" t="s">
        <v>202</v>
      </c>
      <c r="J72" s="24"/>
      <c r="K72" s="24"/>
      <c r="L72" s="24"/>
      <c r="M72" s="24"/>
      <c r="N72" s="24"/>
      <c r="O72" s="24"/>
      <c r="P72" s="24"/>
      <c r="Q72" s="24"/>
      <c r="R72" s="24"/>
      <c r="S72" s="24"/>
      <c r="T72" s="24"/>
      <c r="U72" s="24"/>
      <c r="V72" s="24"/>
      <c r="W72" s="24"/>
      <c r="X72" s="24"/>
      <c r="Y72" s="24"/>
      <c r="Z72" s="24"/>
    </row>
    <row r="73">
      <c r="A73" s="6"/>
      <c r="B73" s="19" t="s">
        <v>203</v>
      </c>
      <c r="C73" s="10"/>
      <c r="D73" s="11"/>
      <c r="E73" s="10"/>
      <c r="F73" s="6"/>
      <c r="G73" s="20" t="s">
        <v>192</v>
      </c>
      <c r="H73" s="18"/>
      <c r="I73" s="15" t="s">
        <v>204</v>
      </c>
      <c r="J73" s="24"/>
      <c r="K73" s="24"/>
      <c r="L73" s="24"/>
      <c r="M73" s="24"/>
      <c r="N73" s="24"/>
      <c r="O73" s="24"/>
      <c r="P73" s="24"/>
      <c r="Q73" s="24"/>
      <c r="R73" s="24"/>
      <c r="S73" s="24"/>
      <c r="T73" s="24"/>
      <c r="U73" s="24"/>
      <c r="V73" s="24"/>
      <c r="W73" s="24"/>
      <c r="X73" s="24"/>
      <c r="Y73" s="24"/>
      <c r="Z73" s="24"/>
    </row>
    <row r="74">
      <c r="A74" s="6"/>
      <c r="B74" s="19" t="s">
        <v>205</v>
      </c>
      <c r="C74" s="10"/>
      <c r="D74" s="11"/>
      <c r="E74" s="10"/>
      <c r="F74" s="6"/>
      <c r="G74" s="20" t="s">
        <v>192</v>
      </c>
      <c r="H74" s="18"/>
      <c r="I74" s="15" t="s">
        <v>204</v>
      </c>
      <c r="J74" s="24"/>
      <c r="K74" s="24"/>
      <c r="L74" s="24"/>
      <c r="M74" s="24"/>
      <c r="N74" s="24"/>
      <c r="O74" s="24"/>
      <c r="P74" s="24"/>
      <c r="Q74" s="24"/>
      <c r="R74" s="24"/>
      <c r="S74" s="24"/>
      <c r="T74" s="24"/>
      <c r="U74" s="24"/>
      <c r="V74" s="24"/>
      <c r="W74" s="24"/>
      <c r="X74" s="24"/>
      <c r="Y74" s="24"/>
      <c r="Z74" s="24"/>
    </row>
    <row r="75">
      <c r="A75" s="6"/>
      <c r="B75" s="19" t="s">
        <v>206</v>
      </c>
      <c r="C75" s="10"/>
      <c r="D75" s="11"/>
      <c r="E75" s="10"/>
      <c r="F75" s="6"/>
      <c r="G75" s="20" t="s">
        <v>192</v>
      </c>
      <c r="H75" s="18"/>
      <c r="I75" s="15" t="s">
        <v>204</v>
      </c>
      <c r="J75" s="24"/>
      <c r="K75" s="24"/>
      <c r="L75" s="24"/>
      <c r="M75" s="24"/>
      <c r="N75" s="24"/>
      <c r="O75" s="24"/>
      <c r="P75" s="24"/>
      <c r="Q75" s="24"/>
      <c r="R75" s="24"/>
      <c r="S75" s="24"/>
      <c r="T75" s="24"/>
      <c r="U75" s="24"/>
      <c r="V75" s="24"/>
      <c r="W75" s="24"/>
      <c r="X75" s="24"/>
      <c r="Y75" s="24"/>
      <c r="Z75" s="24"/>
    </row>
    <row r="76">
      <c r="A76" s="6"/>
      <c r="B76" s="19" t="s">
        <v>207</v>
      </c>
      <c r="C76" s="10"/>
      <c r="D76" s="11"/>
      <c r="E76" s="10"/>
      <c r="F76" s="6"/>
      <c r="G76" s="20" t="s">
        <v>192</v>
      </c>
      <c r="H76" s="18"/>
      <c r="I76" s="15" t="s">
        <v>204</v>
      </c>
      <c r="J76" s="24"/>
      <c r="K76" s="24"/>
      <c r="L76" s="24"/>
      <c r="M76" s="24"/>
      <c r="N76" s="24"/>
      <c r="O76" s="24"/>
      <c r="P76" s="24"/>
      <c r="Q76" s="24"/>
      <c r="R76" s="24"/>
      <c r="S76" s="24"/>
      <c r="T76" s="24"/>
      <c r="U76" s="24"/>
      <c r="V76" s="24"/>
      <c r="W76" s="24"/>
      <c r="X76" s="24"/>
      <c r="Y76" s="24"/>
      <c r="Z76" s="2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1.5"/>
    <col customWidth="1" min="2" max="2" width="13.63"/>
    <col customWidth="1" min="3" max="3" width="9.25"/>
    <col customWidth="1" min="4" max="4" width="11.5"/>
    <col customWidth="1" min="5" max="5" width="20.63"/>
    <col customWidth="1" min="6" max="6" width="33.13"/>
    <col customWidth="1" min="7" max="7" width="15.38"/>
    <col customWidth="1" min="8" max="8" width="19.13"/>
    <col customWidth="1" min="9" max="9" width="13.38"/>
    <col customWidth="1" min="10" max="10" width="45.63"/>
    <col customWidth="1" min="11" max="11" width="13.25"/>
    <col customWidth="1" min="12" max="12" width="17.63"/>
    <col customWidth="1" min="13" max="13" width="35.25"/>
    <col customWidth="1" min="14" max="17" width="17.25"/>
    <col customWidth="1" min="18" max="19" width="12.5"/>
    <col customWidth="1" min="21" max="21" width="13.75"/>
    <col customWidth="1" min="22" max="22" width="30.0"/>
    <col customWidth="1" min="23" max="23" width="17.88"/>
  </cols>
  <sheetData>
    <row r="1" ht="23.25" customHeight="1">
      <c r="A1" s="26" t="s">
        <v>208</v>
      </c>
      <c r="B1" s="27" t="s">
        <v>209</v>
      </c>
      <c r="C1" s="28" t="s">
        <v>210</v>
      </c>
      <c r="D1" s="26" t="s">
        <v>211</v>
      </c>
      <c r="E1" s="26" t="s">
        <v>212</v>
      </c>
      <c r="F1" s="27" t="s">
        <v>213</v>
      </c>
      <c r="G1" s="26" t="s">
        <v>214</v>
      </c>
      <c r="H1" s="26" t="s">
        <v>215</v>
      </c>
      <c r="I1" s="26" t="s">
        <v>216</v>
      </c>
      <c r="J1" s="29" t="s">
        <v>217</v>
      </c>
      <c r="K1" s="26" t="s">
        <v>218</v>
      </c>
      <c r="L1" s="26" t="s">
        <v>219</v>
      </c>
      <c r="M1" s="26" t="s">
        <v>220</v>
      </c>
      <c r="N1" s="26" t="s">
        <v>221</v>
      </c>
      <c r="O1" s="26" t="s">
        <v>222</v>
      </c>
      <c r="P1" s="26" t="s">
        <v>223</v>
      </c>
      <c r="Q1" s="26" t="s">
        <v>224</v>
      </c>
      <c r="R1" s="26" t="s">
        <v>225</v>
      </c>
      <c r="S1" s="26" t="s">
        <v>226</v>
      </c>
      <c r="T1" s="30" t="s">
        <v>227</v>
      </c>
      <c r="U1" s="26" t="s">
        <v>228</v>
      </c>
      <c r="V1" s="31" t="s">
        <v>229</v>
      </c>
      <c r="W1" s="31" t="s">
        <v>230</v>
      </c>
    </row>
    <row r="2" ht="45.0" hidden="1" customHeight="1">
      <c r="A2" s="32" t="s">
        <v>231</v>
      </c>
      <c r="B2" s="33" t="str">
        <f t="shared" ref="B2:B17" si="1">HYPERLINK("https://imagens.imgnet.com.br/f/imaginarium/"&amp;C2&amp;";"&amp;C2,image("https://imagens.imgnet.com.br/f/imaginarium/"&amp;C2&amp;"))"))</f>
        <v/>
      </c>
      <c r="C2" s="34" t="s">
        <v>232</v>
      </c>
      <c r="D2" s="35" t="s">
        <v>233</v>
      </c>
      <c r="E2" s="35" t="s">
        <v>234</v>
      </c>
      <c r="F2" s="36" t="s">
        <v>235</v>
      </c>
      <c r="G2" s="37"/>
      <c r="H2" s="38" t="s">
        <v>236</v>
      </c>
      <c r="I2" s="38" t="s">
        <v>237</v>
      </c>
      <c r="J2" s="39" t="s">
        <v>238</v>
      </c>
      <c r="K2" s="38"/>
      <c r="L2" s="38" t="s">
        <v>239</v>
      </c>
      <c r="M2" s="40"/>
      <c r="N2" s="41">
        <v>45070.0</v>
      </c>
      <c r="O2" s="41">
        <f t="shared" ref="O2:O4" si="2">N2-90</f>
        <v>44980</v>
      </c>
      <c r="P2" s="37" t="s">
        <v>240</v>
      </c>
      <c r="Q2" s="37" t="s">
        <v>241</v>
      </c>
      <c r="R2" s="42"/>
      <c r="S2" s="42" t="b">
        <v>0</v>
      </c>
      <c r="T2" s="43" t="str">
        <f>IFERROR(__xludf.DUMMYFUNCTION("IFERROR(VLOOKUP(C2,IMPORTRANGE(""https://docs.google.com/spreadsheets/d/1RmEXtNg60OGvqZjyMxiYNPJ6S_kcz01v57qrHugDWVc/edit#gid=0"",""Chegadas!E:AQ""),19,0),"""")"),"")</f>
        <v/>
      </c>
      <c r="U2" s="44" t="s">
        <v>242</v>
      </c>
      <c r="V2" s="45"/>
      <c r="W2" s="46">
        <f t="shared" ref="W2:W25" si="3">N2</f>
        <v>45070</v>
      </c>
    </row>
    <row r="3" ht="45.0" hidden="1" customHeight="1">
      <c r="A3" s="32" t="s">
        <v>231</v>
      </c>
      <c r="B3" s="33" t="str">
        <f t="shared" si="1"/>
        <v/>
      </c>
      <c r="C3" s="34" t="s">
        <v>243</v>
      </c>
      <c r="D3" s="35" t="s">
        <v>233</v>
      </c>
      <c r="E3" s="35" t="s">
        <v>244</v>
      </c>
      <c r="F3" s="36" t="s">
        <v>245</v>
      </c>
      <c r="G3" s="37" t="s">
        <v>246</v>
      </c>
      <c r="H3" s="38" t="s">
        <v>236</v>
      </c>
      <c r="I3" s="38" t="s">
        <v>237</v>
      </c>
      <c r="J3" s="39" t="s">
        <v>247</v>
      </c>
      <c r="K3" s="38"/>
      <c r="L3" s="38" t="s">
        <v>239</v>
      </c>
      <c r="M3" s="40"/>
      <c r="N3" s="41">
        <v>45077.0</v>
      </c>
      <c r="O3" s="41">
        <f t="shared" si="2"/>
        <v>44987</v>
      </c>
      <c r="P3" s="37" t="s">
        <v>248</v>
      </c>
      <c r="Q3" s="37" t="s">
        <v>249</v>
      </c>
      <c r="R3" s="42"/>
      <c r="S3" s="42" t="b">
        <v>0</v>
      </c>
      <c r="T3" s="43" t="str">
        <f>IFERROR(__xludf.DUMMYFUNCTION("IFERROR(VLOOKUP(C3,IMPORTRANGE(""https://docs.google.com/spreadsheets/d/1RmEXtNg60OGvqZjyMxiYNPJ6S_kcz01v57qrHugDWVc/edit#gid=0"",""Chegadas!E:AQ""),19,0),"""")"),"")</f>
        <v/>
      </c>
      <c r="U3" s="44" t="s">
        <v>242</v>
      </c>
      <c r="V3" s="45"/>
      <c r="W3" s="46">
        <f t="shared" si="3"/>
        <v>45077</v>
      </c>
    </row>
    <row r="4" ht="45.0" hidden="1" customHeight="1">
      <c r="A4" s="32" t="s">
        <v>231</v>
      </c>
      <c r="B4" s="33" t="str">
        <f t="shared" si="1"/>
        <v/>
      </c>
      <c r="C4" s="34" t="s">
        <v>250</v>
      </c>
      <c r="D4" s="35" t="s">
        <v>251</v>
      </c>
      <c r="E4" s="35" t="s">
        <v>252</v>
      </c>
      <c r="F4" s="36" t="s">
        <v>253</v>
      </c>
      <c r="G4" s="37" t="s">
        <v>254</v>
      </c>
      <c r="H4" s="38" t="s">
        <v>236</v>
      </c>
      <c r="I4" s="38" t="s">
        <v>237</v>
      </c>
      <c r="J4" s="39" t="s">
        <v>255</v>
      </c>
      <c r="K4" s="38"/>
      <c r="L4" s="38" t="s">
        <v>239</v>
      </c>
      <c r="M4" s="40"/>
      <c r="N4" s="41">
        <v>45072.0</v>
      </c>
      <c r="O4" s="41">
        <f t="shared" si="2"/>
        <v>44982</v>
      </c>
      <c r="P4" s="37" t="s">
        <v>256</v>
      </c>
      <c r="Q4" s="37" t="s">
        <v>257</v>
      </c>
      <c r="R4" s="42"/>
      <c r="S4" s="42" t="b">
        <v>0</v>
      </c>
      <c r="T4" s="43" t="str">
        <f>IFERROR(__xludf.DUMMYFUNCTION("IFERROR(VLOOKUP(C4,IMPORTRANGE(""https://docs.google.com/spreadsheets/d/1RmEXtNg60OGvqZjyMxiYNPJ6S_kcz01v57qrHugDWVc/edit#gid=0"",""Chegadas!E:AQ""),19,0),"""")"),"")</f>
        <v/>
      </c>
      <c r="U4" s="44" t="s">
        <v>242</v>
      </c>
      <c r="V4" s="45"/>
      <c r="W4" s="46">
        <f t="shared" si="3"/>
        <v>45072</v>
      </c>
    </row>
    <row r="5" ht="45.0" hidden="1" customHeight="1">
      <c r="A5" s="32" t="s">
        <v>231</v>
      </c>
      <c r="B5" s="33" t="str">
        <f t="shared" si="1"/>
        <v/>
      </c>
      <c r="C5" s="34" t="s">
        <v>258</v>
      </c>
      <c r="D5" s="35" t="s">
        <v>259</v>
      </c>
      <c r="E5" s="35" t="s">
        <v>260</v>
      </c>
      <c r="F5" s="36" t="s">
        <v>261</v>
      </c>
      <c r="G5" s="37" t="s">
        <v>262</v>
      </c>
      <c r="H5" s="38" t="s">
        <v>50</v>
      </c>
      <c r="I5" s="38" t="s">
        <v>263</v>
      </c>
      <c r="J5" s="47" t="s">
        <v>264</v>
      </c>
      <c r="K5" s="38"/>
      <c r="L5" s="38" t="s">
        <v>265</v>
      </c>
      <c r="M5" s="40"/>
      <c r="N5" s="37" t="s">
        <v>266</v>
      </c>
      <c r="O5" s="37"/>
      <c r="P5" s="37" t="s">
        <v>267</v>
      </c>
      <c r="Q5" s="37" t="s">
        <v>268</v>
      </c>
      <c r="R5" s="42"/>
      <c r="S5" s="42" t="b">
        <v>0</v>
      </c>
      <c r="T5" s="43" t="str">
        <f>IFERROR(__xludf.DUMMYFUNCTION("IFERROR(VLOOKUP(C5,IMPORTRANGE(""https://docs.google.com/spreadsheets/d/1RmEXtNg60OGvqZjyMxiYNPJ6S_kcz01v57qrHugDWVc/edit#gid=0"",""Chegadas!E:AQ""),19,0),"""")"),"")</f>
        <v/>
      </c>
      <c r="U5" s="44" t="s">
        <v>242</v>
      </c>
      <c r="V5" s="45" t="s">
        <v>269</v>
      </c>
      <c r="W5" s="48" t="str">
        <f t="shared" si="3"/>
        <v>Certificado encerrado, validade do estoque do produto até 06/07/2023</v>
      </c>
    </row>
    <row r="6" ht="45.0" hidden="1" customHeight="1">
      <c r="A6" s="32" t="s">
        <v>231</v>
      </c>
      <c r="B6" s="33" t="str">
        <f t="shared" si="1"/>
        <v/>
      </c>
      <c r="C6" s="34" t="s">
        <v>270</v>
      </c>
      <c r="D6" s="35" t="s">
        <v>259</v>
      </c>
      <c r="E6" s="35" t="s">
        <v>271</v>
      </c>
      <c r="F6" s="36" t="s">
        <v>272</v>
      </c>
      <c r="G6" s="37" t="s">
        <v>273</v>
      </c>
      <c r="H6" s="38" t="s">
        <v>236</v>
      </c>
      <c r="I6" s="38" t="s">
        <v>274</v>
      </c>
      <c r="J6" s="47" t="s">
        <v>264</v>
      </c>
      <c r="K6" s="38"/>
      <c r="L6" s="38" t="s">
        <v>239</v>
      </c>
      <c r="M6" s="40"/>
      <c r="N6" s="49" t="s">
        <v>275</v>
      </c>
      <c r="O6" s="37" t="s">
        <v>276</v>
      </c>
      <c r="P6" s="37" t="s">
        <v>277</v>
      </c>
      <c r="Q6" s="37" t="s">
        <v>277</v>
      </c>
      <c r="R6" s="42"/>
      <c r="S6" s="42" t="b">
        <v>0</v>
      </c>
      <c r="T6" s="43" t="str">
        <f>IFERROR(__xludf.DUMMYFUNCTION("IFERROR(VLOOKUP(C6,IMPORTRANGE(""https://docs.google.com/spreadsheets/d/1RmEXtNg60OGvqZjyMxiYNPJ6S_kcz01v57qrHugDWVc/edit#gid=0"",""Chegadas!E:AQ""),19,0),"""")"),"")</f>
        <v/>
      </c>
      <c r="U6" s="44" t="s">
        <v>242</v>
      </c>
      <c r="V6" s="45" t="s">
        <v>61</v>
      </c>
      <c r="W6" s="48" t="str">
        <f t="shared" si="3"/>
        <v>Item não certificado</v>
      </c>
    </row>
    <row r="7" ht="45.0" hidden="1" customHeight="1">
      <c r="A7" s="32" t="s">
        <v>231</v>
      </c>
      <c r="B7" s="33" t="str">
        <f t="shared" si="1"/>
        <v/>
      </c>
      <c r="C7" s="34" t="s">
        <v>278</v>
      </c>
      <c r="D7" s="35" t="s">
        <v>279</v>
      </c>
      <c r="E7" s="35" t="s">
        <v>280</v>
      </c>
      <c r="F7" s="36" t="s">
        <v>281</v>
      </c>
      <c r="G7" s="37" t="s">
        <v>262</v>
      </c>
      <c r="H7" s="38" t="s">
        <v>46</v>
      </c>
      <c r="I7" s="38" t="s">
        <v>282</v>
      </c>
      <c r="J7" s="47" t="s">
        <v>264</v>
      </c>
      <c r="K7" s="38"/>
      <c r="L7" s="38" t="s">
        <v>265</v>
      </c>
      <c r="M7" s="40"/>
      <c r="N7" s="35" t="s">
        <v>283</v>
      </c>
      <c r="O7" s="37" t="s">
        <v>284</v>
      </c>
      <c r="P7" s="37" t="s">
        <v>285</v>
      </c>
      <c r="Q7" s="37" t="s">
        <v>277</v>
      </c>
      <c r="R7" s="35" t="s">
        <v>286</v>
      </c>
      <c r="S7" s="45" t="b">
        <v>0</v>
      </c>
      <c r="T7" s="43" t="str">
        <f>IFERROR(__xludf.DUMMYFUNCTION("IFERROR(VLOOKUP(C7,IMPORTRANGE(""https://docs.google.com/spreadsheets/d/1RmEXtNg60OGvqZjyMxiYNPJ6S_kcz01v57qrHugDWVc/edit#gid=0"",""Chegadas!E:AQ""),19,0),"""")"),"")</f>
        <v/>
      </c>
      <c r="U7" s="44" t="s">
        <v>242</v>
      </c>
      <c r="V7" s="45" t="s">
        <v>287</v>
      </c>
      <c r="W7" s="48" t="str">
        <f t="shared" si="3"/>
        <v>Até o final do lote</v>
      </c>
    </row>
    <row r="8" ht="45.0" hidden="1" customHeight="1">
      <c r="A8" s="32" t="s">
        <v>231</v>
      </c>
      <c r="B8" s="33" t="str">
        <f t="shared" si="1"/>
        <v/>
      </c>
      <c r="C8" s="34" t="s">
        <v>288</v>
      </c>
      <c r="D8" s="35" t="s">
        <v>279</v>
      </c>
      <c r="E8" s="35" t="s">
        <v>289</v>
      </c>
      <c r="F8" s="36" t="s">
        <v>290</v>
      </c>
      <c r="G8" s="37" t="s">
        <v>291</v>
      </c>
      <c r="H8" s="38" t="s">
        <v>292</v>
      </c>
      <c r="I8" s="38" t="s">
        <v>293</v>
      </c>
      <c r="J8" s="47" t="s">
        <v>264</v>
      </c>
      <c r="K8" s="38"/>
      <c r="L8" s="38" t="s">
        <v>265</v>
      </c>
      <c r="M8" s="40"/>
      <c r="N8" s="50">
        <v>43892.0</v>
      </c>
      <c r="O8" s="37"/>
      <c r="P8" s="37" t="s">
        <v>294</v>
      </c>
      <c r="Q8" s="37" t="s">
        <v>277</v>
      </c>
      <c r="R8" s="35" t="s">
        <v>286</v>
      </c>
      <c r="S8" s="45" t="b">
        <v>1</v>
      </c>
      <c r="T8" s="43" t="str">
        <f>IFERROR(__xludf.DUMMYFUNCTION("IFERROR(VLOOKUP(C8,IMPORTRANGE(""https://docs.google.com/spreadsheets/d/1RmEXtNg60OGvqZjyMxiYNPJ6S_kcz01v57qrHugDWVc/edit#gid=0"",""Chegadas!E:AQ""),19,0),"""")"),"")</f>
        <v/>
      </c>
      <c r="U8" s="44" t="s">
        <v>242</v>
      </c>
      <c r="V8" s="45" t="s">
        <v>295</v>
      </c>
      <c r="W8" s="46">
        <f t="shared" si="3"/>
        <v>43892</v>
      </c>
    </row>
    <row r="9" ht="45.0" hidden="1" customHeight="1">
      <c r="A9" s="32" t="s">
        <v>231</v>
      </c>
      <c r="B9" s="33" t="str">
        <f t="shared" si="1"/>
        <v/>
      </c>
      <c r="C9" s="34" t="s">
        <v>296</v>
      </c>
      <c r="D9" s="35" t="s">
        <v>279</v>
      </c>
      <c r="E9" s="35" t="s">
        <v>289</v>
      </c>
      <c r="F9" s="36" t="s">
        <v>297</v>
      </c>
      <c r="G9" s="37" t="s">
        <v>291</v>
      </c>
      <c r="H9" s="38" t="s">
        <v>292</v>
      </c>
      <c r="I9" s="38" t="s">
        <v>293</v>
      </c>
      <c r="J9" s="47" t="s">
        <v>264</v>
      </c>
      <c r="K9" s="38"/>
      <c r="L9" s="38" t="s">
        <v>265</v>
      </c>
      <c r="M9" s="40"/>
      <c r="N9" s="50">
        <v>43892.0</v>
      </c>
      <c r="O9" s="37"/>
      <c r="P9" s="37" t="s">
        <v>294</v>
      </c>
      <c r="Q9" s="37" t="s">
        <v>277</v>
      </c>
      <c r="R9" s="35" t="s">
        <v>286</v>
      </c>
      <c r="S9" s="45" t="b">
        <v>1</v>
      </c>
      <c r="T9" s="43" t="str">
        <f>IFERROR(__xludf.DUMMYFUNCTION("IFERROR(VLOOKUP(C9,IMPORTRANGE(""https://docs.google.com/spreadsheets/d/1RmEXtNg60OGvqZjyMxiYNPJ6S_kcz01v57qrHugDWVc/edit#gid=0"",""Chegadas!E:AQ""),19,0),"""")"),"")</f>
        <v/>
      </c>
      <c r="U9" s="44" t="s">
        <v>242</v>
      </c>
      <c r="V9" s="45" t="s">
        <v>295</v>
      </c>
      <c r="W9" s="46">
        <f t="shared" si="3"/>
        <v>43892</v>
      </c>
    </row>
    <row r="10" ht="45.0" hidden="1" customHeight="1">
      <c r="A10" s="32" t="s">
        <v>231</v>
      </c>
      <c r="B10" s="33" t="str">
        <f t="shared" si="1"/>
        <v/>
      </c>
      <c r="C10" s="34" t="s">
        <v>298</v>
      </c>
      <c r="D10" s="35" t="s">
        <v>279</v>
      </c>
      <c r="E10" s="35" t="s">
        <v>299</v>
      </c>
      <c r="F10" s="36" t="s">
        <v>300</v>
      </c>
      <c r="G10" s="37" t="s">
        <v>291</v>
      </c>
      <c r="H10" s="38" t="s">
        <v>301</v>
      </c>
      <c r="I10" s="38" t="s">
        <v>302</v>
      </c>
      <c r="J10" s="47" t="s">
        <v>264</v>
      </c>
      <c r="K10" s="38"/>
      <c r="L10" s="38" t="s">
        <v>303</v>
      </c>
      <c r="M10" s="40"/>
      <c r="N10" s="50">
        <v>44266.0</v>
      </c>
      <c r="O10" s="37"/>
      <c r="P10" s="37" t="s">
        <v>304</v>
      </c>
      <c r="Q10" s="37" t="s">
        <v>277</v>
      </c>
      <c r="R10" s="35" t="s">
        <v>286</v>
      </c>
      <c r="S10" s="45" t="b">
        <v>1</v>
      </c>
      <c r="T10" s="43" t="str">
        <f>IFERROR(__xludf.DUMMYFUNCTION("IFERROR(VLOOKUP(C10,IMPORTRANGE(""https://docs.google.com/spreadsheets/d/1RmEXtNg60OGvqZjyMxiYNPJ6S_kcz01v57qrHugDWVc/edit#gid=0"",""Chegadas!E:AQ""),19,0),"""")"),"")</f>
        <v/>
      </c>
      <c r="U10" s="44" t="s">
        <v>242</v>
      </c>
      <c r="V10" s="45" t="s">
        <v>305</v>
      </c>
      <c r="W10" s="46">
        <f t="shared" si="3"/>
        <v>44266</v>
      </c>
    </row>
    <row r="11" ht="45.0" hidden="1" customHeight="1">
      <c r="A11" s="32" t="s">
        <v>231</v>
      </c>
      <c r="B11" s="33" t="str">
        <f t="shared" si="1"/>
        <v/>
      </c>
      <c r="C11" s="34" t="s">
        <v>306</v>
      </c>
      <c r="D11" s="35" t="s">
        <v>279</v>
      </c>
      <c r="E11" s="35" t="s">
        <v>299</v>
      </c>
      <c r="F11" s="36" t="s">
        <v>307</v>
      </c>
      <c r="G11" s="37" t="s">
        <v>262</v>
      </c>
      <c r="H11" s="38" t="s">
        <v>301</v>
      </c>
      <c r="I11" s="38" t="s">
        <v>302</v>
      </c>
      <c r="J11" s="47" t="s">
        <v>264</v>
      </c>
      <c r="K11" s="38"/>
      <c r="L11" s="38" t="s">
        <v>303</v>
      </c>
      <c r="M11" s="40"/>
      <c r="N11" s="50">
        <v>44266.0</v>
      </c>
      <c r="O11" s="37"/>
      <c r="P11" s="37" t="s">
        <v>304</v>
      </c>
      <c r="Q11" s="37" t="s">
        <v>277</v>
      </c>
      <c r="R11" s="35" t="s">
        <v>286</v>
      </c>
      <c r="S11" s="45" t="b">
        <v>1</v>
      </c>
      <c r="T11" s="43" t="str">
        <f>IFERROR(__xludf.DUMMYFUNCTION("IFERROR(VLOOKUP(C11,IMPORTRANGE(""https://docs.google.com/spreadsheets/d/1RmEXtNg60OGvqZjyMxiYNPJ6S_kcz01v57qrHugDWVc/edit#gid=0"",""Chegadas!E:AQ""),19,0),"""")"),"")</f>
        <v/>
      </c>
      <c r="U11" s="44" t="s">
        <v>242</v>
      </c>
      <c r="V11" s="45" t="s">
        <v>305</v>
      </c>
      <c r="W11" s="46">
        <f t="shared" si="3"/>
        <v>44266</v>
      </c>
    </row>
    <row r="12" ht="45.0" hidden="1" customHeight="1">
      <c r="A12" s="32" t="s">
        <v>231</v>
      </c>
      <c r="B12" s="33" t="str">
        <f t="shared" si="1"/>
        <v/>
      </c>
      <c r="C12" s="34" t="s">
        <v>308</v>
      </c>
      <c r="D12" s="35" t="s">
        <v>309</v>
      </c>
      <c r="E12" s="35" t="s">
        <v>310</v>
      </c>
      <c r="F12" s="36" t="s">
        <v>311</v>
      </c>
      <c r="G12" s="37" t="s">
        <v>262</v>
      </c>
      <c r="H12" s="38" t="s">
        <v>46</v>
      </c>
      <c r="I12" s="38" t="s">
        <v>282</v>
      </c>
      <c r="J12" s="47" t="s">
        <v>312</v>
      </c>
      <c r="K12" s="38"/>
      <c r="L12" s="38" t="s">
        <v>313</v>
      </c>
      <c r="M12" s="40"/>
      <c r="N12" s="35" t="s">
        <v>283</v>
      </c>
      <c r="O12" s="37" t="s">
        <v>284</v>
      </c>
      <c r="P12" s="37" t="s">
        <v>314</v>
      </c>
      <c r="Q12" s="37" t="s">
        <v>277</v>
      </c>
      <c r="R12" s="35" t="s">
        <v>286</v>
      </c>
      <c r="S12" s="45" t="b">
        <v>1</v>
      </c>
      <c r="T12" s="43" t="str">
        <f>IFERROR(__xludf.DUMMYFUNCTION("IFERROR(VLOOKUP(C12,IMPORTRANGE(""https://docs.google.com/spreadsheets/d/1RmEXtNg60OGvqZjyMxiYNPJ6S_kcz01v57qrHugDWVc/edit#gid=0"",""Chegadas!E:AQ""),19,0),"""")"),"")</f>
        <v/>
      </c>
      <c r="U12" s="44" t="s">
        <v>242</v>
      </c>
      <c r="V12" s="45" t="s">
        <v>287</v>
      </c>
      <c r="W12" s="48" t="str">
        <f t="shared" si="3"/>
        <v>Até o final do lote</v>
      </c>
    </row>
    <row r="13" ht="45.0" hidden="1" customHeight="1">
      <c r="A13" s="32" t="s">
        <v>231</v>
      </c>
      <c r="B13" s="33" t="str">
        <f t="shared" si="1"/>
        <v/>
      </c>
      <c r="C13" s="34" t="s">
        <v>315</v>
      </c>
      <c r="D13" s="35" t="s">
        <v>316</v>
      </c>
      <c r="E13" s="35" t="s">
        <v>317</v>
      </c>
      <c r="F13" s="36" t="s">
        <v>318</v>
      </c>
      <c r="G13" s="37" t="s">
        <v>273</v>
      </c>
      <c r="H13" s="38" t="s">
        <v>236</v>
      </c>
      <c r="I13" s="38" t="s">
        <v>274</v>
      </c>
      <c r="J13" s="47" t="s">
        <v>319</v>
      </c>
      <c r="K13" s="38"/>
      <c r="L13" s="38" t="s">
        <v>239</v>
      </c>
      <c r="M13" s="40"/>
      <c r="N13" s="41">
        <v>45021.0</v>
      </c>
      <c r="O13" s="37" t="s">
        <v>276</v>
      </c>
      <c r="P13" s="35" t="s">
        <v>320</v>
      </c>
      <c r="Q13" s="35" t="s">
        <v>321</v>
      </c>
      <c r="R13" s="42"/>
      <c r="S13" s="42" t="b">
        <v>0</v>
      </c>
      <c r="T13" s="43" t="str">
        <f>IFERROR(__xludf.DUMMYFUNCTION("IFERROR(VLOOKUP(C13,IMPORTRANGE(""https://docs.google.com/spreadsheets/d/1RmEXtNg60OGvqZjyMxiYNPJ6S_kcz01v57qrHugDWVc/edit#gid=0"",""Chegadas!E:AQ""),19,0),"""")"),"")</f>
        <v/>
      </c>
      <c r="U13" s="44" t="s">
        <v>242</v>
      </c>
      <c r="V13" s="45" t="s">
        <v>322</v>
      </c>
      <c r="W13" s="46">
        <f t="shared" si="3"/>
        <v>45021</v>
      </c>
    </row>
    <row r="14" ht="45.0" hidden="1" customHeight="1">
      <c r="A14" s="32" t="s">
        <v>231</v>
      </c>
      <c r="B14" s="33" t="str">
        <f t="shared" si="1"/>
        <v/>
      </c>
      <c r="C14" s="34" t="s">
        <v>323</v>
      </c>
      <c r="D14" s="35" t="s">
        <v>309</v>
      </c>
      <c r="E14" s="35" t="s">
        <v>324</v>
      </c>
      <c r="F14" s="36" t="s">
        <v>325</v>
      </c>
      <c r="G14" s="37" t="s">
        <v>273</v>
      </c>
      <c r="H14" s="38" t="s">
        <v>236</v>
      </c>
      <c r="I14" s="38" t="s">
        <v>274</v>
      </c>
      <c r="J14" s="47" t="s">
        <v>264</v>
      </c>
      <c r="K14" s="38"/>
      <c r="L14" s="38" t="s">
        <v>239</v>
      </c>
      <c r="M14" s="40"/>
      <c r="N14" s="50">
        <v>44247.0</v>
      </c>
      <c r="O14" s="37" t="s">
        <v>276</v>
      </c>
      <c r="P14" s="37" t="s">
        <v>277</v>
      </c>
      <c r="Q14" s="37" t="s">
        <v>277</v>
      </c>
      <c r="R14" s="42"/>
      <c r="S14" s="42" t="b">
        <v>0</v>
      </c>
      <c r="T14" s="43" t="str">
        <f>IFERROR(__xludf.DUMMYFUNCTION("IFERROR(VLOOKUP(C14,IMPORTRANGE(""https://docs.google.com/spreadsheets/d/1RmEXtNg60OGvqZjyMxiYNPJ6S_kcz01v57qrHugDWVc/edit#gid=0"",""Chegadas!E:AQ""),19,0),"""")"),"")</f>
        <v/>
      </c>
      <c r="U14" s="44" t="s">
        <v>242</v>
      </c>
      <c r="V14" s="45" t="s">
        <v>61</v>
      </c>
      <c r="W14" s="46">
        <f t="shared" si="3"/>
        <v>44247</v>
      </c>
    </row>
    <row r="15" ht="45.0" hidden="1" customHeight="1">
      <c r="A15" s="32" t="s">
        <v>231</v>
      </c>
      <c r="B15" s="33" t="str">
        <f t="shared" si="1"/>
        <v/>
      </c>
      <c r="C15" s="34" t="s">
        <v>326</v>
      </c>
      <c r="D15" s="35" t="s">
        <v>309</v>
      </c>
      <c r="E15" s="35" t="s">
        <v>260</v>
      </c>
      <c r="F15" s="36" t="s">
        <v>327</v>
      </c>
      <c r="G15" s="37" t="s">
        <v>291</v>
      </c>
      <c r="H15" s="38" t="s">
        <v>50</v>
      </c>
      <c r="I15" s="38" t="s">
        <v>282</v>
      </c>
      <c r="J15" s="47" t="s">
        <v>264</v>
      </c>
      <c r="K15" s="38"/>
      <c r="L15" s="38" t="s">
        <v>265</v>
      </c>
      <c r="M15" s="40"/>
      <c r="N15" s="50">
        <v>44050.0</v>
      </c>
      <c r="O15" s="51">
        <v>44020.0</v>
      </c>
      <c r="P15" s="49" t="s">
        <v>328</v>
      </c>
      <c r="Q15" s="49" t="s">
        <v>329</v>
      </c>
      <c r="R15" s="42"/>
      <c r="S15" s="45" t="b">
        <v>1</v>
      </c>
      <c r="T15" s="43" t="str">
        <f>IFERROR(__xludf.DUMMYFUNCTION("IFERROR(VLOOKUP(C15,IMPORTRANGE(""https://docs.google.com/spreadsheets/d/1RmEXtNg60OGvqZjyMxiYNPJ6S_kcz01v57qrHugDWVc/edit#gid=0"",""Chegadas!E:AQ""),19,0),"""")"),"")</f>
        <v/>
      </c>
      <c r="U15" s="44" t="s">
        <v>242</v>
      </c>
      <c r="V15" s="45" t="s">
        <v>330</v>
      </c>
      <c r="W15" s="46">
        <f t="shared" si="3"/>
        <v>44050</v>
      </c>
    </row>
    <row r="16" ht="45.0" hidden="1" customHeight="1">
      <c r="A16" s="32" t="s">
        <v>231</v>
      </c>
      <c r="B16" s="33" t="str">
        <f t="shared" si="1"/>
        <v/>
      </c>
      <c r="C16" s="34" t="s">
        <v>331</v>
      </c>
      <c r="D16" s="35" t="s">
        <v>309</v>
      </c>
      <c r="E16" s="35" t="s">
        <v>332</v>
      </c>
      <c r="F16" s="36" t="s">
        <v>333</v>
      </c>
      <c r="G16" s="37" t="s">
        <v>262</v>
      </c>
      <c r="H16" s="38" t="s">
        <v>46</v>
      </c>
      <c r="I16" s="38" t="s">
        <v>282</v>
      </c>
      <c r="J16" s="47" t="s">
        <v>312</v>
      </c>
      <c r="K16" s="38"/>
      <c r="L16" s="38" t="s">
        <v>265</v>
      </c>
      <c r="M16" s="40"/>
      <c r="N16" s="35" t="s">
        <v>283</v>
      </c>
      <c r="O16" s="37" t="s">
        <v>284</v>
      </c>
      <c r="P16" s="37" t="s">
        <v>334</v>
      </c>
      <c r="Q16" s="37" t="s">
        <v>277</v>
      </c>
      <c r="R16" s="35" t="s">
        <v>286</v>
      </c>
      <c r="S16" s="42" t="b">
        <v>0</v>
      </c>
      <c r="T16" s="43" t="str">
        <f>IFERROR(__xludf.DUMMYFUNCTION("IFERROR(VLOOKUP(C16,IMPORTRANGE(""https://docs.google.com/spreadsheets/d/1RmEXtNg60OGvqZjyMxiYNPJ6S_kcz01v57qrHugDWVc/edit#gid=0"",""Chegadas!E:AQ""),19,0),"""")"),"")</f>
        <v/>
      </c>
      <c r="U16" s="44" t="s">
        <v>242</v>
      </c>
      <c r="V16" s="45" t="s">
        <v>287</v>
      </c>
      <c r="W16" s="48" t="str">
        <f t="shared" si="3"/>
        <v>Até o final do lote</v>
      </c>
    </row>
    <row r="17" ht="45.0" hidden="1" customHeight="1">
      <c r="A17" s="32" t="s">
        <v>231</v>
      </c>
      <c r="B17" s="33" t="str">
        <f t="shared" si="1"/>
        <v/>
      </c>
      <c r="C17" s="34" t="s">
        <v>335</v>
      </c>
      <c r="D17" s="35" t="s">
        <v>309</v>
      </c>
      <c r="E17" s="35" t="s">
        <v>336</v>
      </c>
      <c r="F17" s="36" t="s">
        <v>337</v>
      </c>
      <c r="G17" s="37" t="s">
        <v>262</v>
      </c>
      <c r="H17" s="38" t="s">
        <v>46</v>
      </c>
      <c r="I17" s="38" t="s">
        <v>282</v>
      </c>
      <c r="J17" s="47" t="s">
        <v>312</v>
      </c>
      <c r="K17" s="38"/>
      <c r="L17" s="38" t="s">
        <v>265</v>
      </c>
      <c r="M17" s="40"/>
      <c r="N17" s="35" t="s">
        <v>283</v>
      </c>
      <c r="O17" s="37" t="s">
        <v>284</v>
      </c>
      <c r="P17" s="37" t="s">
        <v>338</v>
      </c>
      <c r="Q17" s="37" t="s">
        <v>277</v>
      </c>
      <c r="R17" s="35" t="s">
        <v>286</v>
      </c>
      <c r="S17" s="45" t="b">
        <v>0</v>
      </c>
      <c r="T17" s="43" t="str">
        <f>IFERROR(__xludf.DUMMYFUNCTION("IFERROR(VLOOKUP(C17,IMPORTRANGE(""https://docs.google.com/spreadsheets/d/1RmEXtNg60OGvqZjyMxiYNPJ6S_kcz01v57qrHugDWVc/edit#gid=0"",""Chegadas!E:AQ""),19,0),"""")"),"")</f>
        <v/>
      </c>
      <c r="U17" s="44" t="s">
        <v>242</v>
      </c>
      <c r="V17" s="45" t="s">
        <v>287</v>
      </c>
      <c r="W17" s="48" t="str">
        <f t="shared" si="3"/>
        <v>Até o final do lote</v>
      </c>
    </row>
    <row r="18" ht="45.0" hidden="1" customHeight="1">
      <c r="A18" s="32" t="s">
        <v>231</v>
      </c>
      <c r="B18" s="52"/>
      <c r="C18" s="53" t="s">
        <v>339</v>
      </c>
      <c r="D18" s="35" t="s">
        <v>309</v>
      </c>
      <c r="E18" s="35" t="s">
        <v>260</v>
      </c>
      <c r="F18" s="36" t="s">
        <v>340</v>
      </c>
      <c r="G18" s="37" t="s">
        <v>262</v>
      </c>
      <c r="H18" s="38" t="s">
        <v>46</v>
      </c>
      <c r="I18" s="38" t="s">
        <v>341</v>
      </c>
      <c r="J18" s="47" t="s">
        <v>342</v>
      </c>
      <c r="K18" s="38"/>
      <c r="L18" s="38" t="s">
        <v>343</v>
      </c>
      <c r="M18" s="40"/>
      <c r="N18" s="35" t="s">
        <v>283</v>
      </c>
      <c r="O18" s="37" t="s">
        <v>284</v>
      </c>
      <c r="P18" s="37" t="s">
        <v>344</v>
      </c>
      <c r="Q18" s="37" t="s">
        <v>277</v>
      </c>
      <c r="R18" s="35" t="s">
        <v>286</v>
      </c>
      <c r="S18" s="45" t="b">
        <v>1</v>
      </c>
      <c r="T18" s="43" t="str">
        <f>IFERROR(__xludf.DUMMYFUNCTION("IFERROR(VLOOKUP(C18,IMPORTRANGE(""https://docs.google.com/spreadsheets/d/1RmEXtNg60OGvqZjyMxiYNPJ6S_kcz01v57qrHugDWVc/edit#gid=0"",""Chegadas!E:AQ""),19,0),"""")"),"")</f>
        <v/>
      </c>
      <c r="U18" s="44" t="s">
        <v>242</v>
      </c>
      <c r="V18" s="45" t="s">
        <v>345</v>
      </c>
      <c r="W18" s="48" t="str">
        <f t="shared" si="3"/>
        <v>Até o final do lote</v>
      </c>
    </row>
    <row r="19" ht="45.0" hidden="1" customHeight="1">
      <c r="A19" s="32" t="s">
        <v>231</v>
      </c>
      <c r="B19" s="33" t="str">
        <f t="shared" ref="B19:B41" si="4">HYPERLINK("https://imagens.imgnet.com.br/f/imaginarium/"&amp;C19&amp;";"&amp;C19,image("https://imagens.imgnet.com.br/f/imaginarium/"&amp;C19&amp;"))"))</f>
        <v/>
      </c>
      <c r="C19" s="34" t="s">
        <v>346</v>
      </c>
      <c r="D19" s="35" t="s">
        <v>309</v>
      </c>
      <c r="E19" s="35" t="s">
        <v>260</v>
      </c>
      <c r="F19" s="36" t="s">
        <v>347</v>
      </c>
      <c r="G19" s="37" t="s">
        <v>262</v>
      </c>
      <c r="H19" s="38" t="s">
        <v>50</v>
      </c>
      <c r="I19" s="38" t="s">
        <v>348</v>
      </c>
      <c r="J19" s="47" t="s">
        <v>264</v>
      </c>
      <c r="K19" s="38"/>
      <c r="L19" s="38" t="s">
        <v>265</v>
      </c>
      <c r="M19" s="40"/>
      <c r="N19" s="35" t="s">
        <v>283</v>
      </c>
      <c r="O19" s="37" t="s">
        <v>284</v>
      </c>
      <c r="P19" s="37" t="s">
        <v>349</v>
      </c>
      <c r="Q19" s="37" t="s">
        <v>277</v>
      </c>
      <c r="R19" s="35" t="s">
        <v>286</v>
      </c>
      <c r="S19" s="45" t="b">
        <v>1</v>
      </c>
      <c r="T19" s="43" t="str">
        <f>IFERROR(__xludf.DUMMYFUNCTION("IFERROR(VLOOKUP(C19,IMPORTRANGE(""https://docs.google.com/spreadsheets/d/1RmEXtNg60OGvqZjyMxiYNPJ6S_kcz01v57qrHugDWVc/edit#gid=0"",""Chegadas!E:AQ""),19,0),"""")"),"")</f>
        <v/>
      </c>
      <c r="U19" s="44" t="s">
        <v>242</v>
      </c>
      <c r="V19" s="45" t="s">
        <v>287</v>
      </c>
      <c r="W19" s="48" t="str">
        <f t="shared" si="3"/>
        <v>Até o final do lote</v>
      </c>
    </row>
    <row r="20" ht="45.0" hidden="1" customHeight="1">
      <c r="A20" s="32" t="s">
        <v>231</v>
      </c>
      <c r="B20" s="33" t="str">
        <f t="shared" si="4"/>
        <v/>
      </c>
      <c r="C20" s="34" t="s">
        <v>350</v>
      </c>
      <c r="D20" s="35" t="s">
        <v>351</v>
      </c>
      <c r="E20" s="35" t="s">
        <v>352</v>
      </c>
      <c r="F20" s="36" t="s">
        <v>353</v>
      </c>
      <c r="G20" s="37" t="s">
        <v>273</v>
      </c>
      <c r="H20" s="47" t="s">
        <v>354</v>
      </c>
      <c r="I20" s="38" t="s">
        <v>274</v>
      </c>
      <c r="J20" s="47" t="s">
        <v>264</v>
      </c>
      <c r="K20" s="38"/>
      <c r="L20" s="38" t="s">
        <v>355</v>
      </c>
      <c r="M20" s="40"/>
      <c r="N20" s="41">
        <v>44370.0</v>
      </c>
      <c r="O20" s="37" t="s">
        <v>276</v>
      </c>
      <c r="P20" s="37" t="s">
        <v>277</v>
      </c>
      <c r="Q20" s="37" t="s">
        <v>277</v>
      </c>
      <c r="R20" s="42"/>
      <c r="S20" s="45" t="b">
        <v>1</v>
      </c>
      <c r="T20" s="43" t="str">
        <f>IFERROR(__xludf.DUMMYFUNCTION("IFERROR(VLOOKUP(C20,IMPORTRANGE(""https://docs.google.com/spreadsheets/d/1RmEXtNg60OGvqZjyMxiYNPJ6S_kcz01v57qrHugDWVc/edit#gid=0"",""Chegadas!E:AQ""),19,0),"""")"),"")</f>
        <v/>
      </c>
      <c r="U20" s="44" t="s">
        <v>242</v>
      </c>
      <c r="V20" s="45" t="s">
        <v>277</v>
      </c>
      <c r="W20" s="46">
        <f t="shared" si="3"/>
        <v>44370</v>
      </c>
    </row>
    <row r="21" ht="45.0" hidden="1" customHeight="1">
      <c r="A21" s="32" t="s">
        <v>231</v>
      </c>
      <c r="B21" s="33" t="str">
        <f t="shared" si="4"/>
        <v/>
      </c>
      <c r="C21" s="34" t="s">
        <v>356</v>
      </c>
      <c r="D21" s="35" t="s">
        <v>309</v>
      </c>
      <c r="E21" s="35" t="s">
        <v>357</v>
      </c>
      <c r="F21" s="36" t="s">
        <v>358</v>
      </c>
      <c r="G21" s="37" t="s">
        <v>273</v>
      </c>
      <c r="H21" s="47" t="s">
        <v>354</v>
      </c>
      <c r="I21" s="38" t="s">
        <v>274</v>
      </c>
      <c r="J21" s="47" t="s">
        <v>264</v>
      </c>
      <c r="K21" s="38"/>
      <c r="L21" s="38" t="s">
        <v>239</v>
      </c>
      <c r="M21" s="40"/>
      <c r="N21" s="37" t="s">
        <v>275</v>
      </c>
      <c r="O21" s="37" t="s">
        <v>276</v>
      </c>
      <c r="P21" s="37" t="s">
        <v>277</v>
      </c>
      <c r="Q21" s="37" t="s">
        <v>277</v>
      </c>
      <c r="R21" s="42"/>
      <c r="S21" s="45" t="b">
        <v>1</v>
      </c>
      <c r="T21" s="43" t="str">
        <f>IFERROR(__xludf.DUMMYFUNCTION("IFERROR(VLOOKUP(C21,IMPORTRANGE(""https://docs.google.com/spreadsheets/d/1RmEXtNg60OGvqZjyMxiYNPJ6S_kcz01v57qrHugDWVc/edit#gid=0"",""Chegadas!E:AQ""),19,0),"""")"),"")</f>
        <v/>
      </c>
      <c r="U21" s="44" t="s">
        <v>242</v>
      </c>
      <c r="V21" s="45" t="s">
        <v>61</v>
      </c>
      <c r="W21" s="48" t="str">
        <f t="shared" si="3"/>
        <v>Item não certificado</v>
      </c>
    </row>
    <row r="22" ht="45.0" hidden="1" customHeight="1">
      <c r="A22" s="32" t="s">
        <v>231</v>
      </c>
      <c r="B22" s="33" t="str">
        <f t="shared" si="4"/>
        <v/>
      </c>
      <c r="C22" s="54" t="s">
        <v>359</v>
      </c>
      <c r="D22" s="35" t="s">
        <v>351</v>
      </c>
      <c r="E22" s="35" t="s">
        <v>360</v>
      </c>
      <c r="F22" s="36" t="s">
        <v>361</v>
      </c>
      <c r="G22" s="37" t="s">
        <v>273</v>
      </c>
      <c r="H22" s="38" t="s">
        <v>236</v>
      </c>
      <c r="I22" s="38" t="s">
        <v>274</v>
      </c>
      <c r="J22" s="47" t="s">
        <v>362</v>
      </c>
      <c r="K22" s="38"/>
      <c r="L22" s="38" t="s">
        <v>239</v>
      </c>
      <c r="M22" s="40"/>
      <c r="N22" s="37" t="s">
        <v>275</v>
      </c>
      <c r="O22" s="37" t="s">
        <v>276</v>
      </c>
      <c r="P22" s="37" t="s">
        <v>277</v>
      </c>
      <c r="Q22" s="37" t="s">
        <v>277</v>
      </c>
      <c r="R22" s="42"/>
      <c r="S22" s="42" t="b">
        <v>0</v>
      </c>
      <c r="T22" s="43" t="str">
        <f>IFERROR(__xludf.DUMMYFUNCTION("IFERROR(VLOOKUP(C22,IMPORTRANGE(""https://docs.google.com/spreadsheets/d/1RmEXtNg60OGvqZjyMxiYNPJ6S_kcz01v57qrHugDWVc/edit#gid=0"",""Chegadas!E:AQ""),19,0),"""")"),"")</f>
        <v/>
      </c>
      <c r="U22" s="44" t="s">
        <v>242</v>
      </c>
      <c r="V22" s="45" t="s">
        <v>61</v>
      </c>
      <c r="W22" s="48" t="str">
        <f t="shared" si="3"/>
        <v>Item não certificado</v>
      </c>
    </row>
    <row r="23" ht="45.0" hidden="1" customHeight="1">
      <c r="A23" s="32" t="s">
        <v>231</v>
      </c>
      <c r="B23" s="33" t="str">
        <f t="shared" si="4"/>
        <v/>
      </c>
      <c r="C23" s="55" t="s">
        <v>363</v>
      </c>
      <c r="D23" s="35" t="s">
        <v>364</v>
      </c>
      <c r="E23" s="35" t="s">
        <v>365</v>
      </c>
      <c r="F23" s="36" t="s">
        <v>366</v>
      </c>
      <c r="G23" s="37" t="s">
        <v>262</v>
      </c>
      <c r="H23" s="38" t="s">
        <v>46</v>
      </c>
      <c r="I23" s="38" t="s">
        <v>367</v>
      </c>
      <c r="J23" s="39" t="s">
        <v>368</v>
      </c>
      <c r="K23" s="38"/>
      <c r="L23" s="38" t="s">
        <v>343</v>
      </c>
      <c r="M23" s="40"/>
      <c r="N23" s="35" t="s">
        <v>283</v>
      </c>
      <c r="O23" s="37" t="s">
        <v>369</v>
      </c>
      <c r="P23" s="37" t="s">
        <v>370</v>
      </c>
      <c r="Q23" s="37" t="s">
        <v>277</v>
      </c>
      <c r="R23" s="35" t="s">
        <v>286</v>
      </c>
      <c r="S23" s="45" t="b">
        <v>0</v>
      </c>
      <c r="T23" s="43" t="str">
        <f>IFERROR(__xludf.DUMMYFUNCTION("IFERROR(VLOOKUP(C23,IMPORTRANGE(""https://docs.google.com/spreadsheets/d/1RmEXtNg60OGvqZjyMxiYNPJ6S_kcz01v57qrHugDWVc/edit#gid=0"",""Chegadas!E:AQ""),19,0),"""")"),"")</f>
        <v/>
      </c>
      <c r="U23" s="44" t="s">
        <v>242</v>
      </c>
      <c r="V23" s="45" t="s">
        <v>287</v>
      </c>
      <c r="W23" s="48" t="str">
        <f t="shared" si="3"/>
        <v>Até o final do lote</v>
      </c>
    </row>
    <row r="24" ht="45.0" hidden="1" customHeight="1">
      <c r="A24" s="32" t="s">
        <v>231</v>
      </c>
      <c r="B24" s="33" t="str">
        <f t="shared" si="4"/>
        <v/>
      </c>
      <c r="C24" s="34" t="s">
        <v>371</v>
      </c>
      <c r="D24" s="35" t="s">
        <v>372</v>
      </c>
      <c r="E24" s="35" t="s">
        <v>373</v>
      </c>
      <c r="F24" s="36" t="s">
        <v>374</v>
      </c>
      <c r="G24" s="37" t="s">
        <v>273</v>
      </c>
      <c r="H24" s="38" t="s">
        <v>236</v>
      </c>
      <c r="I24" s="38" t="s">
        <v>375</v>
      </c>
      <c r="J24" s="47" t="s">
        <v>376</v>
      </c>
      <c r="K24" s="38"/>
      <c r="L24" s="38" t="s">
        <v>239</v>
      </c>
      <c r="M24" s="40"/>
      <c r="N24" s="41">
        <v>45077.0</v>
      </c>
      <c r="O24" s="41">
        <f t="shared" ref="O24:O29" si="5">N24-90</f>
        <v>44987</v>
      </c>
      <c r="P24" s="37" t="s">
        <v>377</v>
      </c>
      <c r="Q24" s="35" t="s">
        <v>378</v>
      </c>
      <c r="R24" s="42"/>
      <c r="S24" s="45" t="b">
        <v>1</v>
      </c>
      <c r="T24" s="43" t="str">
        <f>IFERROR(__xludf.DUMMYFUNCTION("IFERROR(VLOOKUP(C24,IMPORTRANGE(""https://docs.google.com/spreadsheets/d/1RmEXtNg60OGvqZjyMxiYNPJ6S_kcz01v57qrHugDWVc/edit#gid=0"",""Chegadas!E:AQ""),19,0),"""")"),"")</f>
        <v/>
      </c>
      <c r="U24" s="44" t="s">
        <v>242</v>
      </c>
      <c r="V24" s="45" t="s">
        <v>379</v>
      </c>
      <c r="W24" s="46">
        <f t="shared" si="3"/>
        <v>45077</v>
      </c>
    </row>
    <row r="25" ht="45.0" hidden="1" customHeight="1">
      <c r="A25" s="32" t="s">
        <v>231</v>
      </c>
      <c r="B25" s="33" t="str">
        <f t="shared" si="4"/>
        <v/>
      </c>
      <c r="C25" s="56" t="s">
        <v>380</v>
      </c>
      <c r="D25" s="35" t="s">
        <v>372</v>
      </c>
      <c r="E25" s="35" t="s">
        <v>373</v>
      </c>
      <c r="F25" s="36" t="s">
        <v>381</v>
      </c>
      <c r="G25" s="37" t="s">
        <v>273</v>
      </c>
      <c r="H25" s="38" t="s">
        <v>236</v>
      </c>
      <c r="I25" s="38" t="s">
        <v>375</v>
      </c>
      <c r="J25" s="47" t="s">
        <v>382</v>
      </c>
      <c r="K25" s="38"/>
      <c r="L25" s="38" t="s">
        <v>239</v>
      </c>
      <c r="M25" s="40"/>
      <c r="N25" s="41">
        <v>45077.0</v>
      </c>
      <c r="O25" s="41">
        <f t="shared" si="5"/>
        <v>44987</v>
      </c>
      <c r="P25" s="37" t="s">
        <v>377</v>
      </c>
      <c r="Q25" s="35" t="s">
        <v>378</v>
      </c>
      <c r="R25" s="42"/>
      <c r="S25" s="45" t="b">
        <v>1</v>
      </c>
      <c r="T25" s="43" t="str">
        <f>IFERROR(__xludf.DUMMYFUNCTION("IFERROR(VLOOKUP(C25,IMPORTRANGE(""https://docs.google.com/spreadsheets/d/1RmEXtNg60OGvqZjyMxiYNPJ6S_kcz01v57qrHugDWVc/edit#gid=0"",""Chegadas!E:AQ""),19,0),"""")"),"")</f>
        <v/>
      </c>
      <c r="U25" s="44" t="s">
        <v>242</v>
      </c>
      <c r="V25" s="45" t="s">
        <v>379</v>
      </c>
      <c r="W25" s="46">
        <f t="shared" si="3"/>
        <v>45077</v>
      </c>
    </row>
    <row r="26" ht="45.0" customHeight="1">
      <c r="A26" s="32" t="s">
        <v>231</v>
      </c>
      <c r="B26" s="33" t="str">
        <f t="shared" si="4"/>
        <v/>
      </c>
      <c r="C26" s="53" t="s">
        <v>383</v>
      </c>
      <c r="D26" s="35" t="s">
        <v>384</v>
      </c>
      <c r="E26" s="35" t="s">
        <v>385</v>
      </c>
      <c r="F26" s="36" t="s">
        <v>386</v>
      </c>
      <c r="G26" s="37" t="s">
        <v>387</v>
      </c>
      <c r="H26" s="38" t="s">
        <v>388</v>
      </c>
      <c r="I26" s="38" t="s">
        <v>389</v>
      </c>
      <c r="J26" s="57" t="s">
        <v>390</v>
      </c>
      <c r="K26" s="58">
        <v>45770.0</v>
      </c>
      <c r="L26" s="38" t="s">
        <v>343</v>
      </c>
      <c r="M26" s="40"/>
      <c r="N26" s="50">
        <v>46153.0</v>
      </c>
      <c r="O26" s="50">
        <f t="shared" si="5"/>
        <v>46063</v>
      </c>
      <c r="P26" s="37" t="s">
        <v>391</v>
      </c>
      <c r="Q26" s="35" t="s">
        <v>392</v>
      </c>
      <c r="R26" s="35" t="s">
        <v>286</v>
      </c>
      <c r="S26" s="45" t="b">
        <v>1</v>
      </c>
      <c r="T26" s="43">
        <f>IFERROR(__xludf.DUMMYFUNCTION("IFERROR(VLOOKUP(C26,IMPORTRANGE(""https://docs.google.com/spreadsheets/d/1RmEXtNg60OGvqZjyMxiYNPJ6S_kcz01v57qrHugDWVc/edit#gid=0"",""Chegadas!E:AQ""),19,0),"""")"),44686.0)</f>
        <v>44686</v>
      </c>
      <c r="U26" s="59" t="s">
        <v>393</v>
      </c>
      <c r="V26" s="60" t="s">
        <v>394</v>
      </c>
      <c r="W26" s="61" t="str">
        <f>IFERROR(IF(U26="Ativo","Ativo",IF(U26="SKU excluído","Vencido",VLOOKUP(C26,Encerramentos!B:G,6,0))),"")</f>
        <v>Ativo</v>
      </c>
    </row>
    <row r="27" ht="45.0" hidden="1" customHeight="1">
      <c r="A27" s="32" t="s">
        <v>231</v>
      </c>
      <c r="B27" s="33" t="str">
        <f t="shared" si="4"/>
        <v/>
      </c>
      <c r="C27" s="53" t="s">
        <v>395</v>
      </c>
      <c r="D27" s="35" t="s">
        <v>396</v>
      </c>
      <c r="E27" s="35" t="s">
        <v>385</v>
      </c>
      <c r="F27" s="36" t="s">
        <v>397</v>
      </c>
      <c r="G27" s="37" t="s">
        <v>387</v>
      </c>
      <c r="H27" s="38" t="s">
        <v>388</v>
      </c>
      <c r="I27" s="38" t="s">
        <v>398</v>
      </c>
      <c r="J27" s="39" t="s">
        <v>399</v>
      </c>
      <c r="K27" s="38"/>
      <c r="L27" s="38" t="s">
        <v>343</v>
      </c>
      <c r="M27" s="40"/>
      <c r="N27" s="50">
        <v>45788.0</v>
      </c>
      <c r="O27" s="41">
        <f t="shared" si="5"/>
        <v>45698</v>
      </c>
      <c r="P27" s="35" t="s">
        <v>400</v>
      </c>
      <c r="Q27" s="35" t="s">
        <v>401</v>
      </c>
      <c r="R27" s="35" t="s">
        <v>286</v>
      </c>
      <c r="S27" s="45" t="b">
        <v>1</v>
      </c>
      <c r="T27" s="43" t="str">
        <f>IFERROR(__xludf.DUMMYFUNCTION("IFERROR(VLOOKUP(C27,IMPORTRANGE(""https://docs.google.com/spreadsheets/d/1RmEXtNg60OGvqZjyMxiYNPJ6S_kcz01v57qrHugDWVc/edit#gid=0"",""Chegadas!E:AQ""),19,0),"""")"),"")</f>
        <v/>
      </c>
      <c r="U27" s="44" t="s">
        <v>242</v>
      </c>
      <c r="V27" s="45" t="s">
        <v>402</v>
      </c>
      <c r="W27" s="46">
        <f t="shared" ref="W27:W46" si="6">N27</f>
        <v>45788</v>
      </c>
    </row>
    <row r="28" ht="45.0" hidden="1" customHeight="1">
      <c r="A28" s="32" t="s">
        <v>231</v>
      </c>
      <c r="B28" s="33" t="str">
        <f t="shared" si="4"/>
        <v/>
      </c>
      <c r="C28" s="53" t="s">
        <v>403</v>
      </c>
      <c r="D28" s="35" t="s">
        <v>404</v>
      </c>
      <c r="E28" s="35" t="s">
        <v>405</v>
      </c>
      <c r="F28" s="36" t="s">
        <v>406</v>
      </c>
      <c r="G28" s="37" t="s">
        <v>387</v>
      </c>
      <c r="H28" s="38" t="s">
        <v>236</v>
      </c>
      <c r="I28" s="38" t="s">
        <v>375</v>
      </c>
      <c r="J28" s="47" t="s">
        <v>407</v>
      </c>
      <c r="K28" s="38"/>
      <c r="L28" s="38" t="s">
        <v>239</v>
      </c>
      <c r="M28" s="40"/>
      <c r="N28" s="41">
        <v>45038.0</v>
      </c>
      <c r="O28" s="41">
        <f t="shared" si="5"/>
        <v>44948</v>
      </c>
      <c r="P28" s="37" t="s">
        <v>408</v>
      </c>
      <c r="Q28" s="37" t="s">
        <v>409</v>
      </c>
      <c r="R28" s="42"/>
      <c r="S28" s="45" t="b">
        <v>0</v>
      </c>
      <c r="T28" s="43" t="str">
        <f>IFERROR(__xludf.DUMMYFUNCTION("IFERROR(VLOOKUP(C28,IMPORTRANGE(""https://docs.google.com/spreadsheets/d/1RmEXtNg60OGvqZjyMxiYNPJ6S_kcz01v57qrHugDWVc/edit#gid=0"",""Chegadas!E:AQ""),19,0),"""")"),"")</f>
        <v/>
      </c>
      <c r="U28" s="44" t="s">
        <v>242</v>
      </c>
      <c r="V28" s="45" t="s">
        <v>410</v>
      </c>
      <c r="W28" s="46">
        <f t="shared" si="6"/>
        <v>45038</v>
      </c>
    </row>
    <row r="29" ht="45.0" hidden="1" customHeight="1">
      <c r="A29" s="32" t="s">
        <v>231</v>
      </c>
      <c r="B29" s="33" t="str">
        <f t="shared" si="4"/>
        <v/>
      </c>
      <c r="C29" s="34" t="s">
        <v>411</v>
      </c>
      <c r="D29" s="35" t="s">
        <v>404</v>
      </c>
      <c r="E29" s="35" t="s">
        <v>405</v>
      </c>
      <c r="F29" s="36" t="s">
        <v>412</v>
      </c>
      <c r="G29" s="37" t="s">
        <v>387</v>
      </c>
      <c r="H29" s="38" t="s">
        <v>236</v>
      </c>
      <c r="I29" s="38" t="s">
        <v>375</v>
      </c>
      <c r="J29" s="47" t="s">
        <v>413</v>
      </c>
      <c r="K29" s="38"/>
      <c r="L29" s="38" t="s">
        <v>239</v>
      </c>
      <c r="M29" s="40"/>
      <c r="N29" s="41">
        <v>45038.0</v>
      </c>
      <c r="O29" s="41">
        <f t="shared" si="5"/>
        <v>44948</v>
      </c>
      <c r="P29" s="37" t="s">
        <v>408</v>
      </c>
      <c r="Q29" s="37" t="s">
        <v>409</v>
      </c>
      <c r="R29" s="42"/>
      <c r="S29" s="45" t="b">
        <v>0</v>
      </c>
      <c r="T29" s="43" t="str">
        <f>IFERROR(__xludf.DUMMYFUNCTION("IFERROR(VLOOKUP(C29,IMPORTRANGE(""https://docs.google.com/spreadsheets/d/1RmEXtNg60OGvqZjyMxiYNPJ6S_kcz01v57qrHugDWVc/edit#gid=0"",""Chegadas!E:AQ""),19,0),"""")"),"")</f>
        <v/>
      </c>
      <c r="U29" s="44" t="s">
        <v>242</v>
      </c>
      <c r="V29" s="45" t="s">
        <v>410</v>
      </c>
      <c r="W29" s="46">
        <f t="shared" si="6"/>
        <v>45038</v>
      </c>
    </row>
    <row r="30" ht="45.0" hidden="1" customHeight="1">
      <c r="A30" s="32" t="s">
        <v>231</v>
      </c>
      <c r="B30" s="33" t="str">
        <f t="shared" si="4"/>
        <v/>
      </c>
      <c r="C30" s="55" t="s">
        <v>414</v>
      </c>
      <c r="D30" s="35" t="s">
        <v>404</v>
      </c>
      <c r="E30" s="35" t="s">
        <v>415</v>
      </c>
      <c r="F30" s="36" t="s">
        <v>416</v>
      </c>
      <c r="G30" s="37" t="s">
        <v>387</v>
      </c>
      <c r="H30" s="38" t="s">
        <v>388</v>
      </c>
      <c r="I30" s="38" t="s">
        <v>282</v>
      </c>
      <c r="J30" s="47" t="s">
        <v>417</v>
      </c>
      <c r="K30" s="38"/>
      <c r="L30" s="38" t="s">
        <v>343</v>
      </c>
      <c r="M30" s="40"/>
      <c r="N30" s="50">
        <v>44231.0</v>
      </c>
      <c r="O30" s="50">
        <v>44025.0</v>
      </c>
      <c r="P30" s="49" t="s">
        <v>418</v>
      </c>
      <c r="Q30" s="37" t="s">
        <v>419</v>
      </c>
      <c r="R30" s="42"/>
      <c r="S30" s="45" t="b">
        <v>1</v>
      </c>
      <c r="T30" s="43" t="str">
        <f>IFERROR(__xludf.DUMMYFUNCTION("IFERROR(VLOOKUP(C30,IMPORTRANGE(""https://docs.google.com/spreadsheets/d/1RmEXtNg60OGvqZjyMxiYNPJ6S_kcz01v57qrHugDWVc/edit#gid=0"",""Chegadas!E:AQ""),19,0),"""")"),"")</f>
        <v/>
      </c>
      <c r="U30" s="44" t="s">
        <v>242</v>
      </c>
      <c r="V30" s="45"/>
      <c r="W30" s="46">
        <f t="shared" si="6"/>
        <v>44231</v>
      </c>
    </row>
    <row r="31" ht="45.0" hidden="1" customHeight="1">
      <c r="A31" s="32" t="s">
        <v>231</v>
      </c>
      <c r="B31" s="33" t="str">
        <f t="shared" si="4"/>
        <v/>
      </c>
      <c r="C31" s="34" t="s">
        <v>420</v>
      </c>
      <c r="D31" s="35" t="s">
        <v>404</v>
      </c>
      <c r="E31" s="35" t="s">
        <v>421</v>
      </c>
      <c r="F31" s="36" t="s">
        <v>422</v>
      </c>
      <c r="G31" s="37" t="s">
        <v>273</v>
      </c>
      <c r="H31" s="38" t="s">
        <v>236</v>
      </c>
      <c r="I31" s="38" t="s">
        <v>375</v>
      </c>
      <c r="J31" s="47" t="s">
        <v>423</v>
      </c>
      <c r="K31" s="38"/>
      <c r="L31" s="38" t="s">
        <v>239</v>
      </c>
      <c r="M31" s="40"/>
      <c r="N31" s="41">
        <v>45007.0</v>
      </c>
      <c r="O31" s="41">
        <f>N31-90</f>
        <v>44917</v>
      </c>
      <c r="P31" s="37" t="s">
        <v>424</v>
      </c>
      <c r="Q31" s="37" t="s">
        <v>425</v>
      </c>
      <c r="R31" s="42"/>
      <c r="S31" s="45" t="b">
        <v>1</v>
      </c>
      <c r="T31" s="43" t="str">
        <f>IFERROR(__xludf.DUMMYFUNCTION("IFERROR(VLOOKUP(C31,IMPORTRANGE(""https://docs.google.com/spreadsheets/d/1RmEXtNg60OGvqZjyMxiYNPJ6S_kcz01v57qrHugDWVc/edit#gid=0"",""Chegadas!E:AQ""),19,0),"""")"),"")</f>
        <v/>
      </c>
      <c r="U31" s="44" t="s">
        <v>242</v>
      </c>
      <c r="V31" s="45" t="s">
        <v>426</v>
      </c>
      <c r="W31" s="46">
        <f t="shared" si="6"/>
        <v>45007</v>
      </c>
    </row>
    <row r="32" ht="45.0" hidden="1" customHeight="1">
      <c r="A32" s="32" t="s">
        <v>231</v>
      </c>
      <c r="B32" s="33" t="str">
        <f t="shared" si="4"/>
        <v/>
      </c>
      <c r="C32" s="34" t="s">
        <v>427</v>
      </c>
      <c r="D32" s="35" t="s">
        <v>428</v>
      </c>
      <c r="E32" s="35" t="s">
        <v>429</v>
      </c>
      <c r="F32" s="36" t="s">
        <v>430</v>
      </c>
      <c r="G32" s="37" t="s">
        <v>262</v>
      </c>
      <c r="H32" s="38" t="s">
        <v>431</v>
      </c>
      <c r="I32" s="38" t="s">
        <v>432</v>
      </c>
      <c r="J32" s="47" t="s">
        <v>433</v>
      </c>
      <c r="K32" s="38"/>
      <c r="L32" s="38" t="s">
        <v>265</v>
      </c>
      <c r="M32" s="40"/>
      <c r="N32" s="35" t="s">
        <v>283</v>
      </c>
      <c r="O32" s="41" t="s">
        <v>434</v>
      </c>
      <c r="P32" s="35" t="s">
        <v>435</v>
      </c>
      <c r="Q32" s="37" t="s">
        <v>61</v>
      </c>
      <c r="R32" s="35" t="s">
        <v>286</v>
      </c>
      <c r="S32" s="42" t="b">
        <v>0</v>
      </c>
      <c r="T32" s="43">
        <f>IFERROR(__xludf.DUMMYFUNCTION("IFERROR(VLOOKUP(C32,IMPORTRANGE(""https://docs.google.com/spreadsheets/d/1RmEXtNg60OGvqZjyMxiYNPJ6S_kcz01v57qrHugDWVc/edit#gid=0"",""Chegadas!E:AQ""),19,0),"""")"),44474.0)</f>
        <v>44474</v>
      </c>
      <c r="U32" s="44" t="s">
        <v>242</v>
      </c>
      <c r="V32" s="45" t="s">
        <v>436</v>
      </c>
      <c r="W32" s="48" t="str">
        <f t="shared" si="6"/>
        <v>Até o final do lote</v>
      </c>
    </row>
    <row r="33" ht="45.0" hidden="1" customHeight="1">
      <c r="A33" s="32" t="s">
        <v>231</v>
      </c>
      <c r="B33" s="33" t="str">
        <f t="shared" si="4"/>
        <v/>
      </c>
      <c r="C33" s="34" t="s">
        <v>437</v>
      </c>
      <c r="D33" s="35" t="s">
        <v>438</v>
      </c>
      <c r="E33" s="35" t="s">
        <v>439</v>
      </c>
      <c r="F33" s="36" t="s">
        <v>440</v>
      </c>
      <c r="G33" s="37" t="s">
        <v>273</v>
      </c>
      <c r="H33" s="38" t="s">
        <v>431</v>
      </c>
      <c r="I33" s="38" t="s">
        <v>432</v>
      </c>
      <c r="J33" s="47" t="s">
        <v>441</v>
      </c>
      <c r="K33" s="38"/>
      <c r="L33" s="38" t="s">
        <v>265</v>
      </c>
      <c r="M33" s="40"/>
      <c r="N33" s="41">
        <v>44597.0</v>
      </c>
      <c r="O33" s="41">
        <f>N33-90</f>
        <v>44507</v>
      </c>
      <c r="P33" s="37" t="s">
        <v>442</v>
      </c>
      <c r="Q33" s="37" t="s">
        <v>61</v>
      </c>
      <c r="R33" s="35" t="s">
        <v>286</v>
      </c>
      <c r="S33" s="45" t="b">
        <v>1</v>
      </c>
      <c r="T33" s="43" t="str">
        <f>IFERROR(__xludf.DUMMYFUNCTION("IFERROR(VLOOKUP(C33,IMPORTRANGE(""https://docs.google.com/spreadsheets/d/1RmEXtNg60OGvqZjyMxiYNPJ6S_kcz01v57qrHugDWVc/edit#gid=0"",""Chegadas!E:AQ""),19,0),"""")"),"")</f>
        <v/>
      </c>
      <c r="U33" s="44" t="s">
        <v>242</v>
      </c>
      <c r="V33" s="45" t="s">
        <v>443</v>
      </c>
      <c r="W33" s="46">
        <f t="shared" si="6"/>
        <v>44597</v>
      </c>
    </row>
    <row r="34" ht="45.0" hidden="1" customHeight="1">
      <c r="A34" s="32" t="s">
        <v>231</v>
      </c>
      <c r="B34" s="33" t="str">
        <f t="shared" si="4"/>
        <v/>
      </c>
      <c r="C34" s="62" t="s">
        <v>444</v>
      </c>
      <c r="D34" s="35" t="s">
        <v>445</v>
      </c>
      <c r="E34" s="35" t="s">
        <v>260</v>
      </c>
      <c r="F34" s="36" t="s">
        <v>446</v>
      </c>
      <c r="G34" s="37" t="s">
        <v>262</v>
      </c>
      <c r="H34" s="38" t="s">
        <v>46</v>
      </c>
      <c r="I34" s="38" t="s">
        <v>447</v>
      </c>
      <c r="J34" s="47" t="s">
        <v>448</v>
      </c>
      <c r="K34" s="38"/>
      <c r="L34" s="38" t="s">
        <v>265</v>
      </c>
      <c r="M34" s="40"/>
      <c r="N34" s="35" t="s">
        <v>283</v>
      </c>
      <c r="O34" s="41" t="s">
        <v>434</v>
      </c>
      <c r="P34" s="37" t="s">
        <v>449</v>
      </c>
      <c r="Q34" s="37" t="s">
        <v>61</v>
      </c>
      <c r="R34" s="35" t="s">
        <v>286</v>
      </c>
      <c r="S34" s="45" t="b">
        <v>1</v>
      </c>
      <c r="T34" s="43" t="str">
        <f>IFERROR(__xludf.DUMMYFUNCTION("IFERROR(VLOOKUP(C34,IMPORTRANGE(""https://docs.google.com/spreadsheets/d/1RmEXtNg60OGvqZjyMxiYNPJ6S_kcz01v57qrHugDWVc/edit#gid=0"",""Chegadas!E:AQ""),19,0),"""")"),"")</f>
        <v/>
      </c>
      <c r="U34" s="44" t="s">
        <v>242</v>
      </c>
      <c r="V34" s="45" t="s">
        <v>287</v>
      </c>
      <c r="W34" s="48" t="str">
        <f t="shared" si="6"/>
        <v>Até o final do lote</v>
      </c>
    </row>
    <row r="35" ht="45.0" hidden="1" customHeight="1">
      <c r="A35" s="32" t="s">
        <v>231</v>
      </c>
      <c r="B35" s="33" t="str">
        <f t="shared" si="4"/>
        <v/>
      </c>
      <c r="C35" s="53" t="s">
        <v>450</v>
      </c>
      <c r="D35" s="35" t="s">
        <v>445</v>
      </c>
      <c r="E35" s="35" t="s">
        <v>451</v>
      </c>
      <c r="F35" s="36" t="s">
        <v>452</v>
      </c>
      <c r="G35" s="37" t="s">
        <v>273</v>
      </c>
      <c r="H35" s="47" t="s">
        <v>354</v>
      </c>
      <c r="I35" s="38" t="s">
        <v>293</v>
      </c>
      <c r="J35" s="47" t="s">
        <v>453</v>
      </c>
      <c r="K35" s="38"/>
      <c r="L35" s="38" t="s">
        <v>239</v>
      </c>
      <c r="M35" s="63" t="s">
        <v>454</v>
      </c>
      <c r="N35" s="41">
        <v>45355.0</v>
      </c>
      <c r="O35" s="41">
        <f t="shared" ref="O35:O56" si="7">N35-90</f>
        <v>45265</v>
      </c>
      <c r="P35" s="37" t="s">
        <v>455</v>
      </c>
      <c r="Q35" s="37" t="s">
        <v>456</v>
      </c>
      <c r="R35" s="42"/>
      <c r="S35" s="45" t="b">
        <v>1</v>
      </c>
      <c r="T35" s="43">
        <f>IFERROR(__xludf.DUMMYFUNCTION("IFERROR(VLOOKUP(C35,IMPORTRANGE(""https://docs.google.com/spreadsheets/d/1RmEXtNg60OGvqZjyMxiYNPJ6S_kcz01v57qrHugDWVc/edit#gid=0"",""Chegadas!E:AQ""),19,0),"""")"),44474.0)</f>
        <v>44474</v>
      </c>
      <c r="U35" s="44" t="s">
        <v>242</v>
      </c>
      <c r="V35" s="45" t="s">
        <v>457</v>
      </c>
      <c r="W35" s="46">
        <f t="shared" si="6"/>
        <v>45355</v>
      </c>
    </row>
    <row r="36" ht="45.0" hidden="1" customHeight="1">
      <c r="A36" s="32" t="s">
        <v>231</v>
      </c>
      <c r="B36" s="33" t="str">
        <f t="shared" si="4"/>
        <v/>
      </c>
      <c r="C36" s="34" t="s">
        <v>458</v>
      </c>
      <c r="D36" s="35" t="s">
        <v>438</v>
      </c>
      <c r="E36" s="35" t="s">
        <v>459</v>
      </c>
      <c r="F36" s="36" t="s">
        <v>460</v>
      </c>
      <c r="G36" s="37" t="s">
        <v>273</v>
      </c>
      <c r="H36" s="64" t="s">
        <v>461</v>
      </c>
      <c r="I36" s="38" t="s">
        <v>274</v>
      </c>
      <c r="J36" s="47" t="s">
        <v>462</v>
      </c>
      <c r="K36" s="38"/>
      <c r="L36" s="38" t="s">
        <v>239</v>
      </c>
      <c r="M36" s="40"/>
      <c r="N36" s="41">
        <v>45052.0</v>
      </c>
      <c r="O36" s="41">
        <f t="shared" si="7"/>
        <v>44962</v>
      </c>
      <c r="P36" s="37" t="s">
        <v>463</v>
      </c>
      <c r="Q36" s="37" t="s">
        <v>464</v>
      </c>
      <c r="R36" s="42"/>
      <c r="S36" s="42" t="b">
        <v>0</v>
      </c>
      <c r="T36" s="43" t="str">
        <f>IFERROR(__xludf.DUMMYFUNCTION("IFERROR(VLOOKUP(C36,IMPORTRANGE(""https://docs.google.com/spreadsheets/d/1RmEXtNg60OGvqZjyMxiYNPJ6S_kcz01v57qrHugDWVc/edit#gid=0"",""Chegadas!E:AQ""),19,0),"""")"),"")</f>
        <v/>
      </c>
      <c r="U36" s="44" t="s">
        <v>242</v>
      </c>
      <c r="V36" s="45" t="s">
        <v>465</v>
      </c>
      <c r="W36" s="46">
        <f t="shared" si="6"/>
        <v>45052</v>
      </c>
    </row>
    <row r="37" ht="45.0" hidden="1" customHeight="1">
      <c r="A37" s="32" t="s">
        <v>231</v>
      </c>
      <c r="B37" s="33" t="str">
        <f t="shared" si="4"/>
        <v/>
      </c>
      <c r="C37" s="34" t="s">
        <v>466</v>
      </c>
      <c r="D37" s="35" t="s">
        <v>31</v>
      </c>
      <c r="E37" s="35" t="s">
        <v>467</v>
      </c>
      <c r="F37" s="36" t="s">
        <v>468</v>
      </c>
      <c r="G37" s="37" t="s">
        <v>291</v>
      </c>
      <c r="H37" s="38" t="s">
        <v>431</v>
      </c>
      <c r="I37" s="38" t="s">
        <v>469</v>
      </c>
      <c r="J37" s="47" t="s">
        <v>470</v>
      </c>
      <c r="K37" s="38"/>
      <c r="L37" s="38" t="s">
        <v>471</v>
      </c>
      <c r="M37" s="40"/>
      <c r="N37" s="50">
        <v>44286.0</v>
      </c>
      <c r="O37" s="41">
        <f t="shared" si="7"/>
        <v>44196</v>
      </c>
      <c r="P37" s="35" t="s">
        <v>472</v>
      </c>
      <c r="Q37" s="35" t="s">
        <v>61</v>
      </c>
      <c r="R37" s="35" t="s">
        <v>286</v>
      </c>
      <c r="S37" s="42" t="b">
        <v>0</v>
      </c>
      <c r="T37" s="43" t="str">
        <f>IFERROR(__xludf.DUMMYFUNCTION("IFERROR(VLOOKUP(C37,IMPORTRANGE(""https://docs.google.com/spreadsheets/d/1RmEXtNg60OGvqZjyMxiYNPJ6S_kcz01v57qrHugDWVc/edit#gid=0"",""Chegadas!E:AQ""),19,0),"""")"),"")</f>
        <v/>
      </c>
      <c r="U37" s="44" t="s">
        <v>242</v>
      </c>
      <c r="V37" s="45" t="s">
        <v>473</v>
      </c>
      <c r="W37" s="46">
        <f t="shared" si="6"/>
        <v>44286</v>
      </c>
    </row>
    <row r="38" ht="45.0" hidden="1" customHeight="1">
      <c r="A38" s="32" t="s">
        <v>231</v>
      </c>
      <c r="B38" s="33" t="str">
        <f t="shared" si="4"/>
        <v/>
      </c>
      <c r="C38" s="34" t="s">
        <v>474</v>
      </c>
      <c r="D38" s="35" t="s">
        <v>31</v>
      </c>
      <c r="E38" s="35" t="s">
        <v>475</v>
      </c>
      <c r="F38" s="36" t="s">
        <v>476</v>
      </c>
      <c r="G38" s="65" t="s">
        <v>273</v>
      </c>
      <c r="H38" s="38" t="s">
        <v>236</v>
      </c>
      <c r="I38" s="38" t="s">
        <v>274</v>
      </c>
      <c r="J38" s="47" t="s">
        <v>477</v>
      </c>
      <c r="K38" s="38"/>
      <c r="L38" s="38" t="s">
        <v>239</v>
      </c>
      <c r="M38" s="40"/>
      <c r="N38" s="66">
        <v>45017.0</v>
      </c>
      <c r="O38" s="41">
        <f t="shared" si="7"/>
        <v>44927</v>
      </c>
      <c r="P38" s="35" t="s">
        <v>478</v>
      </c>
      <c r="Q38" s="35" t="s">
        <v>479</v>
      </c>
      <c r="R38" s="42"/>
      <c r="S38" s="42" t="b">
        <v>0</v>
      </c>
      <c r="T38" s="43" t="str">
        <f>IFERROR(__xludf.DUMMYFUNCTION("IFERROR(VLOOKUP(C38,IMPORTRANGE(""https://docs.google.com/spreadsheets/d/1RmEXtNg60OGvqZjyMxiYNPJ6S_kcz01v57qrHugDWVc/edit#gid=0"",""Chegadas!E:AQ""),19,0),"""")"),"")</f>
        <v/>
      </c>
      <c r="U38" s="44" t="s">
        <v>242</v>
      </c>
      <c r="V38" s="45" t="s">
        <v>480</v>
      </c>
      <c r="W38" s="46">
        <f t="shared" si="6"/>
        <v>45017</v>
      </c>
    </row>
    <row r="39" ht="45.0" hidden="1" customHeight="1">
      <c r="A39" s="32" t="s">
        <v>231</v>
      </c>
      <c r="B39" s="33" t="str">
        <f t="shared" si="4"/>
        <v/>
      </c>
      <c r="C39" s="54" t="s">
        <v>481</v>
      </c>
      <c r="D39" s="35" t="s">
        <v>31</v>
      </c>
      <c r="E39" s="35" t="s">
        <v>482</v>
      </c>
      <c r="F39" s="36" t="s">
        <v>483</v>
      </c>
      <c r="G39" s="65" t="s">
        <v>273</v>
      </c>
      <c r="H39" s="38" t="s">
        <v>236</v>
      </c>
      <c r="I39" s="38" t="s">
        <v>274</v>
      </c>
      <c r="J39" s="47" t="s">
        <v>484</v>
      </c>
      <c r="K39" s="38"/>
      <c r="L39" s="38" t="s">
        <v>239</v>
      </c>
      <c r="M39" s="40"/>
      <c r="N39" s="41">
        <v>45058.0</v>
      </c>
      <c r="O39" s="41">
        <f t="shared" si="7"/>
        <v>44968</v>
      </c>
      <c r="P39" s="35" t="s">
        <v>485</v>
      </c>
      <c r="Q39" s="35" t="s">
        <v>486</v>
      </c>
      <c r="R39" s="42"/>
      <c r="S39" s="42" t="b">
        <v>0</v>
      </c>
      <c r="T39" s="43" t="str">
        <f>IFERROR(__xludf.DUMMYFUNCTION("IFERROR(VLOOKUP(C39,IMPORTRANGE(""https://docs.google.com/spreadsheets/d/1RmEXtNg60OGvqZjyMxiYNPJ6S_kcz01v57qrHugDWVc/edit#gid=0"",""Chegadas!E:AQ""),19,0),"""")"),"")</f>
        <v/>
      </c>
      <c r="U39" s="44" t="s">
        <v>242</v>
      </c>
      <c r="V39" s="45" t="s">
        <v>487</v>
      </c>
      <c r="W39" s="46">
        <f t="shared" si="6"/>
        <v>45058</v>
      </c>
    </row>
    <row r="40" ht="45.0" hidden="1" customHeight="1">
      <c r="A40" s="32" t="s">
        <v>231</v>
      </c>
      <c r="B40" s="33" t="str">
        <f t="shared" si="4"/>
        <v/>
      </c>
      <c r="C40" s="34" t="s">
        <v>488</v>
      </c>
      <c r="D40" s="35" t="s">
        <v>309</v>
      </c>
      <c r="E40" s="35" t="s">
        <v>360</v>
      </c>
      <c r="F40" s="36" t="s">
        <v>489</v>
      </c>
      <c r="G40" s="37" t="s">
        <v>273</v>
      </c>
      <c r="H40" s="47" t="s">
        <v>354</v>
      </c>
      <c r="I40" s="38" t="s">
        <v>447</v>
      </c>
      <c r="J40" s="67" t="s">
        <v>490</v>
      </c>
      <c r="K40" s="38"/>
      <c r="L40" s="38" t="s">
        <v>239</v>
      </c>
      <c r="M40" s="63" t="s">
        <v>491</v>
      </c>
      <c r="N40" s="41">
        <v>45433.0</v>
      </c>
      <c r="O40" s="41">
        <f t="shared" si="7"/>
        <v>45343</v>
      </c>
      <c r="P40" s="37" t="s">
        <v>492</v>
      </c>
      <c r="Q40" s="37" t="s">
        <v>493</v>
      </c>
      <c r="R40" s="35" t="s">
        <v>494</v>
      </c>
      <c r="S40" s="45" t="b">
        <v>1</v>
      </c>
      <c r="T40" s="43" t="str">
        <f>IFERROR(__xludf.DUMMYFUNCTION("IFERROR(VLOOKUP(C40,IMPORTRANGE(""https://docs.google.com/spreadsheets/d/1RmEXtNg60OGvqZjyMxiYNPJ6S_kcz01v57qrHugDWVc/edit#gid=0"",""Chegadas!E:AQ""),19,0),"""")"),"")</f>
        <v/>
      </c>
      <c r="U40" s="44" t="s">
        <v>242</v>
      </c>
      <c r="V40" s="60" t="s">
        <v>495</v>
      </c>
      <c r="W40" s="46">
        <f t="shared" si="6"/>
        <v>45433</v>
      </c>
    </row>
    <row r="41" ht="45.0" hidden="1" customHeight="1">
      <c r="A41" s="32" t="s">
        <v>231</v>
      </c>
      <c r="B41" s="33" t="str">
        <f t="shared" si="4"/>
        <v/>
      </c>
      <c r="C41" s="34" t="s">
        <v>496</v>
      </c>
      <c r="D41" s="35" t="s">
        <v>42</v>
      </c>
      <c r="E41" s="35" t="s">
        <v>497</v>
      </c>
      <c r="F41" s="36" t="s">
        <v>498</v>
      </c>
      <c r="G41" s="65" t="s">
        <v>273</v>
      </c>
      <c r="H41" s="38" t="s">
        <v>236</v>
      </c>
      <c r="I41" s="38" t="s">
        <v>274</v>
      </c>
      <c r="J41" s="47" t="s">
        <v>499</v>
      </c>
      <c r="K41" s="38"/>
      <c r="L41" s="38" t="s">
        <v>239</v>
      </c>
      <c r="M41" s="40"/>
      <c r="N41" s="66">
        <v>45017.0</v>
      </c>
      <c r="O41" s="41">
        <f t="shared" si="7"/>
        <v>44927</v>
      </c>
      <c r="P41" s="35" t="s">
        <v>500</v>
      </c>
      <c r="Q41" s="35" t="s">
        <v>501</v>
      </c>
      <c r="R41" s="42"/>
      <c r="S41" s="42" t="b">
        <v>0</v>
      </c>
      <c r="T41" s="43" t="str">
        <f>IFERROR(__xludf.DUMMYFUNCTION("IFERROR(VLOOKUP(C41,IMPORTRANGE(""https://docs.google.com/spreadsheets/d/1RmEXtNg60OGvqZjyMxiYNPJ6S_kcz01v57qrHugDWVc/edit#gid=0"",""Chegadas!E:AQ""),19,0),"""")"),"")</f>
        <v/>
      </c>
      <c r="U41" s="44" t="s">
        <v>242</v>
      </c>
      <c r="V41" s="45" t="s">
        <v>502</v>
      </c>
      <c r="W41" s="46">
        <f t="shared" si="6"/>
        <v>45017</v>
      </c>
    </row>
    <row r="42" ht="45.0" hidden="1" customHeight="1">
      <c r="A42" s="32" t="s">
        <v>231</v>
      </c>
      <c r="B42" s="52" t="str">
        <f t="shared" ref="B42:B46" si="8">HYPERLINK("https://imagens.imgnet.com.br/f/imaginarium/"&amp;#REF!&amp;";"&amp;#REF!,image("https://imagens.imgnet.com.br/f/imaginarium/"&amp;C42&amp;"))"))</f>
        <v/>
      </c>
      <c r="C42" s="34" t="s">
        <v>503</v>
      </c>
      <c r="D42" s="35" t="s">
        <v>42</v>
      </c>
      <c r="E42" s="35" t="s">
        <v>504</v>
      </c>
      <c r="F42" s="36" t="s">
        <v>505</v>
      </c>
      <c r="G42" s="65" t="s">
        <v>273</v>
      </c>
      <c r="H42" s="38" t="s">
        <v>236</v>
      </c>
      <c r="I42" s="38" t="s">
        <v>274</v>
      </c>
      <c r="J42" s="47" t="s">
        <v>506</v>
      </c>
      <c r="K42" s="38"/>
      <c r="L42" s="38" t="s">
        <v>239</v>
      </c>
      <c r="M42" s="40"/>
      <c r="N42" s="41">
        <v>45093.0</v>
      </c>
      <c r="O42" s="41">
        <f t="shared" si="7"/>
        <v>45003</v>
      </c>
      <c r="P42" s="35" t="s">
        <v>507</v>
      </c>
      <c r="Q42" s="35" t="s">
        <v>508</v>
      </c>
      <c r="R42" s="42"/>
      <c r="S42" s="45" t="b">
        <v>1</v>
      </c>
      <c r="T42" s="43" t="str">
        <f>IFERROR(__xludf.DUMMYFUNCTION("IFERROR(VLOOKUP(C42,IMPORTRANGE(""https://docs.google.com/spreadsheets/d/1RmEXtNg60OGvqZjyMxiYNPJ6S_kcz01v57qrHugDWVc/edit#gid=0"",""Chegadas!E:AQ""),19,0),"""")"),"")</f>
        <v/>
      </c>
      <c r="U42" s="44" t="s">
        <v>242</v>
      </c>
      <c r="V42" s="45" t="s">
        <v>509</v>
      </c>
      <c r="W42" s="46">
        <f t="shared" si="6"/>
        <v>45093</v>
      </c>
    </row>
    <row r="43" ht="45.0" hidden="1" customHeight="1">
      <c r="A43" s="32" t="s">
        <v>231</v>
      </c>
      <c r="B43" s="52" t="str">
        <f t="shared" si="8"/>
        <v/>
      </c>
      <c r="C43" s="34" t="s">
        <v>510</v>
      </c>
      <c r="D43" s="35" t="s">
        <v>42</v>
      </c>
      <c r="E43" s="35" t="s">
        <v>504</v>
      </c>
      <c r="F43" s="36" t="s">
        <v>511</v>
      </c>
      <c r="G43" s="65" t="s">
        <v>273</v>
      </c>
      <c r="H43" s="38" t="s">
        <v>236</v>
      </c>
      <c r="I43" s="38" t="s">
        <v>274</v>
      </c>
      <c r="J43" s="47" t="s">
        <v>512</v>
      </c>
      <c r="K43" s="38"/>
      <c r="L43" s="38" t="s">
        <v>239</v>
      </c>
      <c r="M43" s="40"/>
      <c r="N43" s="41">
        <v>45093.0</v>
      </c>
      <c r="O43" s="41">
        <f t="shared" si="7"/>
        <v>45003</v>
      </c>
      <c r="P43" s="35" t="s">
        <v>507</v>
      </c>
      <c r="Q43" s="35" t="s">
        <v>508</v>
      </c>
      <c r="R43" s="42"/>
      <c r="S43" s="45" t="b">
        <v>1</v>
      </c>
      <c r="T43" s="43" t="str">
        <f>IFERROR(__xludf.DUMMYFUNCTION("IFERROR(VLOOKUP(C43,IMPORTRANGE(""https://docs.google.com/spreadsheets/d/1RmEXtNg60OGvqZjyMxiYNPJ6S_kcz01v57qrHugDWVc/edit#gid=0"",""Chegadas!E:AQ""),19,0),"""")"),"")</f>
        <v/>
      </c>
      <c r="U43" s="44" t="s">
        <v>242</v>
      </c>
      <c r="V43" s="45" t="s">
        <v>509</v>
      </c>
      <c r="W43" s="46">
        <f t="shared" si="6"/>
        <v>45093</v>
      </c>
    </row>
    <row r="44" ht="45.0" hidden="1" customHeight="1">
      <c r="A44" s="32" t="s">
        <v>231</v>
      </c>
      <c r="B44" s="52" t="str">
        <f t="shared" si="8"/>
        <v/>
      </c>
      <c r="C44" s="34" t="s">
        <v>513</v>
      </c>
      <c r="D44" s="35" t="s">
        <v>42</v>
      </c>
      <c r="E44" s="35" t="s">
        <v>504</v>
      </c>
      <c r="F44" s="36" t="s">
        <v>514</v>
      </c>
      <c r="G44" s="65" t="s">
        <v>273</v>
      </c>
      <c r="H44" s="38" t="s">
        <v>236</v>
      </c>
      <c r="I44" s="38" t="s">
        <v>274</v>
      </c>
      <c r="J44" s="47" t="s">
        <v>515</v>
      </c>
      <c r="K44" s="38"/>
      <c r="L44" s="38" t="s">
        <v>239</v>
      </c>
      <c r="M44" s="40"/>
      <c r="N44" s="41">
        <v>45093.0</v>
      </c>
      <c r="O44" s="41">
        <f t="shared" si="7"/>
        <v>45003</v>
      </c>
      <c r="P44" s="35" t="s">
        <v>507</v>
      </c>
      <c r="Q44" s="35" t="s">
        <v>508</v>
      </c>
      <c r="R44" s="42"/>
      <c r="S44" s="45" t="b">
        <v>1</v>
      </c>
      <c r="T44" s="43" t="str">
        <f>IFERROR(__xludf.DUMMYFUNCTION("IFERROR(VLOOKUP(C44,IMPORTRANGE(""https://docs.google.com/spreadsheets/d/1RmEXtNg60OGvqZjyMxiYNPJ6S_kcz01v57qrHugDWVc/edit#gid=0"",""Chegadas!E:AQ""),19,0),"""")"),"")</f>
        <v/>
      </c>
      <c r="U44" s="44" t="s">
        <v>242</v>
      </c>
      <c r="V44" s="45" t="s">
        <v>509</v>
      </c>
      <c r="W44" s="46">
        <f t="shared" si="6"/>
        <v>45093</v>
      </c>
    </row>
    <row r="45" ht="45.0" hidden="1" customHeight="1">
      <c r="A45" s="32" t="s">
        <v>231</v>
      </c>
      <c r="B45" s="52" t="str">
        <f t="shared" si="8"/>
        <v/>
      </c>
      <c r="C45" s="34" t="s">
        <v>516</v>
      </c>
      <c r="D45" s="35" t="s">
        <v>31</v>
      </c>
      <c r="E45" s="35" t="s">
        <v>517</v>
      </c>
      <c r="F45" s="36" t="s">
        <v>518</v>
      </c>
      <c r="G45" s="65" t="s">
        <v>291</v>
      </c>
      <c r="H45" s="38" t="s">
        <v>431</v>
      </c>
      <c r="I45" s="38" t="s">
        <v>432</v>
      </c>
      <c r="J45" s="47" t="s">
        <v>519</v>
      </c>
      <c r="K45" s="38"/>
      <c r="L45" s="38" t="s">
        <v>520</v>
      </c>
      <c r="M45" s="40"/>
      <c r="N45" s="66">
        <v>44659.0</v>
      </c>
      <c r="O45" s="41">
        <f t="shared" si="7"/>
        <v>44569</v>
      </c>
      <c r="P45" s="35" t="s">
        <v>521</v>
      </c>
      <c r="Q45" s="35" t="s">
        <v>521</v>
      </c>
      <c r="R45" s="35" t="s">
        <v>286</v>
      </c>
      <c r="S45" s="45" t="b">
        <v>1</v>
      </c>
      <c r="T45" s="43" t="str">
        <f>IFERROR(__xludf.DUMMYFUNCTION("IFERROR(VLOOKUP(C45,IMPORTRANGE(""https://docs.google.com/spreadsheets/d/1RmEXtNg60OGvqZjyMxiYNPJ6S_kcz01v57qrHugDWVc/edit#gid=0"",""Chegadas!E:AQ""),19,0),"""")"),"")</f>
        <v/>
      </c>
      <c r="U45" s="44" t="s">
        <v>242</v>
      </c>
      <c r="V45" s="45" t="s">
        <v>522</v>
      </c>
      <c r="W45" s="46">
        <f t="shared" si="6"/>
        <v>44659</v>
      </c>
    </row>
    <row r="46" ht="45.0" hidden="1" customHeight="1">
      <c r="A46" s="32" t="s">
        <v>231</v>
      </c>
      <c r="B46" s="52" t="str">
        <f t="shared" si="8"/>
        <v/>
      </c>
      <c r="C46" s="53" t="s">
        <v>523</v>
      </c>
      <c r="D46" s="35" t="s">
        <v>31</v>
      </c>
      <c r="E46" s="35" t="s">
        <v>517</v>
      </c>
      <c r="F46" s="36" t="s">
        <v>524</v>
      </c>
      <c r="G46" s="65" t="s">
        <v>291</v>
      </c>
      <c r="H46" s="38" t="s">
        <v>431</v>
      </c>
      <c r="I46" s="38" t="s">
        <v>432</v>
      </c>
      <c r="J46" s="47" t="s">
        <v>525</v>
      </c>
      <c r="K46" s="38"/>
      <c r="L46" s="38" t="s">
        <v>520</v>
      </c>
      <c r="M46" s="40"/>
      <c r="N46" s="66">
        <v>44659.0</v>
      </c>
      <c r="O46" s="41">
        <f t="shared" si="7"/>
        <v>44569</v>
      </c>
      <c r="P46" s="35" t="s">
        <v>521</v>
      </c>
      <c r="Q46" s="35" t="s">
        <v>521</v>
      </c>
      <c r="R46" s="35" t="s">
        <v>286</v>
      </c>
      <c r="S46" s="45" t="b">
        <v>1</v>
      </c>
      <c r="T46" s="43" t="str">
        <f>IFERROR(__xludf.DUMMYFUNCTION("IFERROR(VLOOKUP(C46,IMPORTRANGE(""https://docs.google.com/spreadsheets/d/1RmEXtNg60OGvqZjyMxiYNPJ6S_kcz01v57qrHugDWVc/edit#gid=0"",""Chegadas!E:AQ""),19,0),"""")"),"")</f>
        <v/>
      </c>
      <c r="U46" s="44" t="s">
        <v>242</v>
      </c>
      <c r="V46" s="45" t="s">
        <v>522</v>
      </c>
      <c r="W46" s="46">
        <f t="shared" si="6"/>
        <v>44659</v>
      </c>
    </row>
    <row r="47" ht="45.0" hidden="1" customHeight="1">
      <c r="A47" s="32" t="s">
        <v>231</v>
      </c>
      <c r="B47" s="33" t="str">
        <f t="shared" ref="B47:B48" si="9">HYPERLINK("https://imagens.imgnet.com.br/f/imaginarium/"&amp;C47&amp;";"&amp;C47,image("https://imagens.imgnet.com.br/f/imaginarium/"&amp;C47&amp;"))"))</f>
        <v/>
      </c>
      <c r="C47" s="53" t="s">
        <v>526</v>
      </c>
      <c r="D47" s="35" t="s">
        <v>42</v>
      </c>
      <c r="E47" s="35" t="s">
        <v>527</v>
      </c>
      <c r="F47" s="36" t="s">
        <v>528</v>
      </c>
      <c r="G47" s="68" t="s">
        <v>273</v>
      </c>
      <c r="H47" s="38" t="s">
        <v>236</v>
      </c>
      <c r="I47" s="47" t="s">
        <v>274</v>
      </c>
      <c r="J47" s="67" t="s">
        <v>529</v>
      </c>
      <c r="K47" s="58">
        <v>45782.0</v>
      </c>
      <c r="L47" s="38" t="s">
        <v>239</v>
      </c>
      <c r="M47" s="63" t="s">
        <v>530</v>
      </c>
      <c r="N47" s="41">
        <v>45854.0</v>
      </c>
      <c r="O47" s="41">
        <f t="shared" si="7"/>
        <v>45764</v>
      </c>
      <c r="P47" s="49" t="s">
        <v>531</v>
      </c>
      <c r="Q47" s="35" t="s">
        <v>532</v>
      </c>
      <c r="R47" s="35" t="s">
        <v>533</v>
      </c>
      <c r="S47" s="45" t="b">
        <v>1</v>
      </c>
      <c r="T47" s="43">
        <f>IFERROR(__xludf.DUMMYFUNCTION("IFERROR(VLOOKUP(C47,IMPORTRANGE(""https://docs.google.com/spreadsheets/d/1RmEXtNg60OGvqZjyMxiYNPJ6S_kcz01v57qrHugDWVc/edit#gid=0"",""Chegadas!E:AQ""),19,0),"""")"),44505.0)</f>
        <v>44505</v>
      </c>
      <c r="U47" s="59" t="s">
        <v>242</v>
      </c>
      <c r="V47" s="60" t="s">
        <v>534</v>
      </c>
      <c r="W47" s="61">
        <f>IFERROR(IF(U47="Ativo","Ativo",IF(U47="SKU excluído","Vencido",VLOOKUP(C47,Encerramentos!B:G,6,0))),"")</f>
        <v>45852</v>
      </c>
    </row>
    <row r="48" ht="45.0" hidden="1" customHeight="1">
      <c r="A48" s="32" t="s">
        <v>231</v>
      </c>
      <c r="B48" s="33" t="str">
        <f t="shared" si="9"/>
        <v/>
      </c>
      <c r="C48" s="34" t="s">
        <v>535</v>
      </c>
      <c r="D48" s="35" t="s">
        <v>438</v>
      </c>
      <c r="E48" s="35" t="s">
        <v>360</v>
      </c>
      <c r="F48" s="36" t="s">
        <v>536</v>
      </c>
      <c r="G48" s="37" t="s">
        <v>273</v>
      </c>
      <c r="H48" s="38" t="s">
        <v>236</v>
      </c>
      <c r="I48" s="38" t="s">
        <v>274</v>
      </c>
      <c r="J48" s="47" t="s">
        <v>537</v>
      </c>
      <c r="K48" s="38"/>
      <c r="L48" s="38" t="s">
        <v>239</v>
      </c>
      <c r="M48" s="40"/>
      <c r="N48" s="41">
        <v>45121.0</v>
      </c>
      <c r="O48" s="41">
        <f t="shared" si="7"/>
        <v>45031</v>
      </c>
      <c r="P48" s="37" t="s">
        <v>538</v>
      </c>
      <c r="Q48" s="37" t="s">
        <v>539</v>
      </c>
      <c r="R48" s="42"/>
      <c r="S48" s="45" t="b">
        <v>1</v>
      </c>
      <c r="T48" s="43">
        <f>IFERROR(__xludf.DUMMYFUNCTION("IFERROR(VLOOKUP(C48,IMPORTRANGE(""https://docs.google.com/spreadsheets/d/1RmEXtNg60OGvqZjyMxiYNPJ6S_kcz01v57qrHugDWVc/edit#gid=0"",""Chegadas!E:AQ""),19,0),"""")"),44474.0)</f>
        <v>44474</v>
      </c>
      <c r="U48" s="44" t="s">
        <v>242</v>
      </c>
      <c r="V48" s="45" t="s">
        <v>540</v>
      </c>
      <c r="W48" s="46">
        <f t="shared" ref="W48:W57" si="10">N48</f>
        <v>45121</v>
      </c>
    </row>
    <row r="49" ht="45.0" hidden="1" customHeight="1">
      <c r="A49" s="32" t="s">
        <v>231</v>
      </c>
      <c r="B49" s="52" t="str">
        <f t="shared" ref="B49:B50" si="11">HYPERLINK("https://imagens.imgnet.com.br/f/imaginarium/"&amp;C49&amp;";"&amp;C49,image("https://imagens.imgnet.com.br/f/imaginarium/"&amp;#REF!&amp;"))"))</f>
        <v>#REF!</v>
      </c>
      <c r="C49" s="69" t="s">
        <v>541</v>
      </c>
      <c r="D49" s="35" t="s">
        <v>316</v>
      </c>
      <c r="E49" s="35" t="s">
        <v>360</v>
      </c>
      <c r="F49" s="36" t="s">
        <v>542</v>
      </c>
      <c r="G49" s="37" t="s">
        <v>273</v>
      </c>
      <c r="H49" s="38" t="s">
        <v>236</v>
      </c>
      <c r="I49" s="47" t="s">
        <v>274</v>
      </c>
      <c r="J49" s="47" t="s">
        <v>543</v>
      </c>
      <c r="K49" s="38"/>
      <c r="L49" s="38" t="s">
        <v>239</v>
      </c>
      <c r="M49" s="40"/>
      <c r="N49" s="41">
        <v>45038.0</v>
      </c>
      <c r="O49" s="41">
        <f t="shared" si="7"/>
        <v>44948</v>
      </c>
      <c r="P49" s="35" t="s">
        <v>544</v>
      </c>
      <c r="Q49" s="35" t="s">
        <v>545</v>
      </c>
      <c r="R49" s="42"/>
      <c r="S49" s="45" t="b">
        <v>1</v>
      </c>
      <c r="T49" s="43" t="str">
        <f>IFERROR(__xludf.DUMMYFUNCTION("IFERROR(VLOOKUP(C49,IMPORTRANGE(""https://docs.google.com/spreadsheets/d/1RmEXtNg60OGvqZjyMxiYNPJ6S_kcz01v57qrHugDWVc/edit#gid=0"",""Chegadas!E:AQ""),19,0),"""")"),"")</f>
        <v/>
      </c>
      <c r="U49" s="44" t="s">
        <v>242</v>
      </c>
      <c r="V49" s="45" t="s">
        <v>546</v>
      </c>
      <c r="W49" s="46">
        <f t="shared" si="10"/>
        <v>45038</v>
      </c>
    </row>
    <row r="50" ht="45.0" hidden="1" customHeight="1">
      <c r="A50" s="32" t="s">
        <v>231</v>
      </c>
      <c r="B50" s="52" t="str">
        <f t="shared" si="11"/>
        <v>#REF!</v>
      </c>
      <c r="C50" s="34" t="s">
        <v>547</v>
      </c>
      <c r="D50" s="35" t="s">
        <v>316</v>
      </c>
      <c r="E50" s="35" t="s">
        <v>360</v>
      </c>
      <c r="F50" s="36" t="s">
        <v>548</v>
      </c>
      <c r="G50" s="37" t="s">
        <v>273</v>
      </c>
      <c r="H50" s="38" t="s">
        <v>236</v>
      </c>
      <c r="I50" s="47" t="s">
        <v>274</v>
      </c>
      <c r="J50" s="47" t="s">
        <v>549</v>
      </c>
      <c r="K50" s="38"/>
      <c r="L50" s="38" t="s">
        <v>239</v>
      </c>
      <c r="M50" s="40"/>
      <c r="N50" s="41">
        <v>45038.0</v>
      </c>
      <c r="O50" s="41">
        <f t="shared" si="7"/>
        <v>44948</v>
      </c>
      <c r="P50" s="35" t="s">
        <v>544</v>
      </c>
      <c r="Q50" s="35" t="s">
        <v>545</v>
      </c>
      <c r="R50" s="42"/>
      <c r="S50" s="45" t="b">
        <v>1</v>
      </c>
      <c r="T50" s="43" t="str">
        <f>IFERROR(__xludf.DUMMYFUNCTION("IFERROR(VLOOKUP(C50,IMPORTRANGE(""https://docs.google.com/spreadsheets/d/1RmEXtNg60OGvqZjyMxiYNPJ6S_kcz01v57qrHugDWVc/edit#gid=0"",""Chegadas!E:AQ""),19,0),"""")"),"")</f>
        <v/>
      </c>
      <c r="U50" s="44" t="s">
        <v>242</v>
      </c>
      <c r="V50" s="45" t="s">
        <v>546</v>
      </c>
      <c r="W50" s="46">
        <f t="shared" si="10"/>
        <v>45038</v>
      </c>
    </row>
    <row r="51" ht="45.0" hidden="1" customHeight="1">
      <c r="A51" s="32" t="s">
        <v>231</v>
      </c>
      <c r="B51" s="33" t="str">
        <f t="shared" ref="B51:B293" si="12">HYPERLINK("https://imagens.imgnet.com.br/f/imaginarium/"&amp;C51&amp;";"&amp;C51,image("https://imagens.imgnet.com.br/f/imaginarium/"&amp;C51&amp;"))"))</f>
        <v/>
      </c>
      <c r="C51" s="34" t="s">
        <v>550</v>
      </c>
      <c r="D51" s="35" t="s">
        <v>316</v>
      </c>
      <c r="E51" s="35" t="s">
        <v>527</v>
      </c>
      <c r="F51" s="36" t="s">
        <v>551</v>
      </c>
      <c r="G51" s="37" t="s">
        <v>273</v>
      </c>
      <c r="H51" s="38" t="s">
        <v>236</v>
      </c>
      <c r="I51" s="47" t="s">
        <v>274</v>
      </c>
      <c r="J51" s="39" t="s">
        <v>552</v>
      </c>
      <c r="K51" s="38"/>
      <c r="L51" s="38" t="s">
        <v>239</v>
      </c>
      <c r="M51" s="40"/>
      <c r="N51" s="41">
        <v>45000.0</v>
      </c>
      <c r="O51" s="41">
        <f t="shared" si="7"/>
        <v>44910</v>
      </c>
      <c r="P51" s="35" t="s">
        <v>553</v>
      </c>
      <c r="Q51" s="35" t="s">
        <v>554</v>
      </c>
      <c r="R51" s="42"/>
      <c r="S51" s="45" t="b">
        <v>1</v>
      </c>
      <c r="T51" s="43" t="str">
        <f>IFERROR(__xludf.DUMMYFUNCTION("IFERROR(VLOOKUP(C51,IMPORTRANGE(""https://docs.google.com/spreadsheets/d/1RmEXtNg60OGvqZjyMxiYNPJ6S_kcz01v57qrHugDWVc/edit#gid=0"",""Chegadas!E:AQ""),19,0),"""")"),"")</f>
        <v/>
      </c>
      <c r="U51" s="44" t="s">
        <v>242</v>
      </c>
      <c r="V51" s="45" t="s">
        <v>555</v>
      </c>
      <c r="W51" s="46">
        <f t="shared" si="10"/>
        <v>45000</v>
      </c>
    </row>
    <row r="52" ht="45.0" hidden="1" customHeight="1">
      <c r="A52" s="32" t="s">
        <v>231</v>
      </c>
      <c r="B52" s="33" t="str">
        <f t="shared" si="12"/>
        <v/>
      </c>
      <c r="C52" s="34" t="s">
        <v>556</v>
      </c>
      <c r="D52" s="35" t="s">
        <v>316</v>
      </c>
      <c r="E52" s="35" t="s">
        <v>360</v>
      </c>
      <c r="F52" s="36" t="s">
        <v>557</v>
      </c>
      <c r="G52" s="37" t="s">
        <v>273</v>
      </c>
      <c r="H52" s="38" t="s">
        <v>236</v>
      </c>
      <c r="I52" s="47" t="s">
        <v>274</v>
      </c>
      <c r="J52" s="47" t="s">
        <v>558</v>
      </c>
      <c r="K52" s="38"/>
      <c r="L52" s="38" t="s">
        <v>239</v>
      </c>
      <c r="M52" s="40"/>
      <c r="N52" s="41">
        <v>45018.0</v>
      </c>
      <c r="O52" s="41">
        <f t="shared" si="7"/>
        <v>44928</v>
      </c>
      <c r="P52" s="35" t="s">
        <v>559</v>
      </c>
      <c r="Q52" s="35" t="s">
        <v>560</v>
      </c>
      <c r="R52" s="42"/>
      <c r="S52" s="45" t="b">
        <v>1</v>
      </c>
      <c r="T52" s="43" t="str">
        <f>IFERROR(__xludf.DUMMYFUNCTION("IFERROR(VLOOKUP(C52,IMPORTRANGE(""https://docs.google.com/spreadsheets/d/1RmEXtNg60OGvqZjyMxiYNPJ6S_kcz01v57qrHugDWVc/edit#gid=0"",""Chegadas!E:AQ""),19,0),"""")"),"")</f>
        <v/>
      </c>
      <c r="U52" s="44" t="s">
        <v>242</v>
      </c>
      <c r="V52" s="45" t="s">
        <v>561</v>
      </c>
      <c r="W52" s="46">
        <f t="shared" si="10"/>
        <v>45018</v>
      </c>
    </row>
    <row r="53" ht="45.0" hidden="1" customHeight="1">
      <c r="A53" s="32" t="s">
        <v>231</v>
      </c>
      <c r="B53" s="33" t="str">
        <f t="shared" si="12"/>
        <v/>
      </c>
      <c r="C53" s="34" t="s">
        <v>562</v>
      </c>
      <c r="D53" s="35" t="s">
        <v>316</v>
      </c>
      <c r="E53" s="35" t="s">
        <v>563</v>
      </c>
      <c r="F53" s="36" t="s">
        <v>564</v>
      </c>
      <c r="G53" s="37" t="s">
        <v>273</v>
      </c>
      <c r="H53" s="38" t="s">
        <v>236</v>
      </c>
      <c r="I53" s="47" t="s">
        <v>274</v>
      </c>
      <c r="J53" s="47" t="s">
        <v>565</v>
      </c>
      <c r="K53" s="38"/>
      <c r="L53" s="38" t="s">
        <v>239</v>
      </c>
      <c r="M53" s="40"/>
      <c r="N53" s="41">
        <v>45043.0</v>
      </c>
      <c r="O53" s="41">
        <f t="shared" si="7"/>
        <v>44953</v>
      </c>
      <c r="P53" s="35" t="s">
        <v>566</v>
      </c>
      <c r="Q53" s="35" t="s">
        <v>567</v>
      </c>
      <c r="R53" s="42"/>
      <c r="S53" s="45" t="b">
        <v>1</v>
      </c>
      <c r="T53" s="43" t="str">
        <f>IFERROR(__xludf.DUMMYFUNCTION("IFERROR(VLOOKUP(C53,IMPORTRANGE(""https://docs.google.com/spreadsheets/d/1RmEXtNg60OGvqZjyMxiYNPJ6S_kcz01v57qrHugDWVc/edit#gid=0"",""Chegadas!E:AQ""),19,0),"""")"),"")</f>
        <v/>
      </c>
      <c r="U53" s="44" t="s">
        <v>242</v>
      </c>
      <c r="V53" s="45" t="s">
        <v>568</v>
      </c>
      <c r="W53" s="46">
        <f t="shared" si="10"/>
        <v>45043</v>
      </c>
    </row>
    <row r="54" ht="45.0" hidden="1" customHeight="1">
      <c r="A54" s="32" t="s">
        <v>231</v>
      </c>
      <c r="B54" s="33" t="str">
        <f t="shared" si="12"/>
        <v/>
      </c>
      <c r="C54" s="34" t="s">
        <v>569</v>
      </c>
      <c r="D54" s="35" t="s">
        <v>316</v>
      </c>
      <c r="E54" s="35" t="s">
        <v>317</v>
      </c>
      <c r="F54" s="36" t="s">
        <v>570</v>
      </c>
      <c r="G54" s="37" t="s">
        <v>273</v>
      </c>
      <c r="H54" s="38" t="s">
        <v>236</v>
      </c>
      <c r="I54" s="47" t="s">
        <v>274</v>
      </c>
      <c r="J54" s="47" t="s">
        <v>571</v>
      </c>
      <c r="K54" s="38"/>
      <c r="L54" s="38" t="s">
        <v>239</v>
      </c>
      <c r="M54" s="40"/>
      <c r="N54" s="41">
        <v>45021.0</v>
      </c>
      <c r="O54" s="41">
        <f t="shared" si="7"/>
        <v>44931</v>
      </c>
      <c r="P54" s="35" t="s">
        <v>320</v>
      </c>
      <c r="Q54" s="35" t="s">
        <v>321</v>
      </c>
      <c r="R54" s="42"/>
      <c r="S54" s="45" t="b">
        <v>1</v>
      </c>
      <c r="T54" s="43" t="str">
        <f>IFERROR(__xludf.DUMMYFUNCTION("IFERROR(VLOOKUP(C54,IMPORTRANGE(""https://docs.google.com/spreadsheets/d/1RmEXtNg60OGvqZjyMxiYNPJ6S_kcz01v57qrHugDWVc/edit#gid=0"",""Chegadas!E:AQ""),19,0),"""")"),"")</f>
        <v/>
      </c>
      <c r="U54" s="44" t="s">
        <v>242</v>
      </c>
      <c r="V54" s="45" t="s">
        <v>322</v>
      </c>
      <c r="W54" s="46">
        <f t="shared" si="10"/>
        <v>45021</v>
      </c>
    </row>
    <row r="55" ht="45.0" hidden="1" customHeight="1">
      <c r="A55" s="32" t="s">
        <v>231</v>
      </c>
      <c r="B55" s="33" t="str">
        <f t="shared" si="12"/>
        <v/>
      </c>
      <c r="C55" s="34" t="s">
        <v>572</v>
      </c>
      <c r="D55" s="35" t="s">
        <v>573</v>
      </c>
      <c r="E55" s="35" t="s">
        <v>527</v>
      </c>
      <c r="F55" s="36" t="s">
        <v>574</v>
      </c>
      <c r="G55" s="37" t="s">
        <v>291</v>
      </c>
      <c r="H55" s="38" t="s">
        <v>236</v>
      </c>
      <c r="I55" s="47" t="s">
        <v>274</v>
      </c>
      <c r="J55" s="47" t="s">
        <v>575</v>
      </c>
      <c r="K55" s="38"/>
      <c r="L55" s="38" t="s">
        <v>239</v>
      </c>
      <c r="M55" s="40"/>
      <c r="N55" s="41">
        <v>45036.0</v>
      </c>
      <c r="O55" s="41">
        <f t="shared" si="7"/>
        <v>44946</v>
      </c>
      <c r="P55" s="35" t="s">
        <v>576</v>
      </c>
      <c r="Q55" s="35" t="s">
        <v>577</v>
      </c>
      <c r="R55" s="42"/>
      <c r="S55" s="45" t="b">
        <v>1</v>
      </c>
      <c r="T55" s="43" t="str">
        <f>IFERROR(__xludf.DUMMYFUNCTION("IFERROR(VLOOKUP(C55,IMPORTRANGE(""https://docs.google.com/spreadsheets/d/1RmEXtNg60OGvqZjyMxiYNPJ6S_kcz01v57qrHugDWVc/edit#gid=0"",""Chegadas!E:AQ""),19,0),"""")"),"")</f>
        <v/>
      </c>
      <c r="U55" s="44" t="s">
        <v>242</v>
      </c>
      <c r="V55" s="45" t="s">
        <v>578</v>
      </c>
      <c r="W55" s="46">
        <f t="shared" si="10"/>
        <v>45036</v>
      </c>
    </row>
    <row r="56" ht="45.0" hidden="1" customHeight="1">
      <c r="A56" s="32" t="s">
        <v>231</v>
      </c>
      <c r="B56" s="33" t="str">
        <f t="shared" si="12"/>
        <v/>
      </c>
      <c r="C56" s="34" t="s">
        <v>579</v>
      </c>
      <c r="D56" s="35" t="s">
        <v>573</v>
      </c>
      <c r="E56" s="35" t="s">
        <v>580</v>
      </c>
      <c r="F56" s="36" t="s">
        <v>581</v>
      </c>
      <c r="G56" s="37" t="s">
        <v>273</v>
      </c>
      <c r="H56" s="38" t="s">
        <v>236</v>
      </c>
      <c r="I56" s="47" t="s">
        <v>274</v>
      </c>
      <c r="J56" s="47" t="s">
        <v>582</v>
      </c>
      <c r="K56" s="38"/>
      <c r="L56" s="38" t="s">
        <v>239</v>
      </c>
      <c r="M56" s="40"/>
      <c r="N56" s="41">
        <v>45018.0</v>
      </c>
      <c r="O56" s="41">
        <f t="shared" si="7"/>
        <v>44928</v>
      </c>
      <c r="P56" s="35" t="s">
        <v>583</v>
      </c>
      <c r="Q56" s="35" t="s">
        <v>584</v>
      </c>
      <c r="R56" s="42"/>
      <c r="S56" s="45" t="b">
        <v>0</v>
      </c>
      <c r="T56" s="43" t="str">
        <f>IFERROR(__xludf.DUMMYFUNCTION("IFERROR(VLOOKUP(C56,IMPORTRANGE(""https://docs.google.com/spreadsheets/d/1RmEXtNg60OGvqZjyMxiYNPJ6S_kcz01v57qrHugDWVc/edit#gid=0"",""Chegadas!E:AQ""),19,0),"""")"),"")</f>
        <v/>
      </c>
      <c r="U56" s="44" t="s">
        <v>242</v>
      </c>
      <c r="V56" s="45" t="s">
        <v>585</v>
      </c>
      <c r="W56" s="46">
        <f t="shared" si="10"/>
        <v>45018</v>
      </c>
    </row>
    <row r="57" ht="45.0" hidden="1" customHeight="1">
      <c r="A57" s="32" t="s">
        <v>231</v>
      </c>
      <c r="B57" s="33" t="str">
        <f t="shared" si="12"/>
        <v/>
      </c>
      <c r="C57" s="70" t="s">
        <v>586</v>
      </c>
      <c r="D57" s="35" t="s">
        <v>316</v>
      </c>
      <c r="E57" s="35" t="s">
        <v>587</v>
      </c>
      <c r="F57" s="36" t="s">
        <v>588</v>
      </c>
      <c r="G57" s="37" t="s">
        <v>273</v>
      </c>
      <c r="H57" s="38" t="s">
        <v>236</v>
      </c>
      <c r="I57" s="47" t="s">
        <v>274</v>
      </c>
      <c r="J57" s="47" t="s">
        <v>589</v>
      </c>
      <c r="K57" s="38"/>
      <c r="L57" s="38" t="s">
        <v>239</v>
      </c>
      <c r="M57" s="40"/>
      <c r="N57" s="41">
        <v>45151.0</v>
      </c>
      <c r="O57" s="41">
        <v>45121.0</v>
      </c>
      <c r="P57" s="35" t="s">
        <v>590</v>
      </c>
      <c r="Q57" s="35" t="s">
        <v>591</v>
      </c>
      <c r="R57" s="42"/>
      <c r="S57" s="45" t="b">
        <v>1</v>
      </c>
      <c r="T57" s="43">
        <f>IFERROR(__xludf.DUMMYFUNCTION("IFERROR(VLOOKUP(C57,IMPORTRANGE(""https://docs.google.com/spreadsheets/d/1RmEXtNg60OGvqZjyMxiYNPJ6S_kcz01v57qrHugDWVc/edit#gid=0"",""Chegadas!E:AQ""),19,0),"""")"),44505.0)</f>
        <v>44505</v>
      </c>
      <c r="U57" s="44" t="s">
        <v>242</v>
      </c>
      <c r="V57" s="45" t="s">
        <v>592</v>
      </c>
      <c r="W57" s="46">
        <f t="shared" si="10"/>
        <v>45151</v>
      </c>
    </row>
    <row r="58" ht="45.0" hidden="1" customHeight="1">
      <c r="A58" s="32" t="s">
        <v>231</v>
      </c>
      <c r="B58" s="33" t="str">
        <f t="shared" si="12"/>
        <v/>
      </c>
      <c r="C58" s="70" t="s">
        <v>593</v>
      </c>
      <c r="D58" s="35" t="s">
        <v>594</v>
      </c>
      <c r="E58" s="35" t="s">
        <v>595</v>
      </c>
      <c r="F58" s="36" t="s">
        <v>596</v>
      </c>
      <c r="G58" s="37" t="s">
        <v>273</v>
      </c>
      <c r="H58" s="47" t="s">
        <v>354</v>
      </c>
      <c r="I58" s="38" t="s">
        <v>293</v>
      </c>
      <c r="J58" s="71" t="s">
        <v>597</v>
      </c>
      <c r="K58" s="72"/>
      <c r="L58" s="38" t="s">
        <v>239</v>
      </c>
      <c r="M58" s="63" t="s">
        <v>598</v>
      </c>
      <c r="N58" s="41">
        <v>45829.0</v>
      </c>
      <c r="O58" s="41">
        <f t="shared" ref="O58:O74" si="13">N58-90</f>
        <v>45739</v>
      </c>
      <c r="P58" s="35" t="s">
        <v>599</v>
      </c>
      <c r="Q58" s="35" t="s">
        <v>600</v>
      </c>
      <c r="R58" s="35" t="s">
        <v>533</v>
      </c>
      <c r="S58" s="45" t="b">
        <v>1</v>
      </c>
      <c r="T58" s="43" t="str">
        <f>IFERROR(__xludf.DUMMYFUNCTION("IFERROR(VLOOKUP(C58,IMPORTRANGE(""https://docs.google.com/spreadsheets/d/1RmEXtNg60OGvqZjyMxiYNPJ6S_kcz01v57qrHugDWVc/edit#gid=0"",""Chegadas!E:AQ""),19,0),"""")"),"")</f>
        <v/>
      </c>
      <c r="U58" s="73" t="s">
        <v>242</v>
      </c>
      <c r="V58" s="60" t="s">
        <v>601</v>
      </c>
      <c r="W58" s="61">
        <f>IFERROR(IF(U58="Ativo","Ativo",IF(U58="SKU excluído","Vencido",VLOOKUP(C58,Encerramentos!B:G,6,0))),"")</f>
        <v>45829</v>
      </c>
    </row>
    <row r="59" ht="45.0" hidden="1" customHeight="1">
      <c r="A59" s="32" t="s">
        <v>231</v>
      </c>
      <c r="B59" s="33" t="str">
        <f t="shared" si="12"/>
        <v/>
      </c>
      <c r="C59" s="70" t="s">
        <v>602</v>
      </c>
      <c r="D59" s="35" t="s">
        <v>594</v>
      </c>
      <c r="E59" s="35" t="s">
        <v>421</v>
      </c>
      <c r="F59" s="36" t="s">
        <v>603</v>
      </c>
      <c r="G59" s="37" t="s">
        <v>273</v>
      </c>
      <c r="H59" s="38" t="s">
        <v>236</v>
      </c>
      <c r="I59" s="47" t="s">
        <v>274</v>
      </c>
      <c r="J59" s="39" t="s">
        <v>604</v>
      </c>
      <c r="K59" s="38"/>
      <c r="L59" s="38" t="s">
        <v>239</v>
      </c>
      <c r="M59" s="40"/>
      <c r="N59" s="41">
        <v>45007.0</v>
      </c>
      <c r="O59" s="41">
        <f t="shared" si="13"/>
        <v>44917</v>
      </c>
      <c r="P59" s="35" t="s">
        <v>424</v>
      </c>
      <c r="Q59" s="35" t="s">
        <v>425</v>
      </c>
      <c r="R59" s="42"/>
      <c r="S59" s="45" t="b">
        <v>1</v>
      </c>
      <c r="T59" s="43" t="str">
        <f>IFERROR(__xludf.DUMMYFUNCTION("IFERROR(VLOOKUP(C59,IMPORTRANGE(""https://docs.google.com/spreadsheets/d/1RmEXtNg60OGvqZjyMxiYNPJ6S_kcz01v57qrHugDWVc/edit#gid=0"",""Chegadas!E:AQ""),19,0),"""")"),"")</f>
        <v/>
      </c>
      <c r="U59" s="44" t="s">
        <v>242</v>
      </c>
      <c r="V59" s="45" t="s">
        <v>426</v>
      </c>
      <c r="W59" s="46">
        <f>N59</f>
        <v>45007</v>
      </c>
    </row>
    <row r="60" ht="45.0" hidden="1" customHeight="1">
      <c r="A60" s="32" t="s">
        <v>231</v>
      </c>
      <c r="B60" s="33" t="str">
        <f t="shared" si="12"/>
        <v/>
      </c>
      <c r="C60" s="70" t="s">
        <v>605</v>
      </c>
      <c r="D60" s="35" t="s">
        <v>606</v>
      </c>
      <c r="E60" s="35" t="s">
        <v>607</v>
      </c>
      <c r="F60" s="36" t="s">
        <v>608</v>
      </c>
      <c r="G60" s="37" t="s">
        <v>273</v>
      </c>
      <c r="H60" s="47" t="s">
        <v>354</v>
      </c>
      <c r="I60" s="38" t="s">
        <v>293</v>
      </c>
      <c r="J60" s="67" t="s">
        <v>609</v>
      </c>
      <c r="K60" s="58">
        <v>45782.0</v>
      </c>
      <c r="L60" s="38" t="s">
        <v>239</v>
      </c>
      <c r="M60" s="63" t="s">
        <v>610</v>
      </c>
      <c r="N60" s="41">
        <v>45852.0</v>
      </c>
      <c r="O60" s="41">
        <f t="shared" si="13"/>
        <v>45762</v>
      </c>
      <c r="P60" s="35" t="s">
        <v>611</v>
      </c>
      <c r="Q60" s="35" t="s">
        <v>612</v>
      </c>
      <c r="R60" s="35" t="s">
        <v>533</v>
      </c>
      <c r="S60" s="45" t="b">
        <v>1</v>
      </c>
      <c r="T60" s="43">
        <f>IFERROR(__xludf.DUMMYFUNCTION("IFERROR(VLOOKUP(C60,IMPORTRANGE(""https://docs.google.com/spreadsheets/d/1RmEXtNg60OGvqZjyMxiYNPJ6S_kcz01v57qrHugDWVc/edit#gid=0"",""Chegadas!E:AQ""),19,0),"""")"),44474.0)</f>
        <v>44474</v>
      </c>
      <c r="U60" s="59" t="s">
        <v>242</v>
      </c>
      <c r="V60" s="60" t="s">
        <v>613</v>
      </c>
      <c r="W60" s="61">
        <f>IFERROR(IF(U60="Ativo","Ativo",IF(U60="SKU excluído","Vencido",VLOOKUP(C60,Encerramentos!B:G,6,0))),"")</f>
        <v>45852</v>
      </c>
    </row>
    <row r="61" ht="45.0" hidden="1" customHeight="1">
      <c r="A61" s="32" t="s">
        <v>231</v>
      </c>
      <c r="B61" s="33" t="str">
        <f t="shared" si="12"/>
        <v/>
      </c>
      <c r="C61" s="70" t="s">
        <v>614</v>
      </c>
      <c r="D61" s="35" t="s">
        <v>606</v>
      </c>
      <c r="E61" s="35" t="s">
        <v>373</v>
      </c>
      <c r="F61" s="36" t="s">
        <v>615</v>
      </c>
      <c r="G61" s="37" t="s">
        <v>273</v>
      </c>
      <c r="H61" s="38" t="s">
        <v>236</v>
      </c>
      <c r="I61" s="47" t="s">
        <v>274</v>
      </c>
      <c r="J61" s="39" t="s">
        <v>616</v>
      </c>
      <c r="K61" s="38"/>
      <c r="L61" s="38" t="s">
        <v>239</v>
      </c>
      <c r="M61" s="40"/>
      <c r="N61" s="66">
        <v>45077.0</v>
      </c>
      <c r="O61" s="41">
        <f t="shared" si="13"/>
        <v>44987</v>
      </c>
      <c r="P61" s="35" t="s">
        <v>377</v>
      </c>
      <c r="Q61" s="35" t="s">
        <v>378</v>
      </c>
      <c r="R61" s="42"/>
      <c r="S61" s="45" t="b">
        <v>1</v>
      </c>
      <c r="T61" s="43" t="str">
        <f>IFERROR(__xludf.DUMMYFUNCTION("IFERROR(VLOOKUP(C61,IMPORTRANGE(""https://docs.google.com/spreadsheets/d/1RmEXtNg60OGvqZjyMxiYNPJ6S_kcz01v57qrHugDWVc/edit#gid=0"",""Chegadas!E:AQ""),19,0),"""")"),"")</f>
        <v/>
      </c>
      <c r="U61" s="44" t="s">
        <v>242</v>
      </c>
      <c r="V61" s="45" t="s">
        <v>379</v>
      </c>
      <c r="W61" s="46">
        <f>N61</f>
        <v>45077</v>
      </c>
    </row>
    <row r="62" ht="45.0" hidden="1" customHeight="1">
      <c r="A62" s="32" t="s">
        <v>231</v>
      </c>
      <c r="B62" s="33" t="str">
        <f t="shared" si="12"/>
        <v/>
      </c>
      <c r="C62" s="70" t="s">
        <v>617</v>
      </c>
      <c r="D62" s="35" t="s">
        <v>606</v>
      </c>
      <c r="E62" s="35" t="s">
        <v>607</v>
      </c>
      <c r="F62" s="36" t="s">
        <v>618</v>
      </c>
      <c r="G62" s="37" t="s">
        <v>273</v>
      </c>
      <c r="H62" s="47" t="s">
        <v>354</v>
      </c>
      <c r="I62" s="38" t="s">
        <v>293</v>
      </c>
      <c r="J62" s="67" t="s">
        <v>619</v>
      </c>
      <c r="K62" s="58">
        <v>45782.0</v>
      </c>
      <c r="L62" s="38" t="s">
        <v>239</v>
      </c>
      <c r="M62" s="63" t="s">
        <v>610</v>
      </c>
      <c r="N62" s="41">
        <v>45852.0</v>
      </c>
      <c r="O62" s="41">
        <f t="shared" si="13"/>
        <v>45762</v>
      </c>
      <c r="P62" s="35" t="s">
        <v>611</v>
      </c>
      <c r="Q62" s="35" t="s">
        <v>612</v>
      </c>
      <c r="R62" s="35" t="s">
        <v>533</v>
      </c>
      <c r="S62" s="45" t="b">
        <v>1</v>
      </c>
      <c r="T62" s="43">
        <f>IFERROR(__xludf.DUMMYFUNCTION("IFERROR(VLOOKUP(C62,IMPORTRANGE(""https://docs.google.com/spreadsheets/d/1RmEXtNg60OGvqZjyMxiYNPJ6S_kcz01v57qrHugDWVc/edit#gid=0"",""Chegadas!E:AQ""),19,0),"""")"),44474.0)</f>
        <v>44474</v>
      </c>
      <c r="U62" s="59" t="s">
        <v>242</v>
      </c>
      <c r="V62" s="60" t="s">
        <v>613</v>
      </c>
      <c r="W62" s="61">
        <f>IFERROR(IF(U62="Ativo","Ativo",IF(U62="SKU excluído","Vencido",VLOOKUP(C62,Encerramentos!B:G,6,0))),"")</f>
        <v>45852</v>
      </c>
    </row>
    <row r="63" ht="45.0" hidden="1" customHeight="1">
      <c r="A63" s="32" t="s">
        <v>231</v>
      </c>
      <c r="B63" s="33" t="str">
        <f t="shared" si="12"/>
        <v/>
      </c>
      <c r="C63" s="70" t="s">
        <v>620</v>
      </c>
      <c r="D63" s="35" t="s">
        <v>606</v>
      </c>
      <c r="E63" s="35" t="s">
        <v>595</v>
      </c>
      <c r="F63" s="36" t="s">
        <v>621</v>
      </c>
      <c r="G63" s="74" t="s">
        <v>273</v>
      </c>
      <c r="H63" s="47" t="s">
        <v>354</v>
      </c>
      <c r="I63" s="38" t="s">
        <v>293</v>
      </c>
      <c r="J63" s="71" t="s">
        <v>622</v>
      </c>
      <c r="K63" s="72"/>
      <c r="L63" s="38" t="s">
        <v>239</v>
      </c>
      <c r="M63" s="63" t="s">
        <v>598</v>
      </c>
      <c r="N63" s="66">
        <v>45829.0</v>
      </c>
      <c r="O63" s="41">
        <f t="shared" si="13"/>
        <v>45739</v>
      </c>
      <c r="P63" s="35" t="s">
        <v>623</v>
      </c>
      <c r="Q63" s="35" t="s">
        <v>624</v>
      </c>
      <c r="R63" s="35" t="s">
        <v>533</v>
      </c>
      <c r="S63" s="45" t="b">
        <v>1</v>
      </c>
      <c r="T63" s="43" t="str">
        <f>IFERROR(__xludf.DUMMYFUNCTION("IFERROR(VLOOKUP(C63,IMPORTRANGE(""https://docs.google.com/spreadsheets/d/1RmEXtNg60OGvqZjyMxiYNPJ6S_kcz01v57qrHugDWVc/edit#gid=0"",""Chegadas!E:AQ""),19,0),"""")"),"")</f>
        <v/>
      </c>
      <c r="U63" s="73" t="s">
        <v>242</v>
      </c>
      <c r="V63" s="60" t="s">
        <v>625</v>
      </c>
      <c r="W63" s="61">
        <f>IFERROR(IF(U63="Ativo","Ativo",IF(U63="SKU excluído","Vencido",VLOOKUP(C63,Encerramentos!B:G,6,0))),"")</f>
        <v>45829</v>
      </c>
    </row>
    <row r="64" ht="45.0" hidden="1" customHeight="1">
      <c r="A64" s="32" t="s">
        <v>231</v>
      </c>
      <c r="B64" s="33" t="str">
        <f t="shared" si="12"/>
        <v/>
      </c>
      <c r="C64" s="70" t="s">
        <v>626</v>
      </c>
      <c r="D64" s="35" t="s">
        <v>606</v>
      </c>
      <c r="E64" s="35" t="s">
        <v>385</v>
      </c>
      <c r="F64" s="36" t="s">
        <v>627</v>
      </c>
      <c r="G64" s="37" t="s">
        <v>387</v>
      </c>
      <c r="H64" s="38" t="s">
        <v>628</v>
      </c>
      <c r="I64" s="38" t="s">
        <v>629</v>
      </c>
      <c r="J64" s="47" t="s">
        <v>630</v>
      </c>
      <c r="K64" s="38"/>
      <c r="L64" s="38" t="s">
        <v>343</v>
      </c>
      <c r="M64" s="40"/>
      <c r="N64" s="66">
        <v>44428.0</v>
      </c>
      <c r="O64" s="41">
        <f t="shared" si="13"/>
        <v>44338</v>
      </c>
      <c r="P64" s="35" t="s">
        <v>400</v>
      </c>
      <c r="Q64" s="35" t="s">
        <v>401</v>
      </c>
      <c r="R64" s="35" t="s">
        <v>286</v>
      </c>
      <c r="S64" s="45" t="b">
        <v>1</v>
      </c>
      <c r="T64" s="43" t="str">
        <f>IFERROR(__xludf.DUMMYFUNCTION("IFERROR(VLOOKUP(C64,IMPORTRANGE(""https://docs.google.com/spreadsheets/d/1RmEXtNg60OGvqZjyMxiYNPJ6S_kcz01v57qrHugDWVc/edit#gid=0"",""Chegadas!E:AQ""),19,0),"""")"),"")</f>
        <v/>
      </c>
      <c r="U64" s="44" t="s">
        <v>242</v>
      </c>
      <c r="V64" s="45" t="s">
        <v>402</v>
      </c>
      <c r="W64" s="46">
        <f t="shared" ref="W64:W72" si="14">N64</f>
        <v>44428</v>
      </c>
    </row>
    <row r="65" ht="45.0" hidden="1" customHeight="1">
      <c r="A65" s="32" t="s">
        <v>231</v>
      </c>
      <c r="B65" s="33" t="str">
        <f t="shared" si="12"/>
        <v/>
      </c>
      <c r="C65" s="70" t="s">
        <v>631</v>
      </c>
      <c r="D65" s="35" t="s">
        <v>632</v>
      </c>
      <c r="E65" s="35" t="s">
        <v>385</v>
      </c>
      <c r="F65" s="36" t="s">
        <v>633</v>
      </c>
      <c r="G65" s="37" t="s">
        <v>387</v>
      </c>
      <c r="H65" s="38" t="s">
        <v>628</v>
      </c>
      <c r="I65" s="38" t="s">
        <v>629</v>
      </c>
      <c r="J65" s="75" t="s">
        <v>634</v>
      </c>
      <c r="K65" s="38"/>
      <c r="L65" s="38" t="s">
        <v>343</v>
      </c>
      <c r="M65" s="40"/>
      <c r="N65" s="66">
        <v>44428.0</v>
      </c>
      <c r="O65" s="41">
        <f t="shared" si="13"/>
        <v>44338</v>
      </c>
      <c r="P65" s="35" t="s">
        <v>400</v>
      </c>
      <c r="Q65" s="35" t="s">
        <v>401</v>
      </c>
      <c r="R65" s="35" t="s">
        <v>286</v>
      </c>
      <c r="S65" s="45" t="b">
        <v>1</v>
      </c>
      <c r="T65" s="43">
        <f>IFERROR(__xludf.DUMMYFUNCTION("IFERROR(VLOOKUP(C65,IMPORTRANGE(""https://docs.google.com/spreadsheets/d/1RmEXtNg60OGvqZjyMxiYNPJ6S_kcz01v57qrHugDWVc/edit#gid=0"",""Chegadas!E:AQ""),19,0),"""")"),44809.0)</f>
        <v>44809</v>
      </c>
      <c r="U65" s="44" t="s">
        <v>242</v>
      </c>
      <c r="V65" s="45" t="s">
        <v>402</v>
      </c>
      <c r="W65" s="46">
        <f t="shared" si="14"/>
        <v>44428</v>
      </c>
    </row>
    <row r="66" ht="45.0" hidden="1" customHeight="1">
      <c r="A66" s="32" t="s">
        <v>231</v>
      </c>
      <c r="B66" s="33" t="str">
        <f t="shared" si="12"/>
        <v/>
      </c>
      <c r="C66" s="34" t="s">
        <v>635</v>
      </c>
      <c r="D66" s="35" t="s">
        <v>594</v>
      </c>
      <c r="E66" s="35" t="s">
        <v>385</v>
      </c>
      <c r="F66" s="36" t="s">
        <v>636</v>
      </c>
      <c r="G66" s="37" t="s">
        <v>387</v>
      </c>
      <c r="H66" s="38" t="s">
        <v>628</v>
      </c>
      <c r="I66" s="38" t="s">
        <v>629</v>
      </c>
      <c r="J66" s="39" t="s">
        <v>637</v>
      </c>
      <c r="K66" s="38"/>
      <c r="L66" s="38" t="s">
        <v>343</v>
      </c>
      <c r="M66" s="40"/>
      <c r="N66" s="66">
        <v>44428.0</v>
      </c>
      <c r="O66" s="66">
        <f t="shared" si="13"/>
        <v>44338</v>
      </c>
      <c r="P66" s="35" t="s">
        <v>400</v>
      </c>
      <c r="Q66" s="35" t="s">
        <v>401</v>
      </c>
      <c r="R66" s="35" t="s">
        <v>286</v>
      </c>
      <c r="S66" s="45" t="b">
        <v>1</v>
      </c>
      <c r="T66" s="43">
        <f>IFERROR(__xludf.DUMMYFUNCTION("IFERROR(VLOOKUP(C66,IMPORTRANGE(""https://docs.google.com/spreadsheets/d/1RmEXtNg60OGvqZjyMxiYNPJ6S_kcz01v57qrHugDWVc/edit#gid=0"",""Chegadas!E:AQ""),19,0),"""")"),44474.0)</f>
        <v>44474</v>
      </c>
      <c r="U66" s="44" t="s">
        <v>242</v>
      </c>
      <c r="V66" s="45" t="s">
        <v>402</v>
      </c>
      <c r="W66" s="46">
        <f t="shared" si="14"/>
        <v>44428</v>
      </c>
    </row>
    <row r="67" ht="45.0" hidden="1" customHeight="1">
      <c r="A67" s="32" t="s">
        <v>231</v>
      </c>
      <c r="B67" s="33" t="str">
        <f t="shared" si="12"/>
        <v/>
      </c>
      <c r="C67" s="34" t="s">
        <v>638</v>
      </c>
      <c r="D67" s="35" t="s">
        <v>31</v>
      </c>
      <c r="E67" s="35" t="s">
        <v>405</v>
      </c>
      <c r="F67" s="36" t="s">
        <v>639</v>
      </c>
      <c r="G67" s="37" t="s">
        <v>273</v>
      </c>
      <c r="H67" s="38" t="s">
        <v>236</v>
      </c>
      <c r="I67" s="47" t="s">
        <v>274</v>
      </c>
      <c r="J67" s="47" t="s">
        <v>640</v>
      </c>
      <c r="K67" s="38"/>
      <c r="L67" s="38" t="s">
        <v>239</v>
      </c>
      <c r="M67" s="40"/>
      <c r="N67" s="66">
        <v>45066.0</v>
      </c>
      <c r="O67" s="41">
        <f t="shared" si="13"/>
        <v>44976</v>
      </c>
      <c r="P67" s="35" t="s">
        <v>641</v>
      </c>
      <c r="Q67" s="35" t="s">
        <v>642</v>
      </c>
      <c r="R67" s="42"/>
      <c r="S67" s="42" t="b">
        <v>0</v>
      </c>
      <c r="T67" s="43" t="str">
        <f>IFERROR(__xludf.DUMMYFUNCTION("IFERROR(VLOOKUP(C67,IMPORTRANGE(""https://docs.google.com/spreadsheets/d/1RmEXtNg60OGvqZjyMxiYNPJ6S_kcz01v57qrHugDWVc/edit#gid=0"",""Chegadas!E:AQ""),19,0),"""")"),"")</f>
        <v/>
      </c>
      <c r="U67" s="44" t="s">
        <v>242</v>
      </c>
      <c r="V67" s="45" t="s">
        <v>643</v>
      </c>
      <c r="W67" s="46">
        <f t="shared" si="14"/>
        <v>45066</v>
      </c>
    </row>
    <row r="68" ht="57.0" hidden="1" customHeight="1">
      <c r="A68" s="32" t="s">
        <v>231</v>
      </c>
      <c r="B68" s="33" t="str">
        <f t="shared" si="12"/>
        <v/>
      </c>
      <c r="C68" s="34" t="s">
        <v>644</v>
      </c>
      <c r="D68" s="35" t="s">
        <v>428</v>
      </c>
      <c r="E68" s="35" t="s">
        <v>645</v>
      </c>
      <c r="F68" s="36" t="s">
        <v>646</v>
      </c>
      <c r="G68" s="37" t="s">
        <v>273</v>
      </c>
      <c r="H68" s="38" t="s">
        <v>236</v>
      </c>
      <c r="I68" s="47" t="s">
        <v>274</v>
      </c>
      <c r="J68" s="75" t="s">
        <v>647</v>
      </c>
      <c r="K68" s="38"/>
      <c r="L68" s="38" t="s">
        <v>239</v>
      </c>
      <c r="M68" s="63" t="s">
        <v>530</v>
      </c>
      <c r="N68" s="66">
        <v>45186.0</v>
      </c>
      <c r="O68" s="41">
        <f t="shared" si="13"/>
        <v>45096</v>
      </c>
      <c r="P68" s="35" t="s">
        <v>648</v>
      </c>
      <c r="Q68" s="35" t="s">
        <v>649</v>
      </c>
      <c r="R68" s="35" t="s">
        <v>494</v>
      </c>
      <c r="S68" s="45" t="b">
        <v>1</v>
      </c>
      <c r="T68" s="43">
        <f>IFERROR(__xludf.DUMMYFUNCTION("IFERROR(VLOOKUP(C68,IMPORTRANGE(""https://docs.google.com/spreadsheets/d/1RmEXtNg60OGvqZjyMxiYNPJ6S_kcz01v57qrHugDWVc/edit#gid=0"",""Chegadas!E:AQ""),19,0),"""")"),44505.0)</f>
        <v>44505</v>
      </c>
      <c r="U68" s="44" t="s">
        <v>242</v>
      </c>
      <c r="V68" s="60" t="s">
        <v>650</v>
      </c>
      <c r="W68" s="46">
        <f t="shared" si="14"/>
        <v>45186</v>
      </c>
    </row>
    <row r="69" ht="45.0" hidden="1" customHeight="1">
      <c r="A69" s="32" t="s">
        <v>231</v>
      </c>
      <c r="B69" s="33" t="str">
        <f t="shared" si="12"/>
        <v/>
      </c>
      <c r="C69" s="34" t="s">
        <v>651</v>
      </c>
      <c r="D69" s="35" t="s">
        <v>428</v>
      </c>
      <c r="E69" s="35" t="s">
        <v>652</v>
      </c>
      <c r="F69" s="36" t="s">
        <v>653</v>
      </c>
      <c r="G69" s="37" t="s">
        <v>291</v>
      </c>
      <c r="H69" s="38" t="s">
        <v>431</v>
      </c>
      <c r="I69" s="38" t="s">
        <v>432</v>
      </c>
      <c r="J69" s="47" t="s">
        <v>654</v>
      </c>
      <c r="K69" s="38"/>
      <c r="L69" s="38" t="s">
        <v>265</v>
      </c>
      <c r="M69" s="40"/>
      <c r="N69" s="66">
        <v>44788.0</v>
      </c>
      <c r="O69" s="41">
        <f t="shared" si="13"/>
        <v>44698</v>
      </c>
      <c r="P69" s="35" t="s">
        <v>655</v>
      </c>
      <c r="Q69" s="37" t="s">
        <v>61</v>
      </c>
      <c r="R69" s="35" t="s">
        <v>286</v>
      </c>
      <c r="S69" s="45" t="b">
        <v>1</v>
      </c>
      <c r="T69" s="43">
        <f>IFERROR(__xludf.DUMMYFUNCTION("IFERROR(VLOOKUP(C69,IMPORTRANGE(""https://docs.google.com/spreadsheets/d/1RmEXtNg60OGvqZjyMxiYNPJ6S_kcz01v57qrHugDWVc/edit#gid=0"",""Chegadas!E:AQ""),19,0),"""")"),44505.0)</f>
        <v>44505</v>
      </c>
      <c r="U69" s="44" t="s">
        <v>242</v>
      </c>
      <c r="V69" s="45" t="s">
        <v>656</v>
      </c>
      <c r="W69" s="46">
        <f t="shared" si="14"/>
        <v>44788</v>
      </c>
    </row>
    <row r="70" ht="45.0" hidden="1" customHeight="1">
      <c r="A70" s="32" t="s">
        <v>231</v>
      </c>
      <c r="B70" s="33" t="str">
        <f t="shared" si="12"/>
        <v/>
      </c>
      <c r="C70" s="34" t="s">
        <v>657</v>
      </c>
      <c r="D70" s="35" t="s">
        <v>428</v>
      </c>
      <c r="E70" s="35" t="s">
        <v>652</v>
      </c>
      <c r="F70" s="36" t="s">
        <v>658</v>
      </c>
      <c r="G70" s="37" t="s">
        <v>291</v>
      </c>
      <c r="H70" s="38" t="s">
        <v>431</v>
      </c>
      <c r="I70" s="38" t="s">
        <v>432</v>
      </c>
      <c r="J70" s="47" t="s">
        <v>659</v>
      </c>
      <c r="K70" s="38"/>
      <c r="L70" s="38" t="s">
        <v>265</v>
      </c>
      <c r="M70" s="40"/>
      <c r="N70" s="66">
        <v>44788.0</v>
      </c>
      <c r="O70" s="41">
        <f t="shared" si="13"/>
        <v>44698</v>
      </c>
      <c r="P70" s="35" t="s">
        <v>655</v>
      </c>
      <c r="Q70" s="37" t="s">
        <v>61</v>
      </c>
      <c r="R70" s="35" t="s">
        <v>286</v>
      </c>
      <c r="S70" s="45" t="b">
        <v>1</v>
      </c>
      <c r="T70" s="43">
        <f>IFERROR(__xludf.DUMMYFUNCTION("IFERROR(VLOOKUP(C70,IMPORTRANGE(""https://docs.google.com/spreadsheets/d/1RmEXtNg60OGvqZjyMxiYNPJ6S_kcz01v57qrHugDWVc/edit#gid=0"",""Chegadas!E:AQ""),19,0),"""")"),44505.0)</f>
        <v>44505</v>
      </c>
      <c r="U70" s="44" t="s">
        <v>242</v>
      </c>
      <c r="V70" s="45" t="s">
        <v>656</v>
      </c>
      <c r="W70" s="46">
        <f t="shared" si="14"/>
        <v>44788</v>
      </c>
    </row>
    <row r="71" ht="45.0" hidden="1" customHeight="1">
      <c r="A71" s="32" t="s">
        <v>231</v>
      </c>
      <c r="B71" s="33" t="str">
        <f t="shared" si="12"/>
        <v/>
      </c>
      <c r="C71" s="34" t="s">
        <v>660</v>
      </c>
      <c r="D71" s="35" t="s">
        <v>661</v>
      </c>
      <c r="E71" s="35" t="s">
        <v>662</v>
      </c>
      <c r="F71" s="36" t="s">
        <v>663</v>
      </c>
      <c r="G71" s="37" t="s">
        <v>291</v>
      </c>
      <c r="H71" s="38" t="s">
        <v>431</v>
      </c>
      <c r="I71" s="38" t="s">
        <v>664</v>
      </c>
      <c r="J71" s="47" t="s">
        <v>665</v>
      </c>
      <c r="K71" s="38"/>
      <c r="L71" s="38" t="s">
        <v>265</v>
      </c>
      <c r="M71" s="40"/>
      <c r="N71" s="66">
        <v>44813.0</v>
      </c>
      <c r="O71" s="41">
        <f t="shared" si="13"/>
        <v>44723</v>
      </c>
      <c r="P71" s="35" t="s">
        <v>666</v>
      </c>
      <c r="Q71" s="35" t="s">
        <v>61</v>
      </c>
      <c r="R71" s="35" t="s">
        <v>286</v>
      </c>
      <c r="S71" s="45" t="b">
        <v>1</v>
      </c>
      <c r="T71" s="43">
        <f>IFERROR(__xludf.DUMMYFUNCTION("IFERROR(VLOOKUP(C71,IMPORTRANGE(""https://docs.google.com/spreadsheets/d/1RmEXtNg60OGvqZjyMxiYNPJ6S_kcz01v57qrHugDWVc/edit#gid=0"",""Chegadas!E:AQ""),19,0),"""")"),44566.0)</f>
        <v>44566</v>
      </c>
      <c r="U71" s="44" t="s">
        <v>242</v>
      </c>
      <c r="V71" s="45" t="s">
        <v>667</v>
      </c>
      <c r="W71" s="46">
        <f t="shared" si="14"/>
        <v>44813</v>
      </c>
    </row>
    <row r="72" ht="45.0" hidden="1" customHeight="1">
      <c r="A72" s="32" t="s">
        <v>231</v>
      </c>
      <c r="B72" s="33" t="str">
        <f t="shared" si="12"/>
        <v/>
      </c>
      <c r="C72" s="34" t="s">
        <v>668</v>
      </c>
      <c r="D72" s="35" t="s">
        <v>661</v>
      </c>
      <c r="E72" s="35" t="s">
        <v>662</v>
      </c>
      <c r="F72" s="36" t="s">
        <v>669</v>
      </c>
      <c r="G72" s="37" t="s">
        <v>291</v>
      </c>
      <c r="H72" s="38" t="s">
        <v>431</v>
      </c>
      <c r="I72" s="38" t="s">
        <v>664</v>
      </c>
      <c r="J72" s="47" t="s">
        <v>670</v>
      </c>
      <c r="K72" s="38"/>
      <c r="L72" s="38" t="s">
        <v>265</v>
      </c>
      <c r="M72" s="40"/>
      <c r="N72" s="66">
        <v>44813.0</v>
      </c>
      <c r="O72" s="41">
        <f t="shared" si="13"/>
        <v>44723</v>
      </c>
      <c r="P72" s="35" t="s">
        <v>666</v>
      </c>
      <c r="Q72" s="35" t="s">
        <v>61</v>
      </c>
      <c r="R72" s="35" t="s">
        <v>286</v>
      </c>
      <c r="S72" s="45" t="b">
        <v>1</v>
      </c>
      <c r="T72" s="43">
        <f>IFERROR(__xludf.DUMMYFUNCTION("IFERROR(VLOOKUP(C72,IMPORTRANGE(""https://docs.google.com/spreadsheets/d/1RmEXtNg60OGvqZjyMxiYNPJ6S_kcz01v57qrHugDWVc/edit#gid=0"",""Chegadas!E:AQ""),19,0),"""")"),44566.0)</f>
        <v>44566</v>
      </c>
      <c r="U72" s="44" t="s">
        <v>242</v>
      </c>
      <c r="V72" s="45" t="s">
        <v>667</v>
      </c>
      <c r="W72" s="46">
        <f t="shared" si="14"/>
        <v>44813</v>
      </c>
    </row>
    <row r="73" ht="45.0" hidden="1" customHeight="1">
      <c r="A73" s="32" t="s">
        <v>231</v>
      </c>
      <c r="B73" s="33" t="str">
        <f t="shared" si="12"/>
        <v/>
      </c>
      <c r="C73" s="34" t="s">
        <v>671</v>
      </c>
      <c r="D73" s="35" t="s">
        <v>428</v>
      </c>
      <c r="E73" s="35" t="s">
        <v>672</v>
      </c>
      <c r="F73" s="36" t="s">
        <v>673</v>
      </c>
      <c r="G73" s="37" t="s">
        <v>273</v>
      </c>
      <c r="H73" s="38" t="s">
        <v>236</v>
      </c>
      <c r="I73" s="47" t="s">
        <v>274</v>
      </c>
      <c r="J73" s="67" t="s">
        <v>674</v>
      </c>
      <c r="K73" s="58">
        <v>45911.0</v>
      </c>
      <c r="L73" s="38" t="s">
        <v>239</v>
      </c>
      <c r="M73" s="63" t="s">
        <v>675</v>
      </c>
      <c r="N73" s="66">
        <v>45991.0</v>
      </c>
      <c r="O73" s="41">
        <f t="shared" si="13"/>
        <v>45901</v>
      </c>
      <c r="P73" s="35" t="s">
        <v>676</v>
      </c>
      <c r="Q73" s="35" t="s">
        <v>677</v>
      </c>
      <c r="R73" s="35" t="s">
        <v>533</v>
      </c>
      <c r="S73" s="45" t="b">
        <v>1</v>
      </c>
      <c r="T73" s="43">
        <f>IFERROR(__xludf.DUMMYFUNCTION("IFERROR(VLOOKUP(C73,IMPORTRANGE(""https://docs.google.com/spreadsheets/d/1RmEXtNg60OGvqZjyMxiYNPJ6S_kcz01v57qrHugDWVc/edit#gid=0"",""Chegadas!E:AQ""),19,0),"""")"),44717.0)</f>
        <v>44717</v>
      </c>
      <c r="U73" s="59" t="s">
        <v>242</v>
      </c>
      <c r="V73" s="60" t="s">
        <v>678</v>
      </c>
      <c r="W73" s="61">
        <f>IFERROR(IF(U73="Ativo","Ativo",IF(U73="SKU excluído","Vencido",VLOOKUP(C73,Encerramentos!B:G,6,0))),"")</f>
        <v>45991</v>
      </c>
    </row>
    <row r="74" ht="45.0" hidden="1" customHeight="1">
      <c r="A74" s="32" t="s">
        <v>231</v>
      </c>
      <c r="B74" s="33" t="str">
        <f t="shared" si="12"/>
        <v/>
      </c>
      <c r="C74" s="34" t="s">
        <v>679</v>
      </c>
      <c r="D74" s="35" t="s">
        <v>428</v>
      </c>
      <c r="E74" s="35" t="s">
        <v>680</v>
      </c>
      <c r="F74" s="36" t="s">
        <v>681</v>
      </c>
      <c r="G74" s="37" t="s">
        <v>273</v>
      </c>
      <c r="H74" s="38" t="s">
        <v>236</v>
      </c>
      <c r="I74" s="47" t="s">
        <v>274</v>
      </c>
      <c r="J74" s="39" t="s">
        <v>682</v>
      </c>
      <c r="K74" s="38"/>
      <c r="L74" s="38" t="s">
        <v>239</v>
      </c>
      <c r="M74" s="40"/>
      <c r="N74" s="66">
        <v>45058.0</v>
      </c>
      <c r="O74" s="41">
        <f t="shared" si="13"/>
        <v>44968</v>
      </c>
      <c r="P74" s="35" t="s">
        <v>485</v>
      </c>
      <c r="Q74" s="35" t="s">
        <v>486</v>
      </c>
      <c r="R74" s="42"/>
      <c r="S74" s="45" t="b">
        <v>1</v>
      </c>
      <c r="T74" s="43">
        <f>IFERROR(__xludf.DUMMYFUNCTION("IFERROR(VLOOKUP(C74,IMPORTRANGE(""https://docs.google.com/spreadsheets/d/1RmEXtNg60OGvqZjyMxiYNPJ6S_kcz01v57qrHugDWVc/edit#gid=0"",""Chegadas!E:AQ""),19,0),"""")"),44505.0)</f>
        <v>44505</v>
      </c>
      <c r="U74" s="44" t="s">
        <v>242</v>
      </c>
      <c r="V74" s="45" t="s">
        <v>487</v>
      </c>
      <c r="W74" s="46">
        <f t="shared" ref="W74:W108" si="15">N74</f>
        <v>45058</v>
      </c>
    </row>
    <row r="75" ht="81.75" hidden="1" customHeight="1">
      <c r="A75" s="32" t="s">
        <v>231</v>
      </c>
      <c r="B75" s="33" t="str">
        <f t="shared" si="12"/>
        <v/>
      </c>
      <c r="C75" s="34" t="s">
        <v>683</v>
      </c>
      <c r="D75" s="35" t="s">
        <v>428</v>
      </c>
      <c r="E75" s="35" t="s">
        <v>684</v>
      </c>
      <c r="F75" s="36" t="s">
        <v>685</v>
      </c>
      <c r="G75" s="37" t="s">
        <v>262</v>
      </c>
      <c r="H75" s="38" t="s">
        <v>686</v>
      </c>
      <c r="I75" s="38" t="s">
        <v>687</v>
      </c>
      <c r="J75" s="47" t="s">
        <v>688</v>
      </c>
      <c r="K75" s="38"/>
      <c r="L75" s="38" t="s">
        <v>239</v>
      </c>
      <c r="M75" s="40"/>
      <c r="N75" s="35" t="s">
        <v>689</v>
      </c>
      <c r="O75" s="66">
        <v>44708.0</v>
      </c>
      <c r="P75" s="35" t="s">
        <v>690</v>
      </c>
      <c r="Q75" s="35" t="s">
        <v>691</v>
      </c>
      <c r="R75" s="35" t="s">
        <v>286</v>
      </c>
      <c r="S75" s="45" t="b">
        <v>1</v>
      </c>
      <c r="T75" s="43">
        <f>IFERROR(__xludf.DUMMYFUNCTION("IFERROR(VLOOKUP(C75,IMPORTRANGE(""https://docs.google.com/spreadsheets/d/1RmEXtNg60OGvqZjyMxiYNPJ6S_kcz01v57qrHugDWVc/edit#gid=0"",""Chegadas!E:AQ""),19,0),"""")"),44505.0)</f>
        <v>44505</v>
      </c>
      <c r="U75" s="44" t="s">
        <v>242</v>
      </c>
      <c r="V75" s="45" t="s">
        <v>692</v>
      </c>
      <c r="W75" s="48" t="str">
        <f t="shared" si="15"/>
        <v>25/08/2022
04/08/2023</v>
      </c>
    </row>
    <row r="76" ht="54.75" hidden="1" customHeight="1">
      <c r="A76" s="32" t="s">
        <v>231</v>
      </c>
      <c r="B76" s="33" t="str">
        <f t="shared" si="12"/>
        <v/>
      </c>
      <c r="C76" s="34" t="s">
        <v>693</v>
      </c>
      <c r="D76" s="35" t="s">
        <v>428</v>
      </c>
      <c r="E76" s="35" t="s">
        <v>360</v>
      </c>
      <c r="F76" s="36" t="s">
        <v>694</v>
      </c>
      <c r="G76" s="37" t="s">
        <v>273</v>
      </c>
      <c r="H76" s="38" t="s">
        <v>236</v>
      </c>
      <c r="I76" s="47" t="s">
        <v>274</v>
      </c>
      <c r="J76" s="47" t="s">
        <v>695</v>
      </c>
      <c r="K76" s="38"/>
      <c r="L76" s="38" t="s">
        <v>239</v>
      </c>
      <c r="M76" s="63" t="s">
        <v>491</v>
      </c>
      <c r="N76" s="41">
        <v>45234.0</v>
      </c>
      <c r="O76" s="41">
        <f t="shared" ref="O76:O80" si="16">N76-90</f>
        <v>45144</v>
      </c>
      <c r="P76" s="35" t="s">
        <v>696</v>
      </c>
      <c r="Q76" s="35" t="s">
        <v>697</v>
      </c>
      <c r="R76" s="42"/>
      <c r="S76" s="45" t="b">
        <v>1</v>
      </c>
      <c r="T76" s="43">
        <f>IFERROR(__xludf.DUMMYFUNCTION("IFERROR(VLOOKUP(C76,IMPORTRANGE(""https://docs.google.com/spreadsheets/d/1RmEXtNg60OGvqZjyMxiYNPJ6S_kcz01v57qrHugDWVc/edit#gid=0"",""Chegadas!E:AQ""),19,0),"""")"),44505.0)</f>
        <v>44505</v>
      </c>
      <c r="U76" s="44" t="s">
        <v>242</v>
      </c>
      <c r="V76" s="45" t="s">
        <v>698</v>
      </c>
      <c r="W76" s="46">
        <f t="shared" si="15"/>
        <v>45234</v>
      </c>
    </row>
    <row r="77" ht="87.75" hidden="1" customHeight="1">
      <c r="A77" s="32" t="s">
        <v>231</v>
      </c>
      <c r="B77" s="33" t="str">
        <f t="shared" si="12"/>
        <v/>
      </c>
      <c r="C77" s="53" t="s">
        <v>699</v>
      </c>
      <c r="D77" s="35" t="s">
        <v>428</v>
      </c>
      <c r="E77" s="35" t="s">
        <v>360</v>
      </c>
      <c r="F77" s="36" t="s">
        <v>700</v>
      </c>
      <c r="G77" s="37" t="s">
        <v>273</v>
      </c>
      <c r="H77" s="38" t="s">
        <v>701</v>
      </c>
      <c r="I77" s="47" t="s">
        <v>702</v>
      </c>
      <c r="J77" s="75" t="s">
        <v>703</v>
      </c>
      <c r="K77" s="38"/>
      <c r="L77" s="38" t="s">
        <v>239</v>
      </c>
      <c r="M77" s="40"/>
      <c r="N77" s="41">
        <v>45156.0</v>
      </c>
      <c r="O77" s="41">
        <f t="shared" si="16"/>
        <v>45066</v>
      </c>
      <c r="P77" s="35" t="s">
        <v>704</v>
      </c>
      <c r="Q77" s="35" t="s">
        <v>705</v>
      </c>
      <c r="R77" s="35" t="s">
        <v>286</v>
      </c>
      <c r="S77" s="45" t="b">
        <v>1</v>
      </c>
      <c r="T77" s="43">
        <f>IFERROR(__xludf.DUMMYFUNCTION("IFERROR(VLOOKUP(C77,IMPORTRANGE(""https://docs.google.com/spreadsheets/d/1RmEXtNg60OGvqZjyMxiYNPJ6S_kcz01v57qrHugDWVc/edit#gid=0"",""Chegadas!E:AQ""),19,0),"""")"),44474.0)</f>
        <v>44474</v>
      </c>
      <c r="U77" s="44" t="s">
        <v>242</v>
      </c>
      <c r="V77" s="45" t="s">
        <v>706</v>
      </c>
      <c r="W77" s="46">
        <f t="shared" si="15"/>
        <v>45156</v>
      </c>
    </row>
    <row r="78" ht="64.5" hidden="1" customHeight="1">
      <c r="A78" s="32" t="s">
        <v>231</v>
      </c>
      <c r="B78" s="33" t="str">
        <f t="shared" si="12"/>
        <v/>
      </c>
      <c r="C78" s="34" t="s">
        <v>707</v>
      </c>
      <c r="D78" s="35" t="s">
        <v>661</v>
      </c>
      <c r="E78" s="35" t="s">
        <v>708</v>
      </c>
      <c r="F78" s="36" t="s">
        <v>709</v>
      </c>
      <c r="G78" s="37" t="s">
        <v>291</v>
      </c>
      <c r="H78" s="38" t="s">
        <v>431</v>
      </c>
      <c r="I78" s="38" t="s">
        <v>432</v>
      </c>
      <c r="J78" s="47" t="s">
        <v>710</v>
      </c>
      <c r="K78" s="38"/>
      <c r="L78" s="38" t="s">
        <v>711</v>
      </c>
      <c r="M78" s="40"/>
      <c r="N78" s="66">
        <v>44799.0</v>
      </c>
      <c r="O78" s="76">
        <f t="shared" si="16"/>
        <v>44709</v>
      </c>
      <c r="P78" s="35" t="s">
        <v>712</v>
      </c>
      <c r="Q78" s="37" t="s">
        <v>277</v>
      </c>
      <c r="R78" s="35" t="s">
        <v>286</v>
      </c>
      <c r="S78" s="45" t="b">
        <v>1</v>
      </c>
      <c r="T78" s="43">
        <f>IFERROR(__xludf.DUMMYFUNCTION("IFERROR(VLOOKUP(C78,IMPORTRANGE(""https://docs.google.com/spreadsheets/d/1RmEXtNg60OGvqZjyMxiYNPJ6S_kcz01v57qrHugDWVc/edit#gid=0"",""Chegadas!E:AQ""),19,0),"""")"),44535.0)</f>
        <v>44535</v>
      </c>
      <c r="U78" s="44" t="s">
        <v>242</v>
      </c>
      <c r="V78" s="45" t="s">
        <v>713</v>
      </c>
      <c r="W78" s="46">
        <f t="shared" si="15"/>
        <v>44799</v>
      </c>
    </row>
    <row r="79" ht="68.25" hidden="1" customHeight="1">
      <c r="A79" s="32" t="s">
        <v>231</v>
      </c>
      <c r="B79" s="33" t="str">
        <f t="shared" si="12"/>
        <v/>
      </c>
      <c r="C79" s="34" t="s">
        <v>714</v>
      </c>
      <c r="D79" s="35" t="s">
        <v>661</v>
      </c>
      <c r="E79" s="35" t="s">
        <v>708</v>
      </c>
      <c r="F79" s="36" t="s">
        <v>715</v>
      </c>
      <c r="G79" s="37" t="s">
        <v>291</v>
      </c>
      <c r="H79" s="38" t="s">
        <v>431</v>
      </c>
      <c r="I79" s="38" t="s">
        <v>432</v>
      </c>
      <c r="J79" s="47" t="s">
        <v>716</v>
      </c>
      <c r="K79" s="38"/>
      <c r="L79" s="38" t="s">
        <v>711</v>
      </c>
      <c r="M79" s="40"/>
      <c r="N79" s="66">
        <v>44799.0</v>
      </c>
      <c r="O79" s="76">
        <f t="shared" si="16"/>
        <v>44709</v>
      </c>
      <c r="P79" s="35" t="s">
        <v>712</v>
      </c>
      <c r="Q79" s="37" t="s">
        <v>277</v>
      </c>
      <c r="R79" s="35" t="s">
        <v>286</v>
      </c>
      <c r="S79" s="45" t="b">
        <v>1</v>
      </c>
      <c r="T79" s="43">
        <f>IFERROR(__xludf.DUMMYFUNCTION("IFERROR(VLOOKUP(C79,IMPORTRANGE(""https://docs.google.com/spreadsheets/d/1RmEXtNg60OGvqZjyMxiYNPJ6S_kcz01v57qrHugDWVc/edit#gid=0"",""Chegadas!E:AQ""),19,0),"""")"),44535.0)</f>
        <v>44535</v>
      </c>
      <c r="U79" s="44" t="s">
        <v>242</v>
      </c>
      <c r="V79" s="45" t="s">
        <v>713</v>
      </c>
      <c r="W79" s="46">
        <f t="shared" si="15"/>
        <v>44799</v>
      </c>
    </row>
    <row r="80" ht="66.0" hidden="1" customHeight="1">
      <c r="A80" s="32" t="s">
        <v>231</v>
      </c>
      <c r="B80" s="33" t="str">
        <f t="shared" si="12"/>
        <v/>
      </c>
      <c r="C80" s="34" t="s">
        <v>717</v>
      </c>
      <c r="D80" s="35" t="s">
        <v>661</v>
      </c>
      <c r="E80" s="35" t="s">
        <v>718</v>
      </c>
      <c r="F80" s="36" t="s">
        <v>719</v>
      </c>
      <c r="G80" s="37" t="s">
        <v>273</v>
      </c>
      <c r="H80" s="38" t="s">
        <v>236</v>
      </c>
      <c r="I80" s="38" t="s">
        <v>274</v>
      </c>
      <c r="J80" s="39" t="s">
        <v>720</v>
      </c>
      <c r="K80" s="38"/>
      <c r="L80" s="38" t="s">
        <v>239</v>
      </c>
      <c r="M80" s="40"/>
      <c r="N80" s="41">
        <v>45038.0</v>
      </c>
      <c r="O80" s="76">
        <f t="shared" si="16"/>
        <v>44948</v>
      </c>
      <c r="P80" s="37" t="s">
        <v>408</v>
      </c>
      <c r="Q80" s="35" t="s">
        <v>409</v>
      </c>
      <c r="R80" s="42"/>
      <c r="S80" s="45" t="b">
        <v>0</v>
      </c>
      <c r="T80" s="43">
        <f>IFERROR(__xludf.DUMMYFUNCTION("IFERROR(VLOOKUP(C80,IMPORTRANGE(""https://docs.google.com/spreadsheets/d/1RmEXtNg60OGvqZjyMxiYNPJ6S_kcz01v57qrHugDWVc/edit#gid=0"",""Chegadas!E:AQ""),19,0),"""")"),44505.0)</f>
        <v>44505</v>
      </c>
      <c r="U80" s="44" t="s">
        <v>242</v>
      </c>
      <c r="V80" s="45" t="s">
        <v>410</v>
      </c>
      <c r="W80" s="46">
        <f t="shared" si="15"/>
        <v>45038</v>
      </c>
    </row>
    <row r="81" ht="45.0" hidden="1" customHeight="1">
      <c r="A81" s="32" t="s">
        <v>231</v>
      </c>
      <c r="B81" s="33" t="str">
        <f t="shared" si="12"/>
        <v/>
      </c>
      <c r="C81" s="34" t="s">
        <v>444</v>
      </c>
      <c r="D81" s="35" t="s">
        <v>445</v>
      </c>
      <c r="E81" s="35" t="s">
        <v>260</v>
      </c>
      <c r="F81" s="36" t="s">
        <v>446</v>
      </c>
      <c r="G81" s="77" t="s">
        <v>262</v>
      </c>
      <c r="H81" s="78" t="s">
        <v>46</v>
      </c>
      <c r="I81" s="78" t="s">
        <v>447</v>
      </c>
      <c r="J81" s="75" t="s">
        <v>721</v>
      </c>
      <c r="K81" s="38"/>
      <c r="L81" s="38" t="s">
        <v>265</v>
      </c>
      <c r="M81" s="40"/>
      <c r="N81" s="41" t="s">
        <v>283</v>
      </c>
      <c r="O81" s="41" t="s">
        <v>434</v>
      </c>
      <c r="P81" s="37" t="s">
        <v>722</v>
      </c>
      <c r="Q81" s="37" t="s">
        <v>277</v>
      </c>
      <c r="R81" s="35" t="s">
        <v>286</v>
      </c>
      <c r="S81" s="45" t="b">
        <v>1</v>
      </c>
      <c r="T81" s="43" t="str">
        <f>IFERROR(__xludf.DUMMYFUNCTION("IFERROR(VLOOKUP(C81,IMPORTRANGE(""https://docs.google.com/spreadsheets/d/1RmEXtNg60OGvqZjyMxiYNPJ6S_kcz01v57qrHugDWVc/edit#gid=0"",""Chegadas!E:AQ""),19,0),"""")"),"")</f>
        <v/>
      </c>
      <c r="U81" s="44" t="s">
        <v>242</v>
      </c>
      <c r="V81" s="45" t="s">
        <v>287</v>
      </c>
      <c r="W81" s="46" t="str">
        <f t="shared" si="15"/>
        <v>Até o final do lote</v>
      </c>
    </row>
    <row r="82" ht="45.0" hidden="1" customHeight="1">
      <c r="A82" s="32" t="s">
        <v>231</v>
      </c>
      <c r="B82" s="33" t="str">
        <f t="shared" si="12"/>
        <v/>
      </c>
      <c r="C82" s="34" t="s">
        <v>427</v>
      </c>
      <c r="D82" s="35" t="s">
        <v>428</v>
      </c>
      <c r="E82" s="35" t="s">
        <v>429</v>
      </c>
      <c r="F82" s="36" t="s">
        <v>430</v>
      </c>
      <c r="G82" s="37" t="s">
        <v>262</v>
      </c>
      <c r="H82" s="38" t="s">
        <v>431</v>
      </c>
      <c r="I82" s="38" t="s">
        <v>723</v>
      </c>
      <c r="J82" s="75" t="s">
        <v>724</v>
      </c>
      <c r="K82" s="38"/>
      <c r="L82" s="38" t="s">
        <v>265</v>
      </c>
      <c r="M82" s="40"/>
      <c r="N82" s="41" t="s">
        <v>283</v>
      </c>
      <c r="O82" s="41" t="s">
        <v>434</v>
      </c>
      <c r="P82" s="37" t="s">
        <v>435</v>
      </c>
      <c r="Q82" s="37" t="s">
        <v>277</v>
      </c>
      <c r="R82" s="35" t="s">
        <v>286</v>
      </c>
      <c r="S82" s="42" t="b">
        <v>0</v>
      </c>
      <c r="T82" s="43">
        <f>IFERROR(__xludf.DUMMYFUNCTION("IFERROR(VLOOKUP(C82,IMPORTRANGE(""https://docs.google.com/spreadsheets/d/1RmEXtNg60OGvqZjyMxiYNPJ6S_kcz01v57qrHugDWVc/edit#gid=0"",""Chegadas!E:AQ""),19,0),"""")"),44474.0)</f>
        <v>44474</v>
      </c>
      <c r="U82" s="44" t="s">
        <v>242</v>
      </c>
      <c r="V82" s="45" t="s">
        <v>436</v>
      </c>
      <c r="W82" s="46" t="str">
        <f t="shared" si="15"/>
        <v>Até o final do lote</v>
      </c>
    </row>
    <row r="83" ht="45.0" hidden="1" customHeight="1">
      <c r="A83" s="32" t="s">
        <v>231</v>
      </c>
      <c r="B83" s="33" t="str">
        <f t="shared" si="12"/>
        <v/>
      </c>
      <c r="C83" s="34" t="s">
        <v>725</v>
      </c>
      <c r="D83" s="35" t="s">
        <v>661</v>
      </c>
      <c r="E83" s="35" t="s">
        <v>645</v>
      </c>
      <c r="F83" s="36" t="s">
        <v>726</v>
      </c>
      <c r="G83" s="37" t="s">
        <v>273</v>
      </c>
      <c r="H83" s="38" t="s">
        <v>236</v>
      </c>
      <c r="I83" s="38" t="s">
        <v>274</v>
      </c>
      <c r="J83" s="47" t="s">
        <v>727</v>
      </c>
      <c r="K83" s="38"/>
      <c r="L83" s="38" t="s">
        <v>239</v>
      </c>
      <c r="M83" s="63" t="s">
        <v>530</v>
      </c>
      <c r="N83" s="41">
        <v>45186.0</v>
      </c>
      <c r="O83" s="76">
        <f t="shared" ref="O83:O117" si="17">N83-90</f>
        <v>45096</v>
      </c>
      <c r="P83" s="35" t="s">
        <v>728</v>
      </c>
      <c r="Q83" s="35" t="s">
        <v>729</v>
      </c>
      <c r="R83" s="35" t="s">
        <v>494</v>
      </c>
      <c r="S83" s="45" t="b">
        <v>1</v>
      </c>
      <c r="T83" s="43">
        <f>IFERROR(__xludf.DUMMYFUNCTION("IFERROR(VLOOKUP(C83,IMPORTRANGE(""https://docs.google.com/spreadsheets/d/1RmEXtNg60OGvqZjyMxiYNPJ6S_kcz01v57qrHugDWVc/edit#gid=0"",""Chegadas!E:AQ""),19,0),"""")"),44505.0)</f>
        <v>44505</v>
      </c>
      <c r="U83" s="44" t="s">
        <v>242</v>
      </c>
      <c r="V83" s="60" t="s">
        <v>730</v>
      </c>
      <c r="W83" s="46">
        <f t="shared" si="15"/>
        <v>45186</v>
      </c>
    </row>
    <row r="84" ht="45.0" hidden="1" customHeight="1">
      <c r="A84" s="32" t="s">
        <v>231</v>
      </c>
      <c r="B84" s="33" t="str">
        <f t="shared" si="12"/>
        <v/>
      </c>
      <c r="C84" s="34" t="s">
        <v>731</v>
      </c>
      <c r="D84" s="35" t="s">
        <v>732</v>
      </c>
      <c r="E84" s="35" t="s">
        <v>733</v>
      </c>
      <c r="F84" s="36" t="s">
        <v>734</v>
      </c>
      <c r="G84" s="37" t="s">
        <v>291</v>
      </c>
      <c r="H84" s="38" t="s">
        <v>431</v>
      </c>
      <c r="I84" s="38" t="s">
        <v>432</v>
      </c>
      <c r="J84" s="47" t="s">
        <v>735</v>
      </c>
      <c r="K84" s="38"/>
      <c r="L84" s="38" t="s">
        <v>265</v>
      </c>
      <c r="M84" s="40"/>
      <c r="N84" s="41">
        <v>44823.0</v>
      </c>
      <c r="O84" s="76">
        <f t="shared" si="17"/>
        <v>44733</v>
      </c>
      <c r="P84" s="35" t="s">
        <v>736</v>
      </c>
      <c r="Q84" s="35" t="s">
        <v>277</v>
      </c>
      <c r="R84" s="35" t="s">
        <v>286</v>
      </c>
      <c r="S84" s="45" t="b">
        <v>1</v>
      </c>
      <c r="T84" s="43">
        <f>IFERROR(__xludf.DUMMYFUNCTION("IFERROR(VLOOKUP(C84,IMPORTRANGE(""https://docs.google.com/spreadsheets/d/1RmEXtNg60OGvqZjyMxiYNPJ6S_kcz01v57qrHugDWVc/edit#gid=0"",""Chegadas!E:AQ""),19,0),"""")"),44597.0)</f>
        <v>44597</v>
      </c>
      <c r="U84" s="44" t="s">
        <v>242</v>
      </c>
      <c r="V84" s="45" t="s">
        <v>737</v>
      </c>
      <c r="W84" s="46">
        <f t="shared" si="15"/>
        <v>44823</v>
      </c>
    </row>
    <row r="85" ht="45.0" hidden="1" customHeight="1">
      <c r="A85" s="32" t="s">
        <v>231</v>
      </c>
      <c r="B85" s="33" t="str">
        <f t="shared" si="12"/>
        <v/>
      </c>
      <c r="C85" s="34" t="s">
        <v>738</v>
      </c>
      <c r="D85" s="35" t="s">
        <v>732</v>
      </c>
      <c r="E85" s="35" t="s">
        <v>733</v>
      </c>
      <c r="F85" s="36" t="s">
        <v>739</v>
      </c>
      <c r="G85" s="37" t="s">
        <v>291</v>
      </c>
      <c r="H85" s="38" t="s">
        <v>431</v>
      </c>
      <c r="I85" s="38" t="s">
        <v>432</v>
      </c>
      <c r="J85" s="47" t="s">
        <v>740</v>
      </c>
      <c r="K85" s="38"/>
      <c r="L85" s="38" t="s">
        <v>265</v>
      </c>
      <c r="M85" s="40"/>
      <c r="N85" s="41">
        <v>44823.0</v>
      </c>
      <c r="O85" s="76">
        <f t="shared" si="17"/>
        <v>44733</v>
      </c>
      <c r="P85" s="35" t="s">
        <v>736</v>
      </c>
      <c r="Q85" s="35" t="s">
        <v>277</v>
      </c>
      <c r="R85" s="35" t="s">
        <v>286</v>
      </c>
      <c r="S85" s="45" t="b">
        <v>1</v>
      </c>
      <c r="T85" s="43">
        <f>IFERROR(__xludf.DUMMYFUNCTION("IFERROR(VLOOKUP(C85,IMPORTRANGE(""https://docs.google.com/spreadsheets/d/1RmEXtNg60OGvqZjyMxiYNPJ6S_kcz01v57qrHugDWVc/edit#gid=0"",""Chegadas!E:AQ""),19,0),"""")"),44597.0)</f>
        <v>44597</v>
      </c>
      <c r="U85" s="44" t="s">
        <v>242</v>
      </c>
      <c r="V85" s="45" t="s">
        <v>737</v>
      </c>
      <c r="W85" s="46">
        <f t="shared" si="15"/>
        <v>44823</v>
      </c>
    </row>
    <row r="86" ht="45.0" hidden="1" customHeight="1">
      <c r="A86" s="32" t="s">
        <v>231</v>
      </c>
      <c r="B86" s="33" t="str">
        <f t="shared" si="12"/>
        <v/>
      </c>
      <c r="C86" s="34" t="s">
        <v>741</v>
      </c>
      <c r="D86" s="35" t="s">
        <v>742</v>
      </c>
      <c r="E86" s="35" t="s">
        <v>504</v>
      </c>
      <c r="F86" s="36" t="s">
        <v>743</v>
      </c>
      <c r="G86" s="37" t="s">
        <v>273</v>
      </c>
      <c r="H86" s="38" t="s">
        <v>236</v>
      </c>
      <c r="I86" s="38" t="s">
        <v>274</v>
      </c>
      <c r="J86" s="39" t="s">
        <v>744</v>
      </c>
      <c r="K86" s="38"/>
      <c r="L86" s="38" t="s">
        <v>239</v>
      </c>
      <c r="M86" s="63" t="s">
        <v>745</v>
      </c>
      <c r="N86" s="41">
        <v>45175.0</v>
      </c>
      <c r="O86" s="76">
        <f t="shared" si="17"/>
        <v>45085</v>
      </c>
      <c r="P86" s="35" t="s">
        <v>746</v>
      </c>
      <c r="Q86" s="35" t="s">
        <v>747</v>
      </c>
      <c r="R86" s="35" t="s">
        <v>494</v>
      </c>
      <c r="S86" s="45" t="b">
        <v>1</v>
      </c>
      <c r="T86" s="43">
        <f>IFERROR(__xludf.DUMMYFUNCTION("IFERROR(VLOOKUP(C86,IMPORTRANGE(""https://docs.google.com/spreadsheets/d/1RmEXtNg60OGvqZjyMxiYNPJ6S_kcz01v57qrHugDWVc/edit#gid=0"",""Chegadas!E:AQ""),19,0),"""")"),44535.0)</f>
        <v>44535</v>
      </c>
      <c r="U86" s="44" t="s">
        <v>242</v>
      </c>
      <c r="V86" s="60" t="s">
        <v>748</v>
      </c>
      <c r="W86" s="46">
        <f t="shared" si="15"/>
        <v>45175</v>
      </c>
    </row>
    <row r="87" ht="45.0" hidden="1" customHeight="1">
      <c r="A87" s="32" t="s">
        <v>231</v>
      </c>
      <c r="B87" s="33" t="str">
        <f t="shared" si="12"/>
        <v/>
      </c>
      <c r="C87" s="34" t="s">
        <v>749</v>
      </c>
      <c r="D87" s="35" t="s">
        <v>742</v>
      </c>
      <c r="E87" s="35" t="s">
        <v>645</v>
      </c>
      <c r="F87" s="36" t="s">
        <v>750</v>
      </c>
      <c r="G87" s="37" t="s">
        <v>273</v>
      </c>
      <c r="H87" s="38" t="s">
        <v>236</v>
      </c>
      <c r="I87" s="38" t="s">
        <v>274</v>
      </c>
      <c r="J87" s="75" t="s">
        <v>751</v>
      </c>
      <c r="K87" s="38"/>
      <c r="L87" s="38" t="s">
        <v>239</v>
      </c>
      <c r="M87" s="40"/>
      <c r="N87" s="41">
        <v>45164.0</v>
      </c>
      <c r="O87" s="76">
        <f t="shared" si="17"/>
        <v>45074</v>
      </c>
      <c r="P87" s="35" t="s">
        <v>752</v>
      </c>
      <c r="Q87" s="35" t="s">
        <v>753</v>
      </c>
      <c r="R87" s="42"/>
      <c r="S87" s="45" t="b">
        <v>1</v>
      </c>
      <c r="T87" s="43">
        <f>IFERROR(__xludf.DUMMYFUNCTION("IFERROR(VLOOKUP(C87,IMPORTRANGE(""https://docs.google.com/spreadsheets/d/1RmEXtNg60OGvqZjyMxiYNPJ6S_kcz01v57qrHugDWVc/edit#gid=0"",""Chegadas!E:AQ""),19,0),"""")"),44535.0)</f>
        <v>44535</v>
      </c>
      <c r="U87" s="44" t="s">
        <v>242</v>
      </c>
      <c r="V87" s="45" t="s">
        <v>754</v>
      </c>
      <c r="W87" s="46">
        <f t="shared" si="15"/>
        <v>45164</v>
      </c>
    </row>
    <row r="88" ht="69.0" hidden="1" customHeight="1">
      <c r="A88" s="32" t="s">
        <v>231</v>
      </c>
      <c r="B88" s="33" t="str">
        <f t="shared" si="12"/>
        <v/>
      </c>
      <c r="C88" s="34" t="s">
        <v>755</v>
      </c>
      <c r="D88" s="35" t="s">
        <v>742</v>
      </c>
      <c r="E88" s="35" t="s">
        <v>756</v>
      </c>
      <c r="F88" s="36" t="s">
        <v>757</v>
      </c>
      <c r="G88" s="37" t="s">
        <v>273</v>
      </c>
      <c r="H88" s="38" t="s">
        <v>236</v>
      </c>
      <c r="I88" s="38" t="s">
        <v>274</v>
      </c>
      <c r="J88" s="39" t="s">
        <v>758</v>
      </c>
      <c r="K88" s="38"/>
      <c r="L88" s="38" t="s">
        <v>239</v>
      </c>
      <c r="M88" s="63" t="s">
        <v>759</v>
      </c>
      <c r="N88" s="41">
        <v>45178.0</v>
      </c>
      <c r="O88" s="76">
        <f t="shared" si="17"/>
        <v>45088</v>
      </c>
      <c r="P88" s="35" t="s">
        <v>760</v>
      </c>
      <c r="Q88" s="35" t="s">
        <v>761</v>
      </c>
      <c r="R88" s="35" t="s">
        <v>494</v>
      </c>
      <c r="S88" s="45" t="b">
        <v>1</v>
      </c>
      <c r="T88" s="43">
        <f>IFERROR(__xludf.DUMMYFUNCTION("IFERROR(VLOOKUP(C88,IMPORTRANGE(""https://docs.google.com/spreadsheets/d/1RmEXtNg60OGvqZjyMxiYNPJ6S_kcz01v57qrHugDWVc/edit#gid=0"",""Chegadas!E:AQ""),19,0),"""")"),44535.0)</f>
        <v>44535</v>
      </c>
      <c r="U88" s="44" t="s">
        <v>242</v>
      </c>
      <c r="V88" s="60" t="s">
        <v>762</v>
      </c>
      <c r="W88" s="46">
        <f t="shared" si="15"/>
        <v>45178</v>
      </c>
    </row>
    <row r="89" ht="45.0" hidden="1" customHeight="1">
      <c r="A89" s="32" t="s">
        <v>231</v>
      </c>
      <c r="B89" s="33" t="str">
        <f t="shared" si="12"/>
        <v/>
      </c>
      <c r="C89" s="34" t="s">
        <v>763</v>
      </c>
      <c r="D89" s="35" t="s">
        <v>732</v>
      </c>
      <c r="E89" s="35" t="s">
        <v>504</v>
      </c>
      <c r="F89" s="36" t="s">
        <v>764</v>
      </c>
      <c r="G89" s="37" t="s">
        <v>273</v>
      </c>
      <c r="H89" s="38" t="s">
        <v>236</v>
      </c>
      <c r="I89" s="38" t="s">
        <v>274</v>
      </c>
      <c r="J89" s="47" t="s">
        <v>765</v>
      </c>
      <c r="K89" s="38"/>
      <c r="L89" s="38" t="s">
        <v>239</v>
      </c>
      <c r="M89" s="40"/>
      <c r="N89" s="66">
        <v>45093.0</v>
      </c>
      <c r="O89" s="76">
        <f t="shared" si="17"/>
        <v>45003</v>
      </c>
      <c r="P89" s="35" t="s">
        <v>507</v>
      </c>
      <c r="Q89" s="35" t="s">
        <v>508</v>
      </c>
      <c r="R89" s="42"/>
      <c r="S89" s="45" t="b">
        <v>1</v>
      </c>
      <c r="T89" s="43">
        <f>IFERROR(__xludf.DUMMYFUNCTION("IFERROR(VLOOKUP(C89,IMPORTRANGE(""https://docs.google.com/spreadsheets/d/1RmEXtNg60OGvqZjyMxiYNPJ6S_kcz01v57qrHugDWVc/edit#gid=0"",""Chegadas!E:AQ""),19,0),"""")"),44566.0)</f>
        <v>44566</v>
      </c>
      <c r="U89" s="44" t="s">
        <v>242</v>
      </c>
      <c r="V89" s="45" t="s">
        <v>509</v>
      </c>
      <c r="W89" s="46">
        <f t="shared" si="15"/>
        <v>45093</v>
      </c>
    </row>
    <row r="90" ht="45.0" hidden="1" customHeight="1">
      <c r="A90" s="32" t="s">
        <v>231</v>
      </c>
      <c r="B90" s="33" t="str">
        <f t="shared" si="12"/>
        <v/>
      </c>
      <c r="C90" s="34" t="s">
        <v>766</v>
      </c>
      <c r="D90" s="35" t="s">
        <v>732</v>
      </c>
      <c r="E90" s="35" t="s">
        <v>767</v>
      </c>
      <c r="F90" s="36" t="s">
        <v>768</v>
      </c>
      <c r="G90" s="37" t="s">
        <v>273</v>
      </c>
      <c r="H90" s="38" t="s">
        <v>236</v>
      </c>
      <c r="I90" s="38" t="s">
        <v>274</v>
      </c>
      <c r="J90" s="39" t="s">
        <v>769</v>
      </c>
      <c r="K90" s="38"/>
      <c r="L90" s="38" t="s">
        <v>239</v>
      </c>
      <c r="M90" s="40"/>
      <c r="N90" s="66">
        <v>45077.0</v>
      </c>
      <c r="O90" s="76">
        <f t="shared" si="17"/>
        <v>44987</v>
      </c>
      <c r="P90" s="35" t="s">
        <v>377</v>
      </c>
      <c r="Q90" s="35" t="s">
        <v>378</v>
      </c>
      <c r="R90" s="42"/>
      <c r="S90" s="45" t="b">
        <v>1</v>
      </c>
      <c r="T90" s="43">
        <f>IFERROR(__xludf.DUMMYFUNCTION("IFERROR(VLOOKUP(C90,IMPORTRANGE(""https://docs.google.com/spreadsheets/d/1RmEXtNg60OGvqZjyMxiYNPJ6S_kcz01v57qrHugDWVc/edit#gid=0"",""Chegadas!E:AQ""),19,0),"""")"),44566.0)</f>
        <v>44566</v>
      </c>
      <c r="U90" s="44" t="s">
        <v>242</v>
      </c>
      <c r="V90" s="45" t="s">
        <v>379</v>
      </c>
      <c r="W90" s="46">
        <f t="shared" si="15"/>
        <v>45077</v>
      </c>
    </row>
    <row r="91" ht="53.25" hidden="1" customHeight="1">
      <c r="A91" s="32" t="s">
        <v>231</v>
      </c>
      <c r="B91" s="33" t="str">
        <f t="shared" si="12"/>
        <v/>
      </c>
      <c r="C91" s="34" t="s">
        <v>770</v>
      </c>
      <c r="D91" s="35" t="s">
        <v>428</v>
      </c>
      <c r="E91" s="35" t="s">
        <v>607</v>
      </c>
      <c r="F91" s="36" t="s">
        <v>771</v>
      </c>
      <c r="G91" s="37" t="s">
        <v>273</v>
      </c>
      <c r="H91" s="47" t="s">
        <v>354</v>
      </c>
      <c r="I91" s="38" t="s">
        <v>772</v>
      </c>
      <c r="J91" s="39" t="s">
        <v>773</v>
      </c>
      <c r="K91" s="38"/>
      <c r="L91" s="38" t="s">
        <v>239</v>
      </c>
      <c r="M91" s="63" t="s">
        <v>610</v>
      </c>
      <c r="N91" s="66">
        <v>45336.0</v>
      </c>
      <c r="O91" s="76">
        <f t="shared" si="17"/>
        <v>45246</v>
      </c>
      <c r="P91" s="35" t="s">
        <v>774</v>
      </c>
      <c r="Q91" s="35" t="s">
        <v>775</v>
      </c>
      <c r="R91" s="42"/>
      <c r="S91" s="45" t="b">
        <v>1</v>
      </c>
      <c r="T91" s="43">
        <f>IFERROR(__xludf.DUMMYFUNCTION("IFERROR(VLOOKUP(C91,IMPORTRANGE(""https://docs.google.com/spreadsheets/d/1RmEXtNg60OGvqZjyMxiYNPJ6S_kcz01v57qrHugDWVc/edit#gid=0"",""Chegadas!E:AQ""),19,0),"""")"),44717.0)</f>
        <v>44717</v>
      </c>
      <c r="U91" s="44" t="s">
        <v>242</v>
      </c>
      <c r="V91" s="45" t="s">
        <v>776</v>
      </c>
      <c r="W91" s="46">
        <f t="shared" si="15"/>
        <v>45336</v>
      </c>
    </row>
    <row r="92" ht="53.25" hidden="1" customHeight="1">
      <c r="A92" s="32" t="s">
        <v>231</v>
      </c>
      <c r="B92" s="33" t="str">
        <f t="shared" si="12"/>
        <v/>
      </c>
      <c r="C92" s="34" t="s">
        <v>777</v>
      </c>
      <c r="D92" s="35" t="s">
        <v>778</v>
      </c>
      <c r="E92" s="35" t="s">
        <v>779</v>
      </c>
      <c r="F92" s="36" t="s">
        <v>780</v>
      </c>
      <c r="G92" s="37" t="s">
        <v>291</v>
      </c>
      <c r="H92" s="47" t="s">
        <v>431</v>
      </c>
      <c r="I92" s="38" t="s">
        <v>432</v>
      </c>
      <c r="J92" s="39" t="s">
        <v>781</v>
      </c>
      <c r="K92" s="38"/>
      <c r="L92" s="38" t="s">
        <v>265</v>
      </c>
      <c r="M92" s="40"/>
      <c r="N92" s="66">
        <v>44895.0</v>
      </c>
      <c r="O92" s="79">
        <f t="shared" si="17"/>
        <v>44805</v>
      </c>
      <c r="P92" s="35" t="s">
        <v>782</v>
      </c>
      <c r="Q92" s="35" t="s">
        <v>277</v>
      </c>
      <c r="R92" s="35" t="s">
        <v>286</v>
      </c>
      <c r="S92" s="45" t="b">
        <v>1</v>
      </c>
      <c r="T92" s="43">
        <f>IFERROR(__xludf.DUMMYFUNCTION("IFERROR(VLOOKUP(C92,IMPORTRANGE(""https://docs.google.com/spreadsheets/d/1RmEXtNg60OGvqZjyMxiYNPJ6S_kcz01v57qrHugDWVc/edit#gid=0"",""Chegadas!E:AQ""),19,0),"""")"),44656.0)</f>
        <v>44656</v>
      </c>
      <c r="U92" s="44" t="s">
        <v>242</v>
      </c>
      <c r="V92" s="45" t="s">
        <v>783</v>
      </c>
      <c r="W92" s="46">
        <f t="shared" si="15"/>
        <v>44895</v>
      </c>
    </row>
    <row r="93" ht="53.25" hidden="1" customHeight="1">
      <c r="A93" s="32" t="s">
        <v>231</v>
      </c>
      <c r="B93" s="33" t="str">
        <f t="shared" si="12"/>
        <v/>
      </c>
      <c r="C93" s="34" t="s">
        <v>784</v>
      </c>
      <c r="D93" s="35" t="s">
        <v>778</v>
      </c>
      <c r="E93" s="35" t="s">
        <v>779</v>
      </c>
      <c r="F93" s="36" t="s">
        <v>785</v>
      </c>
      <c r="G93" s="37" t="s">
        <v>291</v>
      </c>
      <c r="H93" s="47" t="s">
        <v>431</v>
      </c>
      <c r="I93" s="38" t="s">
        <v>432</v>
      </c>
      <c r="J93" s="39" t="s">
        <v>786</v>
      </c>
      <c r="K93" s="38"/>
      <c r="L93" s="38" t="s">
        <v>265</v>
      </c>
      <c r="M93" s="40"/>
      <c r="N93" s="66">
        <v>44895.0</v>
      </c>
      <c r="O93" s="79">
        <f t="shared" si="17"/>
        <v>44805</v>
      </c>
      <c r="P93" s="35" t="s">
        <v>782</v>
      </c>
      <c r="Q93" s="35" t="s">
        <v>277</v>
      </c>
      <c r="R93" s="35" t="s">
        <v>286</v>
      </c>
      <c r="S93" s="45" t="b">
        <v>1</v>
      </c>
      <c r="T93" s="43">
        <f>IFERROR(__xludf.DUMMYFUNCTION("IFERROR(VLOOKUP(C93,IMPORTRANGE(""https://docs.google.com/spreadsheets/d/1RmEXtNg60OGvqZjyMxiYNPJ6S_kcz01v57qrHugDWVc/edit#gid=0"",""Chegadas!E:AQ""),19,0),"""")"),44656.0)</f>
        <v>44656</v>
      </c>
      <c r="U93" s="44" t="s">
        <v>242</v>
      </c>
      <c r="V93" s="45" t="s">
        <v>783</v>
      </c>
      <c r="W93" s="46">
        <f t="shared" si="15"/>
        <v>44895</v>
      </c>
    </row>
    <row r="94" ht="45.0" hidden="1" customHeight="1">
      <c r="A94" s="32" t="s">
        <v>231</v>
      </c>
      <c r="B94" s="33" t="str">
        <f t="shared" si="12"/>
        <v/>
      </c>
      <c r="C94" s="34" t="s">
        <v>787</v>
      </c>
      <c r="D94" s="35" t="s">
        <v>788</v>
      </c>
      <c r="E94" s="35" t="s">
        <v>607</v>
      </c>
      <c r="F94" s="36" t="s">
        <v>789</v>
      </c>
      <c r="G94" s="37" t="s">
        <v>273</v>
      </c>
      <c r="H94" s="47" t="s">
        <v>354</v>
      </c>
      <c r="I94" s="38" t="s">
        <v>293</v>
      </c>
      <c r="J94" s="80" t="s">
        <v>790</v>
      </c>
      <c r="K94" s="38"/>
      <c r="L94" s="38" t="s">
        <v>239</v>
      </c>
      <c r="M94" s="63" t="s">
        <v>610</v>
      </c>
      <c r="N94" s="41">
        <v>45219.0</v>
      </c>
      <c r="O94" s="76">
        <f t="shared" si="17"/>
        <v>45129</v>
      </c>
      <c r="P94" s="35" t="s">
        <v>791</v>
      </c>
      <c r="Q94" s="35" t="s">
        <v>792</v>
      </c>
      <c r="R94" s="42"/>
      <c r="S94" s="45" t="b">
        <v>1</v>
      </c>
      <c r="T94" s="43">
        <f>IFERROR(__xludf.DUMMYFUNCTION("IFERROR(VLOOKUP(C94,IMPORTRANGE(""https://docs.google.com/spreadsheets/d/1RmEXtNg60OGvqZjyMxiYNPJ6S_kcz01v57qrHugDWVc/edit#gid=0"",""Chegadas!E:AQ""),19,0),"""")"),44686.0)</f>
        <v>44686</v>
      </c>
      <c r="U94" s="44" t="s">
        <v>242</v>
      </c>
      <c r="V94" s="45" t="s">
        <v>793</v>
      </c>
      <c r="W94" s="46">
        <f t="shared" si="15"/>
        <v>45219</v>
      </c>
    </row>
    <row r="95" ht="45.0" hidden="1" customHeight="1">
      <c r="A95" s="32" t="s">
        <v>231</v>
      </c>
      <c r="B95" s="33" t="str">
        <f t="shared" si="12"/>
        <v/>
      </c>
      <c r="C95" s="34" t="s">
        <v>794</v>
      </c>
      <c r="D95" s="35" t="s">
        <v>788</v>
      </c>
      <c r="E95" s="35" t="s">
        <v>795</v>
      </c>
      <c r="F95" s="36" t="s">
        <v>796</v>
      </c>
      <c r="G95" s="37" t="s">
        <v>262</v>
      </c>
      <c r="H95" s="38" t="s">
        <v>431</v>
      </c>
      <c r="I95" s="38" t="s">
        <v>432</v>
      </c>
      <c r="J95" s="39" t="s">
        <v>797</v>
      </c>
      <c r="K95" s="38"/>
      <c r="L95" s="38" t="s">
        <v>265</v>
      </c>
      <c r="M95" s="40"/>
      <c r="N95" s="41">
        <v>44894.0</v>
      </c>
      <c r="O95" s="76">
        <f t="shared" si="17"/>
        <v>44804</v>
      </c>
      <c r="P95" s="35" t="s">
        <v>798</v>
      </c>
      <c r="Q95" s="35" t="s">
        <v>277</v>
      </c>
      <c r="R95" s="35" t="s">
        <v>286</v>
      </c>
      <c r="S95" s="45" t="b">
        <v>1</v>
      </c>
      <c r="T95" s="43">
        <f>IFERROR(__xludf.DUMMYFUNCTION("IFERROR(VLOOKUP(C95,IMPORTRANGE(""https://docs.google.com/spreadsheets/d/1RmEXtNg60OGvqZjyMxiYNPJ6S_kcz01v57qrHugDWVc/edit#gid=0"",""Chegadas!E:AQ""),19,0),"""")"),44625.0)</f>
        <v>44625</v>
      </c>
      <c r="U95" s="44" t="s">
        <v>242</v>
      </c>
      <c r="V95" s="45" t="s">
        <v>799</v>
      </c>
      <c r="W95" s="46">
        <f t="shared" si="15"/>
        <v>44894</v>
      </c>
    </row>
    <row r="96" ht="45.0" hidden="1" customHeight="1">
      <c r="A96" s="32" t="s">
        <v>231</v>
      </c>
      <c r="B96" s="33" t="str">
        <f t="shared" si="12"/>
        <v/>
      </c>
      <c r="C96" s="34" t="s">
        <v>800</v>
      </c>
      <c r="D96" s="35" t="s">
        <v>742</v>
      </c>
      <c r="E96" s="35" t="s">
        <v>504</v>
      </c>
      <c r="F96" s="36" t="s">
        <v>801</v>
      </c>
      <c r="G96" s="37" t="s">
        <v>273</v>
      </c>
      <c r="H96" s="38" t="s">
        <v>236</v>
      </c>
      <c r="I96" s="38" t="s">
        <v>274</v>
      </c>
      <c r="J96" s="75" t="s">
        <v>802</v>
      </c>
      <c r="K96" s="38"/>
      <c r="L96" s="38" t="s">
        <v>239</v>
      </c>
      <c r="M96" s="63"/>
      <c r="N96" s="50">
        <v>45212.0</v>
      </c>
      <c r="O96" s="76">
        <f t="shared" si="17"/>
        <v>45122</v>
      </c>
      <c r="P96" s="35" t="s">
        <v>803</v>
      </c>
      <c r="Q96" s="35" t="s">
        <v>804</v>
      </c>
      <c r="R96" s="42"/>
      <c r="S96" s="45" t="b">
        <v>1</v>
      </c>
      <c r="T96" s="43">
        <f>IFERROR(__xludf.DUMMYFUNCTION("IFERROR(VLOOKUP(C96,IMPORTRANGE(""https://docs.google.com/spreadsheets/d/1RmEXtNg60OGvqZjyMxiYNPJ6S_kcz01v57qrHugDWVc/edit#gid=0"",""Chegadas!E:AQ""),19,0),"""")"),44535.0)</f>
        <v>44535</v>
      </c>
      <c r="U96" s="44" t="s">
        <v>242</v>
      </c>
      <c r="V96" s="45" t="s">
        <v>805</v>
      </c>
      <c r="W96" s="46">
        <f t="shared" si="15"/>
        <v>45212</v>
      </c>
    </row>
    <row r="97" ht="45.0" hidden="1" customHeight="1">
      <c r="A97" s="32" t="s">
        <v>231</v>
      </c>
      <c r="B97" s="33" t="str">
        <f t="shared" si="12"/>
        <v/>
      </c>
      <c r="C97" s="55" t="s">
        <v>806</v>
      </c>
      <c r="D97" s="35" t="s">
        <v>807</v>
      </c>
      <c r="E97" s="35" t="s">
        <v>467</v>
      </c>
      <c r="F97" s="36" t="s">
        <v>808</v>
      </c>
      <c r="G97" s="37" t="s">
        <v>291</v>
      </c>
      <c r="H97" s="38" t="s">
        <v>431</v>
      </c>
      <c r="I97" s="38" t="s">
        <v>432</v>
      </c>
      <c r="J97" s="47" t="s">
        <v>809</v>
      </c>
      <c r="K97" s="38"/>
      <c r="L97" s="38" t="s">
        <v>265</v>
      </c>
      <c r="M97" s="40"/>
      <c r="N97" s="50">
        <v>44910.0</v>
      </c>
      <c r="O97" s="76">
        <f t="shared" si="17"/>
        <v>44820</v>
      </c>
      <c r="P97" s="35" t="s">
        <v>810</v>
      </c>
      <c r="Q97" s="35" t="s">
        <v>277</v>
      </c>
      <c r="R97" s="35" t="s">
        <v>286</v>
      </c>
      <c r="S97" s="45" t="b">
        <v>1</v>
      </c>
      <c r="T97" s="43">
        <f>IFERROR(__xludf.DUMMYFUNCTION("IFERROR(VLOOKUP(C97,IMPORTRANGE(""https://docs.google.com/spreadsheets/d/1RmEXtNg60OGvqZjyMxiYNPJ6S_kcz01v57qrHugDWVc/edit#gid=0"",""Chegadas!E:AQ""),19,0),"""")"),44656.0)</f>
        <v>44656</v>
      </c>
      <c r="U97" s="44" t="s">
        <v>242</v>
      </c>
      <c r="V97" s="45" t="s">
        <v>811</v>
      </c>
      <c r="W97" s="46">
        <f t="shared" si="15"/>
        <v>44910</v>
      </c>
    </row>
    <row r="98" ht="45.0" hidden="1" customHeight="1">
      <c r="A98" s="32" t="s">
        <v>231</v>
      </c>
      <c r="B98" s="33" t="str">
        <f t="shared" si="12"/>
        <v/>
      </c>
      <c r="C98" s="55" t="s">
        <v>812</v>
      </c>
      <c r="D98" s="35" t="s">
        <v>807</v>
      </c>
      <c r="E98" s="35" t="s">
        <v>467</v>
      </c>
      <c r="F98" s="36" t="s">
        <v>813</v>
      </c>
      <c r="G98" s="37" t="s">
        <v>291</v>
      </c>
      <c r="H98" s="38" t="s">
        <v>431</v>
      </c>
      <c r="I98" s="38" t="s">
        <v>432</v>
      </c>
      <c r="J98" s="47" t="s">
        <v>814</v>
      </c>
      <c r="K98" s="38"/>
      <c r="L98" s="38" t="s">
        <v>265</v>
      </c>
      <c r="M98" s="40"/>
      <c r="N98" s="50">
        <v>44910.0</v>
      </c>
      <c r="O98" s="76">
        <f t="shared" si="17"/>
        <v>44820</v>
      </c>
      <c r="P98" s="35" t="s">
        <v>810</v>
      </c>
      <c r="Q98" s="35" t="s">
        <v>277</v>
      </c>
      <c r="R98" s="35" t="s">
        <v>286</v>
      </c>
      <c r="S98" s="45" t="b">
        <v>1</v>
      </c>
      <c r="T98" s="43">
        <f>IFERROR(__xludf.DUMMYFUNCTION("IFERROR(VLOOKUP(C98,IMPORTRANGE(""https://docs.google.com/spreadsheets/d/1RmEXtNg60OGvqZjyMxiYNPJ6S_kcz01v57qrHugDWVc/edit#gid=0"",""Chegadas!E:AQ""),19,0),"""")"),44656.0)</f>
        <v>44656</v>
      </c>
      <c r="U98" s="44" t="s">
        <v>242</v>
      </c>
      <c r="V98" s="45" t="s">
        <v>811</v>
      </c>
      <c r="W98" s="46">
        <f t="shared" si="15"/>
        <v>44910</v>
      </c>
    </row>
    <row r="99" ht="45.0" hidden="1" customHeight="1">
      <c r="A99" s="32" t="s">
        <v>231</v>
      </c>
      <c r="B99" s="33" t="str">
        <f t="shared" si="12"/>
        <v/>
      </c>
      <c r="C99" s="55" t="s">
        <v>815</v>
      </c>
      <c r="D99" s="35" t="s">
        <v>807</v>
      </c>
      <c r="E99" s="35" t="s">
        <v>467</v>
      </c>
      <c r="F99" s="36" t="s">
        <v>816</v>
      </c>
      <c r="G99" s="37" t="s">
        <v>291</v>
      </c>
      <c r="H99" s="38" t="s">
        <v>431</v>
      </c>
      <c r="I99" s="38" t="s">
        <v>432</v>
      </c>
      <c r="J99" s="47" t="s">
        <v>817</v>
      </c>
      <c r="K99" s="38"/>
      <c r="L99" s="38" t="s">
        <v>265</v>
      </c>
      <c r="M99" s="40"/>
      <c r="N99" s="50">
        <v>44910.0</v>
      </c>
      <c r="O99" s="76">
        <f t="shared" si="17"/>
        <v>44820</v>
      </c>
      <c r="P99" s="35" t="s">
        <v>818</v>
      </c>
      <c r="Q99" s="35" t="s">
        <v>277</v>
      </c>
      <c r="R99" s="35" t="s">
        <v>286</v>
      </c>
      <c r="S99" s="45" t="b">
        <v>1</v>
      </c>
      <c r="T99" s="43">
        <f>IFERROR(__xludf.DUMMYFUNCTION("IFERROR(VLOOKUP(C99,IMPORTRANGE(""https://docs.google.com/spreadsheets/d/1RmEXtNg60OGvqZjyMxiYNPJ6S_kcz01v57qrHugDWVc/edit#gid=0"",""Chegadas!E:AQ""),19,0),"""")"),44656.0)</f>
        <v>44656</v>
      </c>
      <c r="U99" s="44" t="s">
        <v>242</v>
      </c>
      <c r="V99" s="45" t="s">
        <v>819</v>
      </c>
      <c r="W99" s="46">
        <f t="shared" si="15"/>
        <v>44910</v>
      </c>
    </row>
    <row r="100" ht="45.0" hidden="1" customHeight="1">
      <c r="A100" s="32" t="s">
        <v>231</v>
      </c>
      <c r="B100" s="33" t="str">
        <f t="shared" si="12"/>
        <v/>
      </c>
      <c r="C100" s="55" t="s">
        <v>820</v>
      </c>
      <c r="D100" s="35" t="s">
        <v>807</v>
      </c>
      <c r="E100" s="35" t="s">
        <v>517</v>
      </c>
      <c r="F100" s="36" t="s">
        <v>821</v>
      </c>
      <c r="G100" s="37" t="s">
        <v>291</v>
      </c>
      <c r="H100" s="38" t="s">
        <v>431</v>
      </c>
      <c r="I100" s="38" t="s">
        <v>432</v>
      </c>
      <c r="J100" s="75" t="s">
        <v>822</v>
      </c>
      <c r="K100" s="38"/>
      <c r="L100" s="38" t="s">
        <v>265</v>
      </c>
      <c r="M100" s="40"/>
      <c r="N100" s="50">
        <v>44910.0</v>
      </c>
      <c r="O100" s="76">
        <f t="shared" si="17"/>
        <v>44820</v>
      </c>
      <c r="P100" s="35" t="s">
        <v>823</v>
      </c>
      <c r="Q100" s="35" t="s">
        <v>277</v>
      </c>
      <c r="R100" s="35" t="s">
        <v>286</v>
      </c>
      <c r="S100" s="45" t="b">
        <v>1</v>
      </c>
      <c r="T100" s="43">
        <f>IFERROR(__xludf.DUMMYFUNCTION("IFERROR(VLOOKUP(C100,IMPORTRANGE(""https://docs.google.com/spreadsheets/d/1RmEXtNg60OGvqZjyMxiYNPJ6S_kcz01v57qrHugDWVc/edit#gid=0"",""Chegadas!E:AQ""),19,0),"""")"),44656.0)</f>
        <v>44656</v>
      </c>
      <c r="U100" s="44" t="s">
        <v>242</v>
      </c>
      <c r="V100" s="45" t="s">
        <v>824</v>
      </c>
      <c r="W100" s="46">
        <f t="shared" si="15"/>
        <v>44910</v>
      </c>
    </row>
    <row r="101" ht="45.0" hidden="1" customHeight="1">
      <c r="A101" s="32" t="s">
        <v>231</v>
      </c>
      <c r="B101" s="33" t="str">
        <f t="shared" si="12"/>
        <v/>
      </c>
      <c r="C101" s="34" t="s">
        <v>825</v>
      </c>
      <c r="D101" s="35" t="s">
        <v>807</v>
      </c>
      <c r="E101" s="35" t="s">
        <v>517</v>
      </c>
      <c r="F101" s="36" t="s">
        <v>826</v>
      </c>
      <c r="G101" s="37" t="s">
        <v>291</v>
      </c>
      <c r="H101" s="38" t="s">
        <v>431</v>
      </c>
      <c r="I101" s="38" t="s">
        <v>432</v>
      </c>
      <c r="J101" s="75" t="s">
        <v>827</v>
      </c>
      <c r="K101" s="38"/>
      <c r="L101" s="38" t="s">
        <v>265</v>
      </c>
      <c r="M101" s="40"/>
      <c r="N101" s="50">
        <v>44529.0</v>
      </c>
      <c r="O101" s="76">
        <f t="shared" si="17"/>
        <v>44439</v>
      </c>
      <c r="P101" s="35" t="s">
        <v>823</v>
      </c>
      <c r="Q101" s="35" t="s">
        <v>277</v>
      </c>
      <c r="R101" s="35" t="s">
        <v>286</v>
      </c>
      <c r="S101" s="45" t="b">
        <v>1</v>
      </c>
      <c r="T101" s="43">
        <f>IFERROR(__xludf.DUMMYFUNCTION("IFERROR(VLOOKUP(C101,IMPORTRANGE(""https://docs.google.com/spreadsheets/d/1RmEXtNg60OGvqZjyMxiYNPJ6S_kcz01v57qrHugDWVc/edit#gid=0"",""Chegadas!E:AQ""),19,0),"""")"),44656.0)</f>
        <v>44656</v>
      </c>
      <c r="U101" s="44" t="s">
        <v>242</v>
      </c>
      <c r="V101" s="45" t="s">
        <v>824</v>
      </c>
      <c r="W101" s="46">
        <f t="shared" si="15"/>
        <v>44529</v>
      </c>
    </row>
    <row r="102" ht="45.0" hidden="1" customHeight="1">
      <c r="A102" s="32" t="s">
        <v>231</v>
      </c>
      <c r="B102" s="33" t="str">
        <f t="shared" si="12"/>
        <v/>
      </c>
      <c r="C102" s="34" t="s">
        <v>828</v>
      </c>
      <c r="D102" s="35" t="s">
        <v>829</v>
      </c>
      <c r="E102" s="35" t="s">
        <v>451</v>
      </c>
      <c r="F102" s="36" t="s">
        <v>830</v>
      </c>
      <c r="G102" s="37" t="s">
        <v>273</v>
      </c>
      <c r="H102" s="38" t="s">
        <v>91</v>
      </c>
      <c r="I102" s="38" t="s">
        <v>772</v>
      </c>
      <c r="J102" s="47" t="s">
        <v>831</v>
      </c>
      <c r="K102" s="38"/>
      <c r="L102" s="38" t="s">
        <v>1</v>
      </c>
      <c r="M102" s="40"/>
      <c r="N102" s="50">
        <v>45204.0</v>
      </c>
      <c r="O102" s="76">
        <f t="shared" si="17"/>
        <v>45114</v>
      </c>
      <c r="P102" s="35" t="s">
        <v>832</v>
      </c>
      <c r="Q102" s="35" t="s">
        <v>833</v>
      </c>
      <c r="R102" s="42"/>
      <c r="S102" s="45" t="b">
        <v>1</v>
      </c>
      <c r="T102" s="43" t="str">
        <f>IFERROR(__xludf.DUMMYFUNCTION("IFERROR(VLOOKUP(C102,IMPORTRANGE(""https://docs.google.com/spreadsheets/d/1RmEXtNg60OGvqZjyMxiYNPJ6S_kcz01v57qrHugDWVc/edit#gid=0"",""Chegadas!E:AQ""),19,0),"""")"),"")</f>
        <v/>
      </c>
      <c r="U102" s="44" t="s">
        <v>242</v>
      </c>
      <c r="V102" s="45" t="s">
        <v>834</v>
      </c>
      <c r="W102" s="46">
        <f t="shared" si="15"/>
        <v>45204</v>
      </c>
    </row>
    <row r="103" ht="45.0" hidden="1" customHeight="1">
      <c r="A103" s="32" t="s">
        <v>231</v>
      </c>
      <c r="B103" s="33" t="str">
        <f t="shared" si="12"/>
        <v/>
      </c>
      <c r="C103" s="34" t="s">
        <v>835</v>
      </c>
      <c r="D103" s="35" t="s">
        <v>364</v>
      </c>
      <c r="E103" s="35" t="s">
        <v>451</v>
      </c>
      <c r="F103" s="36" t="s">
        <v>836</v>
      </c>
      <c r="G103" s="37" t="s">
        <v>273</v>
      </c>
      <c r="H103" s="38" t="s">
        <v>91</v>
      </c>
      <c r="I103" s="38" t="s">
        <v>772</v>
      </c>
      <c r="J103" s="47" t="s">
        <v>837</v>
      </c>
      <c r="K103" s="38"/>
      <c r="L103" s="38" t="s">
        <v>1</v>
      </c>
      <c r="M103" s="40"/>
      <c r="N103" s="50">
        <v>45204.0</v>
      </c>
      <c r="O103" s="76">
        <f t="shared" si="17"/>
        <v>45114</v>
      </c>
      <c r="P103" s="35" t="s">
        <v>838</v>
      </c>
      <c r="Q103" s="35" t="s">
        <v>839</v>
      </c>
      <c r="R103" s="42"/>
      <c r="S103" s="45" t="b">
        <v>1</v>
      </c>
      <c r="T103" s="43" t="str">
        <f>IFERROR(__xludf.DUMMYFUNCTION("IFERROR(VLOOKUP(C103,IMPORTRANGE(""https://docs.google.com/spreadsheets/d/1RmEXtNg60OGvqZjyMxiYNPJ6S_kcz01v57qrHugDWVc/edit#gid=0"",""Chegadas!E:AQ""),19,0),"""")"),"")</f>
        <v/>
      </c>
      <c r="U103" s="44" t="s">
        <v>242</v>
      </c>
      <c r="V103" s="45" t="s">
        <v>840</v>
      </c>
      <c r="W103" s="46">
        <f t="shared" si="15"/>
        <v>45204</v>
      </c>
    </row>
    <row r="104" ht="45.0" hidden="1" customHeight="1">
      <c r="A104" s="32" t="s">
        <v>231</v>
      </c>
      <c r="B104" s="33" t="str">
        <f t="shared" si="12"/>
        <v/>
      </c>
      <c r="C104" s="34" t="s">
        <v>841</v>
      </c>
      <c r="D104" s="35" t="s">
        <v>438</v>
      </c>
      <c r="E104" s="35" t="s">
        <v>451</v>
      </c>
      <c r="F104" s="36" t="s">
        <v>842</v>
      </c>
      <c r="G104" s="37" t="s">
        <v>273</v>
      </c>
      <c r="H104" s="38" t="s">
        <v>91</v>
      </c>
      <c r="I104" s="38" t="s">
        <v>772</v>
      </c>
      <c r="J104" s="47" t="s">
        <v>843</v>
      </c>
      <c r="K104" s="38"/>
      <c r="L104" s="38" t="s">
        <v>1</v>
      </c>
      <c r="M104" s="40"/>
      <c r="N104" s="50">
        <v>45204.0</v>
      </c>
      <c r="O104" s="76">
        <f t="shared" si="17"/>
        <v>45114</v>
      </c>
      <c r="P104" s="35" t="s">
        <v>844</v>
      </c>
      <c r="Q104" s="35" t="s">
        <v>845</v>
      </c>
      <c r="R104" s="42"/>
      <c r="S104" s="45" t="b">
        <v>1</v>
      </c>
      <c r="T104" s="43" t="str">
        <f>IFERROR(__xludf.DUMMYFUNCTION("IFERROR(VLOOKUP(C104,IMPORTRANGE(""https://docs.google.com/spreadsheets/d/1RmEXtNg60OGvqZjyMxiYNPJ6S_kcz01v57qrHugDWVc/edit#gid=0"",""Chegadas!E:AQ""),19,0),"""")"),"")</f>
        <v/>
      </c>
      <c r="U104" s="44" t="s">
        <v>242</v>
      </c>
      <c r="V104" s="45" t="s">
        <v>846</v>
      </c>
      <c r="W104" s="46">
        <f t="shared" si="15"/>
        <v>45204</v>
      </c>
    </row>
    <row r="105" ht="45.0" hidden="1" customHeight="1">
      <c r="A105" s="32" t="s">
        <v>231</v>
      </c>
      <c r="B105" s="33" t="str">
        <f t="shared" si="12"/>
        <v/>
      </c>
      <c r="C105" s="34" t="s">
        <v>847</v>
      </c>
      <c r="D105" s="35" t="s">
        <v>829</v>
      </c>
      <c r="E105" s="35" t="s">
        <v>451</v>
      </c>
      <c r="F105" s="36" t="s">
        <v>848</v>
      </c>
      <c r="G105" s="37" t="s">
        <v>273</v>
      </c>
      <c r="H105" s="38" t="s">
        <v>91</v>
      </c>
      <c r="I105" s="38" t="s">
        <v>772</v>
      </c>
      <c r="J105" s="63" t="s">
        <v>849</v>
      </c>
      <c r="K105" s="38"/>
      <c r="L105" s="38" t="s">
        <v>1</v>
      </c>
      <c r="M105" s="40"/>
      <c r="N105" s="50">
        <v>45205.0</v>
      </c>
      <c r="O105" s="76">
        <f t="shared" si="17"/>
        <v>45115</v>
      </c>
      <c r="P105" s="35" t="s">
        <v>850</v>
      </c>
      <c r="Q105" s="35" t="s">
        <v>851</v>
      </c>
      <c r="R105" s="42"/>
      <c r="S105" s="45" t="b">
        <v>1</v>
      </c>
      <c r="T105" s="43" t="str">
        <f>IFERROR(__xludf.DUMMYFUNCTION("IFERROR(VLOOKUP(C105,IMPORTRANGE(""https://docs.google.com/spreadsheets/d/1RmEXtNg60OGvqZjyMxiYNPJ6S_kcz01v57qrHugDWVc/edit#gid=0"",""Chegadas!E:AQ""),19,0),"""")"),"")</f>
        <v/>
      </c>
      <c r="U105" s="44" t="s">
        <v>242</v>
      </c>
      <c r="V105" s="45" t="s">
        <v>852</v>
      </c>
      <c r="W105" s="46">
        <f t="shared" si="15"/>
        <v>45205</v>
      </c>
    </row>
    <row r="106" ht="45.0" hidden="1" customHeight="1">
      <c r="A106" s="32" t="s">
        <v>231</v>
      </c>
      <c r="B106" s="33" t="str">
        <f t="shared" si="12"/>
        <v/>
      </c>
      <c r="C106" s="34" t="s">
        <v>853</v>
      </c>
      <c r="D106" s="35" t="s">
        <v>42</v>
      </c>
      <c r="E106" s="35" t="s">
        <v>451</v>
      </c>
      <c r="F106" s="36" t="s">
        <v>854</v>
      </c>
      <c r="G106" s="37" t="s">
        <v>273</v>
      </c>
      <c r="H106" s="38" t="s">
        <v>91</v>
      </c>
      <c r="I106" s="38" t="s">
        <v>772</v>
      </c>
      <c r="J106" s="39" t="s">
        <v>855</v>
      </c>
      <c r="K106" s="38"/>
      <c r="L106" s="38" t="s">
        <v>1</v>
      </c>
      <c r="M106" s="40"/>
      <c r="N106" s="50">
        <v>45304.0</v>
      </c>
      <c r="O106" s="76">
        <f t="shared" si="17"/>
        <v>45214</v>
      </c>
      <c r="P106" s="35" t="s">
        <v>856</v>
      </c>
      <c r="Q106" s="35" t="s">
        <v>839</v>
      </c>
      <c r="R106" s="42"/>
      <c r="S106" s="45" t="b">
        <v>1</v>
      </c>
      <c r="T106" s="43" t="str">
        <f>IFERROR(__xludf.DUMMYFUNCTION("IFERROR(VLOOKUP(C106,IMPORTRANGE(""https://docs.google.com/spreadsheets/d/1RmEXtNg60OGvqZjyMxiYNPJ6S_kcz01v57qrHugDWVc/edit#gid=0"",""Chegadas!E:AQ""),19,0),"""")"),"")</f>
        <v/>
      </c>
      <c r="U106" s="44" t="s">
        <v>242</v>
      </c>
      <c r="V106" s="45" t="s">
        <v>840</v>
      </c>
      <c r="W106" s="46">
        <f t="shared" si="15"/>
        <v>45304</v>
      </c>
    </row>
    <row r="107" ht="45.0" hidden="1" customHeight="1">
      <c r="A107" s="32" t="s">
        <v>231</v>
      </c>
      <c r="B107" s="33" t="str">
        <f t="shared" si="12"/>
        <v/>
      </c>
      <c r="C107" s="34" t="s">
        <v>857</v>
      </c>
      <c r="D107" s="35" t="s">
        <v>858</v>
      </c>
      <c r="E107" s="35" t="s">
        <v>385</v>
      </c>
      <c r="F107" s="36" t="s">
        <v>859</v>
      </c>
      <c r="G107" s="37" t="s">
        <v>387</v>
      </c>
      <c r="H107" s="38" t="s">
        <v>628</v>
      </c>
      <c r="I107" s="81" t="s">
        <v>860</v>
      </c>
      <c r="J107" s="39" t="s">
        <v>861</v>
      </c>
      <c r="K107" s="38"/>
      <c r="L107" s="38" t="s">
        <v>862</v>
      </c>
      <c r="M107" s="40"/>
      <c r="N107" s="50">
        <v>45133.0</v>
      </c>
      <c r="O107" s="76">
        <f t="shared" si="17"/>
        <v>45043</v>
      </c>
      <c r="P107" s="35" t="s">
        <v>863</v>
      </c>
      <c r="Q107" s="35" t="s">
        <v>864</v>
      </c>
      <c r="R107" s="42"/>
      <c r="S107" s="45" t="b">
        <v>1</v>
      </c>
      <c r="T107" s="43">
        <f>IFERROR(__xludf.DUMMYFUNCTION("IFERROR(VLOOKUP(C107,IMPORTRANGE(""https://docs.google.com/spreadsheets/d/1RmEXtNg60OGvqZjyMxiYNPJ6S_kcz01v57qrHugDWVc/edit#gid=0"",""Chegadas!E:AQ""),19,0),"""")"),44900.0)</f>
        <v>44900</v>
      </c>
      <c r="U107" s="44" t="s">
        <v>242</v>
      </c>
      <c r="V107" s="60" t="s">
        <v>865</v>
      </c>
      <c r="W107" s="46">
        <f t="shared" si="15"/>
        <v>45133</v>
      </c>
    </row>
    <row r="108" ht="79.5" hidden="1" customHeight="1">
      <c r="A108" s="32" t="s">
        <v>231</v>
      </c>
      <c r="B108" s="33" t="str">
        <f t="shared" si="12"/>
        <v/>
      </c>
      <c r="C108" s="34" t="s">
        <v>866</v>
      </c>
      <c r="D108" s="35" t="s">
        <v>858</v>
      </c>
      <c r="E108" s="35" t="s">
        <v>385</v>
      </c>
      <c r="F108" s="36" t="s">
        <v>867</v>
      </c>
      <c r="G108" s="37" t="s">
        <v>387</v>
      </c>
      <c r="H108" s="38" t="s">
        <v>628</v>
      </c>
      <c r="I108" s="81" t="s">
        <v>860</v>
      </c>
      <c r="J108" s="47" t="s">
        <v>868</v>
      </c>
      <c r="K108" s="38"/>
      <c r="L108" s="38" t="s">
        <v>862</v>
      </c>
      <c r="M108" s="40"/>
      <c r="N108" s="66">
        <v>45068.0</v>
      </c>
      <c r="O108" s="41">
        <f t="shared" si="17"/>
        <v>44978</v>
      </c>
      <c r="P108" s="35" t="s">
        <v>869</v>
      </c>
      <c r="Q108" s="35" t="s">
        <v>870</v>
      </c>
      <c r="R108" s="35" t="s">
        <v>286</v>
      </c>
      <c r="S108" s="45" t="b">
        <v>1</v>
      </c>
      <c r="T108" s="43">
        <f>IFERROR(__xludf.DUMMYFUNCTION("IFERROR(VLOOKUP(C108,IMPORTRANGE(""https://docs.google.com/spreadsheets/d/1RmEXtNg60OGvqZjyMxiYNPJ6S_kcz01v57qrHugDWVc/edit#gid=0"",""Chegadas!E:AQ""),19,0),"""")"),44778.0)</f>
        <v>44778</v>
      </c>
      <c r="U108" s="44" t="s">
        <v>242</v>
      </c>
      <c r="V108" s="45" t="s">
        <v>871</v>
      </c>
      <c r="W108" s="46">
        <f t="shared" si="15"/>
        <v>45068</v>
      </c>
    </row>
    <row r="109" ht="46.5" hidden="1" customHeight="1">
      <c r="A109" s="32" t="s">
        <v>231</v>
      </c>
      <c r="B109" s="33" t="str">
        <f t="shared" si="12"/>
        <v/>
      </c>
      <c r="C109" s="34" t="s">
        <v>872</v>
      </c>
      <c r="D109" s="35" t="s">
        <v>873</v>
      </c>
      <c r="E109" s="35" t="s">
        <v>645</v>
      </c>
      <c r="F109" s="36" t="s">
        <v>874</v>
      </c>
      <c r="G109" s="37" t="s">
        <v>273</v>
      </c>
      <c r="H109" s="38" t="s">
        <v>236</v>
      </c>
      <c r="I109" s="38" t="s">
        <v>274</v>
      </c>
      <c r="J109" s="82" t="s">
        <v>875</v>
      </c>
      <c r="K109" s="38"/>
      <c r="L109" s="38" t="s">
        <v>239</v>
      </c>
      <c r="M109" s="63" t="s">
        <v>876</v>
      </c>
      <c r="N109" s="66">
        <v>45485.0</v>
      </c>
      <c r="O109" s="41">
        <f t="shared" si="17"/>
        <v>45395</v>
      </c>
      <c r="P109" s="35" t="s">
        <v>877</v>
      </c>
      <c r="Q109" s="35" t="s">
        <v>878</v>
      </c>
      <c r="R109" s="35" t="s">
        <v>494</v>
      </c>
      <c r="S109" s="45" t="b">
        <v>1</v>
      </c>
      <c r="T109" s="43">
        <f>IFERROR(__xludf.DUMMYFUNCTION("IFERROR(VLOOKUP(C109,IMPORTRANGE(""https://docs.google.com/spreadsheets/d/1RmEXtNg60OGvqZjyMxiYNPJ6S_kcz01v57qrHugDWVc/edit#gid=0"",""Chegadas!E:AQ""),19,0),"""")"),44839.0)</f>
        <v>44839</v>
      </c>
      <c r="U109" s="44" t="s">
        <v>242</v>
      </c>
      <c r="V109" s="60" t="s">
        <v>879</v>
      </c>
      <c r="W109" s="61">
        <f>IFERROR(IF(U109="Ativo","Ativo",IF(U109="SKU excluído","Vencido",VLOOKUP(C109,Encerramentos!B:G,6,0))),"")</f>
        <v>45485</v>
      </c>
    </row>
    <row r="110" ht="46.5" hidden="1" customHeight="1">
      <c r="A110" s="32" t="s">
        <v>231</v>
      </c>
      <c r="B110" s="33" t="str">
        <f t="shared" si="12"/>
        <v/>
      </c>
      <c r="C110" s="34" t="s">
        <v>880</v>
      </c>
      <c r="D110" s="35" t="s">
        <v>873</v>
      </c>
      <c r="E110" s="35" t="s">
        <v>645</v>
      </c>
      <c r="F110" s="36" t="s">
        <v>881</v>
      </c>
      <c r="G110" s="37" t="s">
        <v>273</v>
      </c>
      <c r="H110" s="38" t="s">
        <v>236</v>
      </c>
      <c r="I110" s="38" t="s">
        <v>274</v>
      </c>
      <c r="J110" s="82" t="s">
        <v>882</v>
      </c>
      <c r="K110" s="38"/>
      <c r="L110" s="38" t="s">
        <v>239</v>
      </c>
      <c r="M110" s="63" t="s">
        <v>883</v>
      </c>
      <c r="N110" s="66">
        <v>45485.0</v>
      </c>
      <c r="O110" s="41">
        <f t="shared" si="17"/>
        <v>45395</v>
      </c>
      <c r="P110" s="35" t="s">
        <v>877</v>
      </c>
      <c r="Q110" s="35" t="s">
        <v>878</v>
      </c>
      <c r="R110" s="35" t="s">
        <v>494</v>
      </c>
      <c r="S110" s="45" t="b">
        <v>1</v>
      </c>
      <c r="T110" s="43">
        <f>IFERROR(__xludf.DUMMYFUNCTION("IFERROR(VLOOKUP(C110,IMPORTRANGE(""https://docs.google.com/spreadsheets/d/1RmEXtNg60OGvqZjyMxiYNPJ6S_kcz01v57qrHugDWVc/edit#gid=0"",""Chegadas!E:AQ""),19,0),"""")"),44839.0)</f>
        <v>44839</v>
      </c>
      <c r="U110" s="44" t="s">
        <v>242</v>
      </c>
      <c r="V110" s="60" t="s">
        <v>884</v>
      </c>
      <c r="W110" s="61">
        <f>IFERROR(IF(U110="Ativo","Ativo",IF(U110="SKU excluído","Vencido",VLOOKUP(C110,Encerramentos!B:G,6,0))),"")</f>
        <v>45485</v>
      </c>
    </row>
    <row r="111" ht="46.5" hidden="1" customHeight="1">
      <c r="A111" s="32" t="s">
        <v>231</v>
      </c>
      <c r="B111" s="33" t="str">
        <f t="shared" si="12"/>
        <v/>
      </c>
      <c r="C111" s="34" t="s">
        <v>885</v>
      </c>
      <c r="D111" s="35" t="s">
        <v>873</v>
      </c>
      <c r="E111" s="35" t="s">
        <v>645</v>
      </c>
      <c r="F111" s="36" t="s">
        <v>886</v>
      </c>
      <c r="G111" s="37" t="s">
        <v>273</v>
      </c>
      <c r="H111" s="38" t="s">
        <v>236</v>
      </c>
      <c r="I111" s="38" t="s">
        <v>274</v>
      </c>
      <c r="J111" s="82" t="s">
        <v>887</v>
      </c>
      <c r="K111" s="38"/>
      <c r="L111" s="38" t="s">
        <v>239</v>
      </c>
      <c r="M111" s="63" t="s">
        <v>876</v>
      </c>
      <c r="N111" s="66">
        <v>45485.0</v>
      </c>
      <c r="O111" s="41">
        <f t="shared" si="17"/>
        <v>45395</v>
      </c>
      <c r="P111" s="35" t="s">
        <v>877</v>
      </c>
      <c r="Q111" s="35" t="s">
        <v>878</v>
      </c>
      <c r="R111" s="35" t="s">
        <v>494</v>
      </c>
      <c r="S111" s="45" t="b">
        <v>1</v>
      </c>
      <c r="T111" s="43">
        <f>IFERROR(__xludf.DUMMYFUNCTION("IFERROR(VLOOKUP(C111,IMPORTRANGE(""https://docs.google.com/spreadsheets/d/1RmEXtNg60OGvqZjyMxiYNPJ6S_kcz01v57qrHugDWVc/edit#gid=0"",""Chegadas!E:AQ""),19,0),"""")"),44839.0)</f>
        <v>44839</v>
      </c>
      <c r="U111" s="44" t="s">
        <v>242</v>
      </c>
      <c r="V111" s="60" t="s">
        <v>879</v>
      </c>
      <c r="W111" s="61">
        <f>IFERROR(IF(U111="Ativo","Ativo",IF(U111="SKU excluído","Vencido",VLOOKUP(C111,Encerramentos!B:G,6,0))),"")</f>
        <v>45485</v>
      </c>
    </row>
    <row r="112" ht="42.75" hidden="1" customHeight="1">
      <c r="A112" s="32" t="s">
        <v>231</v>
      </c>
      <c r="B112" s="33" t="str">
        <f t="shared" si="12"/>
        <v/>
      </c>
      <c r="C112" s="34" t="s">
        <v>888</v>
      </c>
      <c r="D112" s="35" t="s">
        <v>873</v>
      </c>
      <c r="E112" s="35" t="s">
        <v>421</v>
      </c>
      <c r="F112" s="36" t="s">
        <v>889</v>
      </c>
      <c r="G112" s="37" t="s">
        <v>273</v>
      </c>
      <c r="H112" s="38" t="s">
        <v>236</v>
      </c>
      <c r="I112" s="47" t="s">
        <v>274</v>
      </c>
      <c r="J112" s="82" t="s">
        <v>890</v>
      </c>
      <c r="K112" s="58">
        <v>45728.0</v>
      </c>
      <c r="L112" s="38" t="s">
        <v>239</v>
      </c>
      <c r="M112" s="45" t="s">
        <v>891</v>
      </c>
      <c r="N112" s="66">
        <v>46468.0</v>
      </c>
      <c r="O112" s="66">
        <f t="shared" si="17"/>
        <v>46378</v>
      </c>
      <c r="P112" s="83" t="s">
        <v>892</v>
      </c>
      <c r="Q112" s="35" t="s">
        <v>425</v>
      </c>
      <c r="R112" s="35" t="s">
        <v>533</v>
      </c>
      <c r="S112" s="45" t="b">
        <v>1</v>
      </c>
      <c r="T112" s="43">
        <f>IFERROR(__xludf.DUMMYFUNCTION("IFERROR(VLOOKUP(C112,IMPORTRANGE(""https://docs.google.com/spreadsheets/d/1RmEXtNg60OGvqZjyMxiYNPJ6S_kcz01v57qrHugDWVc/edit#gid=0"",""Chegadas!E:AQ""),19,0),"""")"),44839.0)</f>
        <v>44839</v>
      </c>
      <c r="U112" s="59" t="s">
        <v>393</v>
      </c>
      <c r="V112" s="60" t="s">
        <v>426</v>
      </c>
      <c r="W112" s="61" t="str">
        <f>IFERROR(IF(U112="Ativo","Ativo",IF(U112="SKU excluído","Vencido",VLOOKUP(C112,Encerramentos!B:G,6,0))),"")</f>
        <v>Ativo</v>
      </c>
    </row>
    <row r="113" ht="40.5" hidden="1" customHeight="1">
      <c r="A113" s="32" t="s">
        <v>231</v>
      </c>
      <c r="B113" s="33" t="str">
        <f t="shared" si="12"/>
        <v/>
      </c>
      <c r="C113" s="34" t="s">
        <v>893</v>
      </c>
      <c r="D113" s="35" t="s">
        <v>873</v>
      </c>
      <c r="E113" s="35" t="s">
        <v>894</v>
      </c>
      <c r="F113" s="36" t="s">
        <v>895</v>
      </c>
      <c r="G113" s="37" t="s">
        <v>273</v>
      </c>
      <c r="H113" s="38" t="s">
        <v>236</v>
      </c>
      <c r="I113" s="47" t="s">
        <v>274</v>
      </c>
      <c r="J113" s="82" t="s">
        <v>896</v>
      </c>
      <c r="K113" s="58">
        <v>45446.0</v>
      </c>
      <c r="L113" s="38" t="s">
        <v>239</v>
      </c>
      <c r="M113" s="63" t="s">
        <v>894</v>
      </c>
      <c r="N113" s="41">
        <v>46230.0</v>
      </c>
      <c r="O113" s="76">
        <f t="shared" si="17"/>
        <v>46140</v>
      </c>
      <c r="P113" s="35" t="s">
        <v>897</v>
      </c>
      <c r="Q113" s="35" t="s">
        <v>898</v>
      </c>
      <c r="R113" s="35" t="s">
        <v>533</v>
      </c>
      <c r="S113" s="45" t="b">
        <v>1</v>
      </c>
      <c r="T113" s="43">
        <f>IFERROR(__xludf.DUMMYFUNCTION("IFERROR(VLOOKUP(C113,IMPORTRANGE(""https://docs.google.com/spreadsheets/d/1RmEXtNg60OGvqZjyMxiYNPJ6S_kcz01v57qrHugDWVc/edit#gid=0"",""Chegadas!E:AQ""),19,0),"""")"),44839.0)</f>
        <v>44839</v>
      </c>
      <c r="U113" s="59" t="s">
        <v>393</v>
      </c>
      <c r="V113" s="84" t="s">
        <v>899</v>
      </c>
      <c r="W113" s="61" t="str">
        <f>IFERROR(IF(U113="Ativo","Ativo",IF(U113="SKU excluído","Vencido",VLOOKUP(C113,Encerramentos!B:G,6,0))),"")</f>
        <v>Ativo</v>
      </c>
    </row>
    <row r="114" ht="45.0" hidden="1" customHeight="1">
      <c r="A114" s="32" t="s">
        <v>231</v>
      </c>
      <c r="B114" s="33" t="str">
        <f t="shared" si="12"/>
        <v/>
      </c>
      <c r="C114" s="85" t="s">
        <v>900</v>
      </c>
      <c r="D114" s="35" t="s">
        <v>873</v>
      </c>
      <c r="E114" s="35" t="s">
        <v>901</v>
      </c>
      <c r="F114" s="36" t="s">
        <v>902</v>
      </c>
      <c r="G114" s="37" t="s">
        <v>387</v>
      </c>
      <c r="H114" s="38" t="s">
        <v>98</v>
      </c>
      <c r="I114" s="47" t="s">
        <v>903</v>
      </c>
      <c r="J114" s="75" t="s">
        <v>904</v>
      </c>
      <c r="K114" s="38"/>
      <c r="L114" s="38" t="s">
        <v>862</v>
      </c>
      <c r="M114" s="40"/>
      <c r="N114" s="41">
        <v>45149.0</v>
      </c>
      <c r="O114" s="76">
        <f t="shared" si="17"/>
        <v>45059</v>
      </c>
      <c r="P114" s="35" t="s">
        <v>905</v>
      </c>
      <c r="Q114" s="35" t="s">
        <v>906</v>
      </c>
      <c r="R114" s="35" t="s">
        <v>286</v>
      </c>
      <c r="S114" s="45" t="b">
        <v>1</v>
      </c>
      <c r="T114" s="43">
        <f>IFERROR(__xludf.DUMMYFUNCTION("IFERROR(VLOOKUP(C114,IMPORTRANGE(""https://docs.google.com/spreadsheets/d/1RmEXtNg60OGvqZjyMxiYNPJ6S_kcz01v57qrHugDWVc/edit#gid=0"",""Chegadas!E:AQ""),19,0),"""")"),44839.0)</f>
        <v>44839</v>
      </c>
      <c r="U114" s="44" t="s">
        <v>242</v>
      </c>
      <c r="V114" s="60" t="s">
        <v>907</v>
      </c>
      <c r="W114" s="46">
        <f t="shared" ref="W114:W115" si="18">N114</f>
        <v>45149</v>
      </c>
    </row>
    <row r="115" ht="45.0" hidden="1" customHeight="1">
      <c r="A115" s="32" t="s">
        <v>231</v>
      </c>
      <c r="B115" s="33" t="str">
        <f t="shared" si="12"/>
        <v/>
      </c>
      <c r="C115" s="85" t="s">
        <v>908</v>
      </c>
      <c r="D115" s="35" t="s">
        <v>873</v>
      </c>
      <c r="E115" s="35" t="s">
        <v>360</v>
      </c>
      <c r="F115" s="36" t="s">
        <v>909</v>
      </c>
      <c r="G115" s="37" t="s">
        <v>273</v>
      </c>
      <c r="H115" s="38" t="s">
        <v>236</v>
      </c>
      <c r="I115" s="47" t="s">
        <v>910</v>
      </c>
      <c r="J115" s="75" t="s">
        <v>911</v>
      </c>
      <c r="K115" s="38"/>
      <c r="L115" s="38" t="s">
        <v>239</v>
      </c>
      <c r="M115" s="63" t="s">
        <v>491</v>
      </c>
      <c r="N115" s="41">
        <v>45121.0</v>
      </c>
      <c r="O115" s="41">
        <f t="shared" si="17"/>
        <v>45031</v>
      </c>
      <c r="P115" s="35" t="s">
        <v>912</v>
      </c>
      <c r="Q115" s="41" t="s">
        <v>539</v>
      </c>
      <c r="R115" s="35" t="s">
        <v>533</v>
      </c>
      <c r="S115" s="45" t="b">
        <v>1</v>
      </c>
      <c r="T115" s="43">
        <f>IFERROR(__xludf.DUMMYFUNCTION("IFERROR(VLOOKUP(C115,IMPORTRANGE(""https://docs.google.com/spreadsheets/d/1RmEXtNg60OGvqZjyMxiYNPJ6S_kcz01v57qrHugDWVc/edit#gid=0"",""Chegadas!E:AQ""),19,0),"""")"),44839.0)</f>
        <v>44839</v>
      </c>
      <c r="U115" s="44" t="s">
        <v>242</v>
      </c>
      <c r="V115" s="60" t="s">
        <v>540</v>
      </c>
      <c r="W115" s="46">
        <f t="shared" si="18"/>
        <v>45121</v>
      </c>
    </row>
    <row r="116" ht="52.5" hidden="1" customHeight="1">
      <c r="A116" s="32" t="s">
        <v>231</v>
      </c>
      <c r="B116" s="33" t="str">
        <f t="shared" si="12"/>
        <v/>
      </c>
      <c r="C116" s="85" t="s">
        <v>913</v>
      </c>
      <c r="D116" s="35" t="s">
        <v>914</v>
      </c>
      <c r="E116" s="35" t="s">
        <v>915</v>
      </c>
      <c r="F116" s="36" t="s">
        <v>916</v>
      </c>
      <c r="G116" s="37" t="s">
        <v>917</v>
      </c>
      <c r="H116" s="38" t="s">
        <v>98</v>
      </c>
      <c r="I116" s="38" t="s">
        <v>910</v>
      </c>
      <c r="J116" s="82" t="s">
        <v>918</v>
      </c>
      <c r="K116" s="58">
        <v>45621.0</v>
      </c>
      <c r="L116" s="38" t="s">
        <v>862</v>
      </c>
      <c r="M116" s="63" t="s">
        <v>919</v>
      </c>
      <c r="N116" s="66">
        <v>45604.0</v>
      </c>
      <c r="O116" s="76">
        <f t="shared" si="17"/>
        <v>45514</v>
      </c>
      <c r="P116" s="35" t="s">
        <v>920</v>
      </c>
      <c r="Q116" s="35" t="s">
        <v>921</v>
      </c>
      <c r="R116" s="35" t="s">
        <v>286</v>
      </c>
      <c r="S116" s="45" t="b">
        <v>1</v>
      </c>
      <c r="T116" s="43">
        <f>IFERROR(__xludf.DUMMYFUNCTION("IFERROR(VLOOKUP(C116,IMPORTRANGE(""https://docs.google.com/spreadsheets/d/1RmEXtNg60OGvqZjyMxiYNPJ6S_kcz01v57qrHugDWVc/edit#gid=0"",""Chegadas!E:AQ""),19,0),"""")"),44962.0)</f>
        <v>44962</v>
      </c>
      <c r="U116" s="59" t="s">
        <v>242</v>
      </c>
      <c r="V116" s="60" t="s">
        <v>922</v>
      </c>
      <c r="W116" s="61">
        <f>IFERROR(IF(U116="Ativo","Ativo",IF(U116="SKU excluído","Vencido",VLOOKUP(C116,Encerramentos!B:G,6,0))),"")</f>
        <v>46324</v>
      </c>
    </row>
    <row r="117" ht="52.5" hidden="1" customHeight="1">
      <c r="A117" s="32" t="s">
        <v>231</v>
      </c>
      <c r="B117" s="33" t="str">
        <f t="shared" si="12"/>
        <v/>
      </c>
      <c r="C117" s="85" t="s">
        <v>923</v>
      </c>
      <c r="D117" s="35" t="s">
        <v>914</v>
      </c>
      <c r="E117" s="35" t="s">
        <v>915</v>
      </c>
      <c r="F117" s="36" t="s">
        <v>924</v>
      </c>
      <c r="G117" s="37" t="s">
        <v>917</v>
      </c>
      <c r="H117" s="38" t="s">
        <v>98</v>
      </c>
      <c r="I117" s="38" t="s">
        <v>910</v>
      </c>
      <c r="J117" s="82" t="s">
        <v>925</v>
      </c>
      <c r="K117" s="58">
        <v>45621.0</v>
      </c>
      <c r="L117" s="38" t="s">
        <v>862</v>
      </c>
      <c r="M117" s="63" t="s">
        <v>919</v>
      </c>
      <c r="N117" s="66">
        <v>45604.0</v>
      </c>
      <c r="O117" s="76">
        <f t="shared" si="17"/>
        <v>45514</v>
      </c>
      <c r="P117" s="35" t="s">
        <v>920</v>
      </c>
      <c r="Q117" s="35" t="s">
        <v>921</v>
      </c>
      <c r="R117" s="35" t="s">
        <v>286</v>
      </c>
      <c r="S117" s="45" t="b">
        <v>1</v>
      </c>
      <c r="T117" s="43">
        <f>IFERROR(__xludf.DUMMYFUNCTION("IFERROR(VLOOKUP(C117,IMPORTRANGE(""https://docs.google.com/spreadsheets/d/1RmEXtNg60OGvqZjyMxiYNPJ6S_kcz01v57qrHugDWVc/edit#gid=0"",""Chegadas!E:AQ""),19,0),"""")"),44962.0)</f>
        <v>44962</v>
      </c>
      <c r="U117" s="59" t="s">
        <v>242</v>
      </c>
      <c r="V117" s="60" t="s">
        <v>922</v>
      </c>
      <c r="W117" s="61">
        <f>IFERROR(IF(U117="Ativo","Ativo",IF(U117="SKU excluído","Vencido",VLOOKUP(C117,Encerramentos!B:G,6,0))),"")</f>
        <v>46324</v>
      </c>
    </row>
    <row r="118" ht="52.5" hidden="1" customHeight="1">
      <c r="A118" s="32" t="s">
        <v>231</v>
      </c>
      <c r="B118" s="33" t="str">
        <f t="shared" si="12"/>
        <v/>
      </c>
      <c r="C118" s="85" t="s">
        <v>926</v>
      </c>
      <c r="D118" s="35" t="s">
        <v>914</v>
      </c>
      <c r="E118" s="35" t="s">
        <v>915</v>
      </c>
      <c r="F118" s="36" t="s">
        <v>927</v>
      </c>
      <c r="G118" s="37" t="s">
        <v>917</v>
      </c>
      <c r="H118" s="38" t="s">
        <v>98</v>
      </c>
      <c r="I118" s="38" t="s">
        <v>910</v>
      </c>
      <c r="J118" s="82" t="s">
        <v>928</v>
      </c>
      <c r="K118" s="58">
        <v>45621.0</v>
      </c>
      <c r="L118" s="38" t="s">
        <v>862</v>
      </c>
      <c r="M118" s="63" t="s">
        <v>919</v>
      </c>
      <c r="N118" s="49" t="s">
        <v>929</v>
      </c>
      <c r="O118" s="49" t="s">
        <v>929</v>
      </c>
      <c r="P118" s="35" t="s">
        <v>920</v>
      </c>
      <c r="Q118" s="35" t="s">
        <v>921</v>
      </c>
      <c r="R118" s="35" t="s">
        <v>286</v>
      </c>
      <c r="S118" s="45" t="b">
        <v>1</v>
      </c>
      <c r="T118" s="43">
        <f>IFERROR(__xludf.DUMMYFUNCTION("IFERROR(VLOOKUP(C118,IMPORTRANGE(""https://docs.google.com/spreadsheets/d/1RmEXtNg60OGvqZjyMxiYNPJ6S_kcz01v57qrHugDWVc/edit#gid=0"",""Chegadas!E:AQ""),19,0),"""")"),44962.0)</f>
        <v>44962</v>
      </c>
      <c r="U118" s="86" t="s">
        <v>930</v>
      </c>
      <c r="V118" s="60" t="s">
        <v>922</v>
      </c>
      <c r="W118" s="61" t="str">
        <f>IFERROR(IF(U118="Ativo","Ativo",IF(U118="SKU excluído","Vencido",VLOOKUP(C118,Encerramentos!B:G,6,0))),"")</f>
        <v>Vencido</v>
      </c>
    </row>
    <row r="119" ht="52.5" hidden="1" customHeight="1">
      <c r="A119" s="32" t="s">
        <v>231</v>
      </c>
      <c r="B119" s="33" t="str">
        <f t="shared" si="12"/>
        <v/>
      </c>
      <c r="C119" s="85" t="s">
        <v>931</v>
      </c>
      <c r="D119" s="35" t="s">
        <v>914</v>
      </c>
      <c r="E119" s="35" t="s">
        <v>915</v>
      </c>
      <c r="F119" s="36" t="s">
        <v>932</v>
      </c>
      <c r="G119" s="37" t="s">
        <v>917</v>
      </c>
      <c r="H119" s="38" t="s">
        <v>98</v>
      </c>
      <c r="I119" s="38" t="s">
        <v>910</v>
      </c>
      <c r="J119" s="82" t="s">
        <v>933</v>
      </c>
      <c r="K119" s="58">
        <v>45621.0</v>
      </c>
      <c r="L119" s="38" t="s">
        <v>862</v>
      </c>
      <c r="M119" s="63" t="s">
        <v>919</v>
      </c>
      <c r="N119" s="66">
        <v>45604.0</v>
      </c>
      <c r="O119" s="76">
        <f t="shared" ref="O119:O121" si="19">N119-90</f>
        <v>45514</v>
      </c>
      <c r="P119" s="35" t="s">
        <v>920</v>
      </c>
      <c r="Q119" s="35" t="s">
        <v>921</v>
      </c>
      <c r="R119" s="35" t="s">
        <v>286</v>
      </c>
      <c r="S119" s="45" t="b">
        <v>1</v>
      </c>
      <c r="T119" s="43">
        <f>IFERROR(__xludf.DUMMYFUNCTION("IFERROR(VLOOKUP(C119,IMPORTRANGE(""https://docs.google.com/spreadsheets/d/1RmEXtNg60OGvqZjyMxiYNPJ6S_kcz01v57qrHugDWVc/edit#gid=0"",""Chegadas!E:AQ""),19,0),"""")"),44962.0)</f>
        <v>44962</v>
      </c>
      <c r="U119" s="59" t="s">
        <v>242</v>
      </c>
      <c r="V119" s="60" t="s">
        <v>922</v>
      </c>
      <c r="W119" s="61">
        <f>IFERROR(IF(U119="Ativo","Ativo",IF(U119="SKU excluído","Vencido",VLOOKUP(C119,Encerramentos!B:G,6,0))),"")</f>
        <v>46324</v>
      </c>
    </row>
    <row r="120" ht="52.5" hidden="1" customHeight="1">
      <c r="A120" s="32" t="s">
        <v>231</v>
      </c>
      <c r="B120" s="33" t="str">
        <f t="shared" si="12"/>
        <v/>
      </c>
      <c r="C120" s="85" t="s">
        <v>934</v>
      </c>
      <c r="D120" s="35" t="s">
        <v>914</v>
      </c>
      <c r="E120" s="35" t="s">
        <v>915</v>
      </c>
      <c r="F120" s="36" t="s">
        <v>935</v>
      </c>
      <c r="G120" s="37" t="s">
        <v>917</v>
      </c>
      <c r="H120" s="38" t="s">
        <v>98</v>
      </c>
      <c r="I120" s="38" t="s">
        <v>910</v>
      </c>
      <c r="J120" s="82" t="s">
        <v>936</v>
      </c>
      <c r="K120" s="58">
        <v>45621.0</v>
      </c>
      <c r="L120" s="38" t="s">
        <v>862</v>
      </c>
      <c r="M120" s="63" t="s">
        <v>919</v>
      </c>
      <c r="N120" s="66">
        <v>45604.0</v>
      </c>
      <c r="O120" s="76">
        <f t="shared" si="19"/>
        <v>45514</v>
      </c>
      <c r="P120" s="35" t="s">
        <v>920</v>
      </c>
      <c r="Q120" s="35" t="s">
        <v>921</v>
      </c>
      <c r="R120" s="35" t="s">
        <v>286</v>
      </c>
      <c r="S120" s="45" t="b">
        <v>1</v>
      </c>
      <c r="T120" s="43">
        <f>IFERROR(__xludf.DUMMYFUNCTION("IFERROR(VLOOKUP(C120,IMPORTRANGE(""https://docs.google.com/spreadsheets/d/1RmEXtNg60OGvqZjyMxiYNPJ6S_kcz01v57qrHugDWVc/edit#gid=0"",""Chegadas!E:AQ""),19,0),"""")"),44962.0)</f>
        <v>44962</v>
      </c>
      <c r="U120" s="59" t="s">
        <v>242</v>
      </c>
      <c r="V120" s="60" t="s">
        <v>922</v>
      </c>
      <c r="W120" s="61">
        <f>IFERROR(IF(U120="Ativo","Ativo",IF(U120="SKU excluído","Vencido",VLOOKUP(C120,Encerramentos!B:G,6,0))),"")</f>
        <v>46324</v>
      </c>
    </row>
    <row r="121" ht="52.5" hidden="1" customHeight="1">
      <c r="A121" s="32" t="s">
        <v>231</v>
      </c>
      <c r="B121" s="33" t="str">
        <f t="shared" si="12"/>
        <v/>
      </c>
      <c r="C121" s="85" t="s">
        <v>937</v>
      </c>
      <c r="D121" s="35" t="s">
        <v>914</v>
      </c>
      <c r="E121" s="35" t="s">
        <v>915</v>
      </c>
      <c r="F121" s="36" t="s">
        <v>938</v>
      </c>
      <c r="G121" s="37" t="s">
        <v>917</v>
      </c>
      <c r="H121" s="38" t="s">
        <v>98</v>
      </c>
      <c r="I121" s="38" t="s">
        <v>910</v>
      </c>
      <c r="J121" s="82" t="s">
        <v>939</v>
      </c>
      <c r="K121" s="58">
        <v>45621.0</v>
      </c>
      <c r="L121" s="38" t="s">
        <v>862</v>
      </c>
      <c r="M121" s="63" t="s">
        <v>919</v>
      </c>
      <c r="N121" s="66">
        <v>45604.0</v>
      </c>
      <c r="O121" s="76">
        <f t="shared" si="19"/>
        <v>45514</v>
      </c>
      <c r="P121" s="35" t="s">
        <v>920</v>
      </c>
      <c r="Q121" s="35" t="s">
        <v>921</v>
      </c>
      <c r="R121" s="35" t="s">
        <v>286</v>
      </c>
      <c r="S121" s="45" t="b">
        <v>1</v>
      </c>
      <c r="T121" s="43">
        <f>IFERROR(__xludf.DUMMYFUNCTION("IFERROR(VLOOKUP(C121,IMPORTRANGE(""https://docs.google.com/spreadsheets/d/1RmEXtNg60OGvqZjyMxiYNPJ6S_kcz01v57qrHugDWVc/edit#gid=0"",""Chegadas!E:AQ""),19,0),"""")"),44962.0)</f>
        <v>44962</v>
      </c>
      <c r="U121" s="59" t="s">
        <v>242</v>
      </c>
      <c r="V121" s="60" t="s">
        <v>922</v>
      </c>
      <c r="W121" s="61">
        <f>IFERROR(IF(U121="Ativo","Ativo",IF(U121="SKU excluído","Vencido",VLOOKUP(C121,Encerramentos!B:G,6,0))),"")</f>
        <v>46324</v>
      </c>
    </row>
    <row r="122" ht="52.5" hidden="1" customHeight="1">
      <c r="A122" s="32" t="s">
        <v>231</v>
      </c>
      <c r="B122" s="33" t="str">
        <f t="shared" si="12"/>
        <v/>
      </c>
      <c r="C122" s="85" t="s">
        <v>940</v>
      </c>
      <c r="D122" s="35" t="s">
        <v>914</v>
      </c>
      <c r="E122" s="35" t="s">
        <v>915</v>
      </c>
      <c r="F122" s="36" t="s">
        <v>941</v>
      </c>
      <c r="G122" s="37" t="s">
        <v>917</v>
      </c>
      <c r="H122" s="38" t="s">
        <v>98</v>
      </c>
      <c r="I122" s="38" t="s">
        <v>910</v>
      </c>
      <c r="J122" s="82" t="s">
        <v>942</v>
      </c>
      <c r="K122" s="58">
        <v>45621.0</v>
      </c>
      <c r="L122" s="38" t="s">
        <v>862</v>
      </c>
      <c r="M122" s="63" t="s">
        <v>919</v>
      </c>
      <c r="N122" s="49" t="s">
        <v>929</v>
      </c>
      <c r="O122" s="49" t="s">
        <v>929</v>
      </c>
      <c r="P122" s="35" t="s">
        <v>920</v>
      </c>
      <c r="Q122" s="35" t="s">
        <v>921</v>
      </c>
      <c r="R122" s="35" t="s">
        <v>286</v>
      </c>
      <c r="S122" s="45" t="b">
        <v>1</v>
      </c>
      <c r="T122" s="43">
        <f>IFERROR(__xludf.DUMMYFUNCTION("IFERROR(VLOOKUP(C122,IMPORTRANGE(""https://docs.google.com/spreadsheets/d/1RmEXtNg60OGvqZjyMxiYNPJ6S_kcz01v57qrHugDWVc/edit#gid=0"",""Chegadas!E:AQ""),19,0),"""")"),44962.0)</f>
        <v>44962</v>
      </c>
      <c r="U122" s="86" t="s">
        <v>930</v>
      </c>
      <c r="V122" s="60" t="s">
        <v>922</v>
      </c>
      <c r="W122" s="61" t="str">
        <f>IFERROR(IF(U122="Ativo","Ativo",IF(U122="SKU excluído","Vencido",VLOOKUP(C122,Encerramentos!B:G,6,0))),"")</f>
        <v>Vencido</v>
      </c>
    </row>
    <row r="123" ht="52.5" hidden="1" customHeight="1">
      <c r="A123" s="32" t="s">
        <v>231</v>
      </c>
      <c r="B123" s="33" t="str">
        <f t="shared" si="12"/>
        <v/>
      </c>
      <c r="C123" s="85" t="s">
        <v>943</v>
      </c>
      <c r="D123" s="35" t="s">
        <v>914</v>
      </c>
      <c r="E123" s="35" t="s">
        <v>915</v>
      </c>
      <c r="F123" s="36" t="s">
        <v>944</v>
      </c>
      <c r="G123" s="37" t="s">
        <v>917</v>
      </c>
      <c r="H123" s="38" t="s">
        <v>98</v>
      </c>
      <c r="I123" s="38" t="s">
        <v>910</v>
      </c>
      <c r="J123" s="82" t="s">
        <v>945</v>
      </c>
      <c r="K123" s="58">
        <v>45621.0</v>
      </c>
      <c r="L123" s="38" t="s">
        <v>862</v>
      </c>
      <c r="M123" s="63" t="s">
        <v>919</v>
      </c>
      <c r="N123" s="66">
        <v>45604.0</v>
      </c>
      <c r="O123" s="76">
        <f t="shared" ref="O123:O124" si="20">N123-90</f>
        <v>45514</v>
      </c>
      <c r="P123" s="35" t="s">
        <v>920</v>
      </c>
      <c r="Q123" s="35" t="s">
        <v>921</v>
      </c>
      <c r="R123" s="35" t="s">
        <v>286</v>
      </c>
      <c r="S123" s="45" t="b">
        <v>1</v>
      </c>
      <c r="T123" s="43">
        <f>IFERROR(__xludf.DUMMYFUNCTION("IFERROR(VLOOKUP(C123,IMPORTRANGE(""https://docs.google.com/spreadsheets/d/1RmEXtNg60OGvqZjyMxiYNPJ6S_kcz01v57qrHugDWVc/edit#gid=0"",""Chegadas!E:AQ""),19,0),"""")"),44962.0)</f>
        <v>44962</v>
      </c>
      <c r="U123" s="59" t="s">
        <v>242</v>
      </c>
      <c r="V123" s="60" t="s">
        <v>922</v>
      </c>
      <c r="W123" s="61">
        <f>IFERROR(IF(U123="Ativo","Ativo",IF(U123="SKU excluído","Vencido",VLOOKUP(C123,Encerramentos!B:G,6,0))),"")</f>
        <v>46324</v>
      </c>
    </row>
    <row r="124" ht="52.5" hidden="1" customHeight="1">
      <c r="A124" s="32" t="s">
        <v>231</v>
      </c>
      <c r="B124" s="33" t="str">
        <f t="shared" si="12"/>
        <v/>
      </c>
      <c r="C124" s="85" t="s">
        <v>946</v>
      </c>
      <c r="D124" s="35" t="s">
        <v>914</v>
      </c>
      <c r="E124" s="35" t="s">
        <v>915</v>
      </c>
      <c r="F124" s="36" t="s">
        <v>947</v>
      </c>
      <c r="G124" s="37" t="s">
        <v>917</v>
      </c>
      <c r="H124" s="38" t="s">
        <v>98</v>
      </c>
      <c r="I124" s="38" t="s">
        <v>910</v>
      </c>
      <c r="J124" s="82" t="s">
        <v>948</v>
      </c>
      <c r="K124" s="58">
        <v>45621.0</v>
      </c>
      <c r="L124" s="38" t="s">
        <v>862</v>
      </c>
      <c r="M124" s="63" t="s">
        <v>919</v>
      </c>
      <c r="N124" s="66">
        <v>45604.0</v>
      </c>
      <c r="O124" s="76">
        <f t="shared" si="20"/>
        <v>45514</v>
      </c>
      <c r="P124" s="35" t="s">
        <v>920</v>
      </c>
      <c r="Q124" s="35" t="s">
        <v>921</v>
      </c>
      <c r="R124" s="35" t="s">
        <v>286</v>
      </c>
      <c r="S124" s="45" t="b">
        <v>1</v>
      </c>
      <c r="T124" s="43">
        <f>IFERROR(__xludf.DUMMYFUNCTION("IFERROR(VLOOKUP(C124,IMPORTRANGE(""https://docs.google.com/spreadsheets/d/1RmEXtNg60OGvqZjyMxiYNPJ6S_kcz01v57qrHugDWVc/edit#gid=0"",""Chegadas!E:AQ""),19,0),"""")"),44962.0)</f>
        <v>44962</v>
      </c>
      <c r="U124" s="59" t="s">
        <v>242</v>
      </c>
      <c r="V124" s="60" t="s">
        <v>922</v>
      </c>
      <c r="W124" s="61">
        <f>IFERROR(IF(U124="Ativo","Ativo",IF(U124="SKU excluído","Vencido",VLOOKUP(C124,Encerramentos!B:G,6,0))),"")</f>
        <v>46324</v>
      </c>
    </row>
    <row r="125" ht="52.5" hidden="1" customHeight="1">
      <c r="A125" s="32" t="s">
        <v>231</v>
      </c>
      <c r="B125" s="33" t="str">
        <f t="shared" si="12"/>
        <v/>
      </c>
      <c r="C125" s="85" t="s">
        <v>949</v>
      </c>
      <c r="D125" s="35" t="s">
        <v>914</v>
      </c>
      <c r="E125" s="35" t="s">
        <v>915</v>
      </c>
      <c r="F125" s="36" t="s">
        <v>950</v>
      </c>
      <c r="G125" s="37" t="s">
        <v>917</v>
      </c>
      <c r="H125" s="38" t="s">
        <v>98</v>
      </c>
      <c r="I125" s="38" t="s">
        <v>910</v>
      </c>
      <c r="J125" s="82" t="s">
        <v>951</v>
      </c>
      <c r="K125" s="58">
        <v>45621.0</v>
      </c>
      <c r="L125" s="38" t="s">
        <v>862</v>
      </c>
      <c r="M125" s="63" t="s">
        <v>919</v>
      </c>
      <c r="N125" s="49" t="s">
        <v>929</v>
      </c>
      <c r="O125" s="49" t="s">
        <v>929</v>
      </c>
      <c r="P125" s="35" t="s">
        <v>920</v>
      </c>
      <c r="Q125" s="35" t="s">
        <v>921</v>
      </c>
      <c r="R125" s="35" t="s">
        <v>286</v>
      </c>
      <c r="S125" s="45" t="b">
        <v>1</v>
      </c>
      <c r="T125" s="43">
        <f>IFERROR(__xludf.DUMMYFUNCTION("IFERROR(VLOOKUP(C125,IMPORTRANGE(""https://docs.google.com/spreadsheets/d/1RmEXtNg60OGvqZjyMxiYNPJ6S_kcz01v57qrHugDWVc/edit#gid=0"",""Chegadas!E:AQ""),19,0),"""")"),44962.0)</f>
        <v>44962</v>
      </c>
      <c r="U125" s="86" t="s">
        <v>930</v>
      </c>
      <c r="V125" s="60" t="s">
        <v>922</v>
      </c>
      <c r="W125" s="61" t="str">
        <f>IFERROR(IF(U125="Ativo","Ativo",IF(U125="SKU excluído","Vencido",VLOOKUP(C125,Encerramentos!B:G,6,0))),"")</f>
        <v>Vencido</v>
      </c>
    </row>
    <row r="126" ht="52.5" hidden="1" customHeight="1">
      <c r="A126" s="32" t="s">
        <v>231</v>
      </c>
      <c r="B126" s="33" t="str">
        <f t="shared" si="12"/>
        <v/>
      </c>
      <c r="C126" s="85" t="s">
        <v>952</v>
      </c>
      <c r="D126" s="35" t="s">
        <v>914</v>
      </c>
      <c r="E126" s="35" t="s">
        <v>915</v>
      </c>
      <c r="F126" s="36" t="s">
        <v>953</v>
      </c>
      <c r="G126" s="37" t="s">
        <v>917</v>
      </c>
      <c r="H126" s="38" t="s">
        <v>98</v>
      </c>
      <c r="I126" s="38" t="s">
        <v>910</v>
      </c>
      <c r="J126" s="82" t="s">
        <v>954</v>
      </c>
      <c r="K126" s="58">
        <v>45621.0</v>
      </c>
      <c r="L126" s="38" t="s">
        <v>862</v>
      </c>
      <c r="M126" s="63" t="s">
        <v>919</v>
      </c>
      <c r="N126" s="66">
        <v>45604.0</v>
      </c>
      <c r="O126" s="76">
        <f t="shared" ref="O126:O127" si="21">N126-90</f>
        <v>45514</v>
      </c>
      <c r="P126" s="35" t="s">
        <v>920</v>
      </c>
      <c r="Q126" s="35" t="s">
        <v>921</v>
      </c>
      <c r="R126" s="35" t="s">
        <v>286</v>
      </c>
      <c r="S126" s="45" t="b">
        <v>1</v>
      </c>
      <c r="T126" s="43">
        <f>IFERROR(__xludf.DUMMYFUNCTION("IFERROR(VLOOKUP(C126,IMPORTRANGE(""https://docs.google.com/spreadsheets/d/1RmEXtNg60OGvqZjyMxiYNPJ6S_kcz01v57qrHugDWVc/edit#gid=0"",""Chegadas!E:AQ""),19,0),"""")"),44962.0)</f>
        <v>44962</v>
      </c>
      <c r="U126" s="59" t="s">
        <v>242</v>
      </c>
      <c r="V126" s="60" t="s">
        <v>922</v>
      </c>
      <c r="W126" s="61">
        <f>IFERROR(IF(U126="Ativo","Ativo",IF(U126="SKU excluído","Vencido",VLOOKUP(C126,Encerramentos!B:G,6,0))),"")</f>
        <v>46324</v>
      </c>
    </row>
    <row r="127" ht="52.5" hidden="1" customHeight="1">
      <c r="A127" s="32" t="s">
        <v>231</v>
      </c>
      <c r="B127" s="33" t="str">
        <f t="shared" si="12"/>
        <v/>
      </c>
      <c r="C127" s="85" t="s">
        <v>955</v>
      </c>
      <c r="D127" s="35" t="s">
        <v>914</v>
      </c>
      <c r="E127" s="35" t="s">
        <v>915</v>
      </c>
      <c r="F127" s="36" t="s">
        <v>956</v>
      </c>
      <c r="G127" s="37" t="s">
        <v>917</v>
      </c>
      <c r="H127" s="38" t="s">
        <v>98</v>
      </c>
      <c r="I127" s="38" t="s">
        <v>910</v>
      </c>
      <c r="J127" s="82" t="s">
        <v>957</v>
      </c>
      <c r="K127" s="58">
        <v>45621.0</v>
      </c>
      <c r="L127" s="38" t="s">
        <v>862</v>
      </c>
      <c r="M127" s="63" t="s">
        <v>919</v>
      </c>
      <c r="N127" s="66">
        <v>45604.0</v>
      </c>
      <c r="O127" s="76">
        <f t="shared" si="21"/>
        <v>45514</v>
      </c>
      <c r="P127" s="35" t="s">
        <v>920</v>
      </c>
      <c r="Q127" s="35" t="s">
        <v>921</v>
      </c>
      <c r="R127" s="35" t="s">
        <v>286</v>
      </c>
      <c r="S127" s="45" t="b">
        <v>1</v>
      </c>
      <c r="T127" s="43">
        <f>IFERROR(__xludf.DUMMYFUNCTION("IFERROR(VLOOKUP(C127,IMPORTRANGE(""https://docs.google.com/spreadsheets/d/1RmEXtNg60OGvqZjyMxiYNPJ6S_kcz01v57qrHugDWVc/edit#gid=0"",""Chegadas!E:AQ""),19,0),"""")"),44962.0)</f>
        <v>44962</v>
      </c>
      <c r="U127" s="59" t="s">
        <v>242</v>
      </c>
      <c r="V127" s="60" t="s">
        <v>922</v>
      </c>
      <c r="W127" s="61">
        <f>IFERROR(IF(U127="Ativo","Ativo",IF(U127="SKU excluído","Vencido",VLOOKUP(C127,Encerramentos!B:G,6,0))),"")</f>
        <v>46324</v>
      </c>
    </row>
    <row r="128" ht="52.5" hidden="1" customHeight="1">
      <c r="A128" s="32" t="s">
        <v>231</v>
      </c>
      <c r="B128" s="33" t="str">
        <f t="shared" si="12"/>
        <v/>
      </c>
      <c r="C128" s="85" t="s">
        <v>958</v>
      </c>
      <c r="D128" s="35" t="s">
        <v>914</v>
      </c>
      <c r="E128" s="35" t="s">
        <v>915</v>
      </c>
      <c r="F128" s="36" t="s">
        <v>959</v>
      </c>
      <c r="G128" s="37" t="s">
        <v>917</v>
      </c>
      <c r="H128" s="38" t="s">
        <v>98</v>
      </c>
      <c r="I128" s="38" t="s">
        <v>910</v>
      </c>
      <c r="J128" s="82" t="s">
        <v>960</v>
      </c>
      <c r="K128" s="58">
        <v>45621.0</v>
      </c>
      <c r="L128" s="38" t="s">
        <v>862</v>
      </c>
      <c r="M128" s="63" t="s">
        <v>919</v>
      </c>
      <c r="N128" s="49" t="s">
        <v>929</v>
      </c>
      <c r="O128" s="49" t="s">
        <v>929</v>
      </c>
      <c r="P128" s="35" t="s">
        <v>920</v>
      </c>
      <c r="Q128" s="35" t="s">
        <v>921</v>
      </c>
      <c r="R128" s="35" t="s">
        <v>286</v>
      </c>
      <c r="S128" s="45" t="b">
        <v>1</v>
      </c>
      <c r="T128" s="43">
        <f>IFERROR(__xludf.DUMMYFUNCTION("IFERROR(VLOOKUP(C128,IMPORTRANGE(""https://docs.google.com/spreadsheets/d/1RmEXtNg60OGvqZjyMxiYNPJ6S_kcz01v57qrHugDWVc/edit#gid=0"",""Chegadas!E:AQ""),19,0),"""")"),44962.0)</f>
        <v>44962</v>
      </c>
      <c r="U128" s="86" t="s">
        <v>930</v>
      </c>
      <c r="V128" s="60" t="s">
        <v>922</v>
      </c>
      <c r="W128" s="61" t="str">
        <f>IFERROR(IF(U128="Ativo","Ativo",IF(U128="SKU excluído","Vencido",VLOOKUP(C128,Encerramentos!B:G,6,0))),"")</f>
        <v>Vencido</v>
      </c>
    </row>
    <row r="129" ht="52.5" hidden="1" customHeight="1">
      <c r="A129" s="32" t="s">
        <v>231</v>
      </c>
      <c r="B129" s="33" t="str">
        <f t="shared" si="12"/>
        <v/>
      </c>
      <c r="C129" s="85" t="s">
        <v>961</v>
      </c>
      <c r="D129" s="35" t="s">
        <v>914</v>
      </c>
      <c r="E129" s="35" t="s">
        <v>915</v>
      </c>
      <c r="F129" s="36" t="s">
        <v>962</v>
      </c>
      <c r="G129" s="37" t="s">
        <v>917</v>
      </c>
      <c r="H129" s="38" t="s">
        <v>98</v>
      </c>
      <c r="I129" s="38" t="s">
        <v>910</v>
      </c>
      <c r="J129" s="82" t="s">
        <v>963</v>
      </c>
      <c r="K129" s="58">
        <v>45621.0</v>
      </c>
      <c r="L129" s="38" t="s">
        <v>862</v>
      </c>
      <c r="M129" s="63" t="s">
        <v>919</v>
      </c>
      <c r="N129" s="66">
        <v>45604.0</v>
      </c>
      <c r="O129" s="76">
        <f t="shared" ref="O129:O131" si="22">N129-90</f>
        <v>45514</v>
      </c>
      <c r="P129" s="35" t="s">
        <v>920</v>
      </c>
      <c r="Q129" s="35" t="s">
        <v>921</v>
      </c>
      <c r="R129" s="35" t="s">
        <v>286</v>
      </c>
      <c r="S129" s="45" t="b">
        <v>1</v>
      </c>
      <c r="T129" s="43">
        <f>IFERROR(__xludf.DUMMYFUNCTION("IFERROR(VLOOKUP(C129,IMPORTRANGE(""https://docs.google.com/spreadsheets/d/1RmEXtNg60OGvqZjyMxiYNPJ6S_kcz01v57qrHugDWVc/edit#gid=0"",""Chegadas!E:AQ""),19,0),"""")"),44962.0)</f>
        <v>44962</v>
      </c>
      <c r="U129" s="59" t="s">
        <v>242</v>
      </c>
      <c r="V129" s="60" t="s">
        <v>922</v>
      </c>
      <c r="W129" s="61">
        <f>IFERROR(IF(U129="Ativo","Ativo",IF(U129="SKU excluído","Vencido",VLOOKUP(C129,Encerramentos!B:G,6,0))),"")</f>
        <v>46324</v>
      </c>
    </row>
    <row r="130" ht="52.5" hidden="1" customHeight="1">
      <c r="A130" s="49" t="s">
        <v>231</v>
      </c>
      <c r="B130" s="33" t="str">
        <f t="shared" si="12"/>
        <v/>
      </c>
      <c r="C130" s="34" t="s">
        <v>964</v>
      </c>
      <c r="D130" s="35" t="s">
        <v>133</v>
      </c>
      <c r="E130" s="35" t="s">
        <v>915</v>
      </c>
      <c r="F130" s="36" t="s">
        <v>965</v>
      </c>
      <c r="G130" s="37" t="s">
        <v>917</v>
      </c>
      <c r="H130" s="38" t="s">
        <v>98</v>
      </c>
      <c r="I130" s="38" t="s">
        <v>966</v>
      </c>
      <c r="J130" s="82" t="s">
        <v>967</v>
      </c>
      <c r="K130" s="58">
        <v>45621.0</v>
      </c>
      <c r="L130" s="38" t="s">
        <v>862</v>
      </c>
      <c r="M130" s="63" t="s">
        <v>919</v>
      </c>
      <c r="N130" s="66">
        <v>45604.0</v>
      </c>
      <c r="O130" s="76">
        <f t="shared" si="22"/>
        <v>45514</v>
      </c>
      <c r="P130" s="35" t="s">
        <v>920</v>
      </c>
      <c r="Q130" s="35" t="s">
        <v>921</v>
      </c>
      <c r="R130" s="35" t="s">
        <v>286</v>
      </c>
      <c r="S130" s="45" t="b">
        <v>1</v>
      </c>
      <c r="T130" s="43">
        <f>IFERROR(__xludf.DUMMYFUNCTION("IFERROR(VLOOKUP(C130,IMPORTRANGE(""https://docs.google.com/spreadsheets/d/1RmEXtNg60OGvqZjyMxiYNPJ6S_kcz01v57qrHugDWVc/edit#gid=0"",""Chegadas!E:AQ""),19,0),"""")"),45021.0)</f>
        <v>45021</v>
      </c>
      <c r="U130" s="59" t="s">
        <v>242</v>
      </c>
      <c r="V130" s="60" t="s">
        <v>922</v>
      </c>
      <c r="W130" s="61">
        <f>IFERROR(IF(U130="Ativo","Ativo",IF(U130="SKU excluído","Vencido",VLOOKUP(C130,Encerramentos!B:G,6,0))),"")</f>
        <v>46324</v>
      </c>
    </row>
    <row r="131" ht="52.5" hidden="1" customHeight="1">
      <c r="A131" s="49" t="s">
        <v>231</v>
      </c>
      <c r="B131" s="33" t="str">
        <f t="shared" si="12"/>
        <v/>
      </c>
      <c r="C131" s="34" t="s">
        <v>968</v>
      </c>
      <c r="D131" s="35" t="s">
        <v>969</v>
      </c>
      <c r="E131" s="35" t="s">
        <v>260</v>
      </c>
      <c r="F131" s="36" t="s">
        <v>970</v>
      </c>
      <c r="G131" s="37" t="s">
        <v>917</v>
      </c>
      <c r="H131" s="38" t="s">
        <v>98</v>
      </c>
      <c r="I131" s="38" t="s">
        <v>971</v>
      </c>
      <c r="J131" s="67" t="s">
        <v>972</v>
      </c>
      <c r="K131" s="58">
        <v>45385.0</v>
      </c>
      <c r="L131" s="38" t="s">
        <v>862</v>
      </c>
      <c r="M131" s="63" t="s">
        <v>973</v>
      </c>
      <c r="N131" s="61">
        <v>45391.0</v>
      </c>
      <c r="O131" s="61">
        <f t="shared" si="22"/>
        <v>45301</v>
      </c>
      <c r="P131" s="35" t="s">
        <v>974</v>
      </c>
      <c r="Q131" s="35" t="s">
        <v>975</v>
      </c>
      <c r="R131" s="35" t="s">
        <v>286</v>
      </c>
      <c r="S131" s="45" t="b">
        <v>1</v>
      </c>
      <c r="T131" s="43">
        <f>IFERROR(__xludf.DUMMYFUNCTION("IFERROR(VLOOKUP(C131,IMPORTRANGE(""https://docs.google.com/spreadsheets/d/1RmEXtNg60OGvqZjyMxiYNPJ6S_kcz01v57qrHugDWVc/edit#gid=0"",""Chegadas!E:AQ""),19,0),"""")"),45143.0)</f>
        <v>45143</v>
      </c>
      <c r="U131" s="44" t="s">
        <v>242</v>
      </c>
      <c r="V131" s="60"/>
      <c r="W131" s="61">
        <f>IFERROR(IF(U131="Ativo","Ativo",IF(U131="SKU excluído","Vencido",VLOOKUP(C131,Encerramentos!B:G,6,0))),"")</f>
        <v>45683</v>
      </c>
    </row>
    <row r="132" ht="58.5" hidden="1" customHeight="1">
      <c r="A132" s="49" t="s">
        <v>231</v>
      </c>
      <c r="B132" s="33" t="str">
        <f t="shared" si="12"/>
        <v/>
      </c>
      <c r="C132" s="34" t="s">
        <v>976</v>
      </c>
      <c r="D132" s="35" t="s">
        <v>873</v>
      </c>
      <c r="E132" s="35" t="s">
        <v>977</v>
      </c>
      <c r="F132" s="36" t="s">
        <v>978</v>
      </c>
      <c r="G132" s="37" t="s">
        <v>917</v>
      </c>
      <c r="H132" s="38" t="s">
        <v>113</v>
      </c>
      <c r="I132" s="47" t="s">
        <v>910</v>
      </c>
      <c r="J132" s="57" t="s">
        <v>979</v>
      </c>
      <c r="K132" s="72"/>
      <c r="L132" s="38" t="s">
        <v>980</v>
      </c>
      <c r="M132" s="40"/>
      <c r="N132" s="42"/>
      <c r="O132" s="42"/>
      <c r="P132" s="35" t="s">
        <v>981</v>
      </c>
      <c r="Q132" s="35" t="s">
        <v>982</v>
      </c>
      <c r="R132" s="42"/>
      <c r="S132" s="45" t="b">
        <v>0</v>
      </c>
      <c r="T132" s="43">
        <f>IFERROR(__xludf.DUMMYFUNCTION("IFERROR(VLOOKUP(C132,IMPORTRANGE(""https://docs.google.com/spreadsheets/d/1RmEXtNg60OGvqZjyMxiYNPJ6S_kcz01v57qrHugDWVc/edit#gid=0"",""Chegadas!E:AQ""),19,0),"""")"),44839.0)</f>
        <v>44839</v>
      </c>
      <c r="U132" s="59" t="s">
        <v>242</v>
      </c>
      <c r="V132" s="60" t="s">
        <v>983</v>
      </c>
      <c r="W132" s="48" t="str">
        <f>P132</f>
        <v>Certificado do fornecedor</v>
      </c>
    </row>
    <row r="133" ht="37.5" hidden="1" customHeight="1">
      <c r="A133" s="49" t="s">
        <v>231</v>
      </c>
      <c r="B133" s="33" t="str">
        <f t="shared" si="12"/>
        <v/>
      </c>
      <c r="C133" s="34" t="s">
        <v>984</v>
      </c>
      <c r="D133" s="35" t="s">
        <v>133</v>
      </c>
      <c r="E133" s="35" t="s">
        <v>915</v>
      </c>
      <c r="F133" s="36" t="s">
        <v>985</v>
      </c>
      <c r="G133" s="37" t="s">
        <v>917</v>
      </c>
      <c r="H133" s="38" t="s">
        <v>98</v>
      </c>
      <c r="I133" s="38" t="s">
        <v>910</v>
      </c>
      <c r="J133" s="82" t="s">
        <v>986</v>
      </c>
      <c r="K133" s="58">
        <v>45621.0</v>
      </c>
      <c r="L133" s="38" t="s">
        <v>862</v>
      </c>
      <c r="M133" s="63" t="s">
        <v>919</v>
      </c>
      <c r="N133" s="66">
        <v>45604.0</v>
      </c>
      <c r="O133" s="76">
        <f>N133-90</f>
        <v>45514</v>
      </c>
      <c r="P133" s="35" t="s">
        <v>920</v>
      </c>
      <c r="Q133" s="35" t="s">
        <v>921</v>
      </c>
      <c r="R133" s="35" t="s">
        <v>286</v>
      </c>
      <c r="S133" s="45" t="b">
        <v>1</v>
      </c>
      <c r="T133" s="43">
        <f>IFERROR(__xludf.DUMMYFUNCTION("IFERROR(VLOOKUP(C133,IMPORTRANGE(""https://docs.google.com/spreadsheets/d/1RmEXtNg60OGvqZjyMxiYNPJ6S_kcz01v57qrHugDWVc/edit#gid=0"",""Chegadas!E:AQ""),19,0),"""")"),45021.0)</f>
        <v>45021</v>
      </c>
      <c r="U133" s="59" t="s">
        <v>242</v>
      </c>
      <c r="V133" s="60" t="s">
        <v>922</v>
      </c>
      <c r="W133" s="61">
        <f>IFERROR(IF(U133="Ativo","Ativo",IF(U133="SKU excluído","Vencido",VLOOKUP(C133,Encerramentos!B:G,6,0))),"")</f>
        <v>46324</v>
      </c>
    </row>
    <row r="134" ht="37.5" hidden="1" customHeight="1">
      <c r="A134" s="32" t="s">
        <v>231</v>
      </c>
      <c r="B134" s="33" t="str">
        <f t="shared" si="12"/>
        <v/>
      </c>
      <c r="C134" s="85" t="s">
        <v>987</v>
      </c>
      <c r="D134" s="35" t="s">
        <v>914</v>
      </c>
      <c r="E134" s="35" t="s">
        <v>915</v>
      </c>
      <c r="F134" s="36" t="s">
        <v>988</v>
      </c>
      <c r="G134" s="37" t="s">
        <v>917</v>
      </c>
      <c r="H134" s="38" t="s">
        <v>98</v>
      </c>
      <c r="I134" s="38" t="s">
        <v>989</v>
      </c>
      <c r="J134" s="82" t="s">
        <v>990</v>
      </c>
      <c r="K134" s="58">
        <v>45621.0</v>
      </c>
      <c r="L134" s="38" t="s">
        <v>862</v>
      </c>
      <c r="M134" s="63" t="s">
        <v>919</v>
      </c>
      <c r="N134" s="49" t="s">
        <v>929</v>
      </c>
      <c r="O134" s="49" t="s">
        <v>929</v>
      </c>
      <c r="P134" s="35" t="s">
        <v>920</v>
      </c>
      <c r="Q134" s="35" t="s">
        <v>921</v>
      </c>
      <c r="R134" s="35" t="s">
        <v>286</v>
      </c>
      <c r="S134" s="45" t="b">
        <v>1</v>
      </c>
      <c r="T134" s="43">
        <f>IFERROR(__xludf.DUMMYFUNCTION("IFERROR(VLOOKUP(C134,IMPORTRANGE(""https://docs.google.com/spreadsheets/d/1RmEXtNg60OGvqZjyMxiYNPJ6S_kcz01v57qrHugDWVc/edit#gid=0"",""Chegadas!E:AQ""),19,0),"""")"),44962.0)</f>
        <v>44962</v>
      </c>
      <c r="U134" s="86" t="s">
        <v>930</v>
      </c>
      <c r="V134" s="60" t="s">
        <v>922</v>
      </c>
      <c r="W134" s="61" t="str">
        <f>IFERROR(IF(U134="Ativo","Ativo",IF(U134="SKU excluído","Vencido",VLOOKUP(C134,Encerramentos!B:G,6,0))),"")</f>
        <v>Vencido</v>
      </c>
    </row>
    <row r="135" ht="37.5" hidden="1" customHeight="1">
      <c r="A135" s="49" t="s">
        <v>231</v>
      </c>
      <c r="B135" s="33" t="str">
        <f t="shared" si="12"/>
        <v/>
      </c>
      <c r="C135" s="34" t="s">
        <v>991</v>
      </c>
      <c r="D135" s="35" t="s">
        <v>133</v>
      </c>
      <c r="E135" s="35" t="s">
        <v>915</v>
      </c>
      <c r="F135" s="36" t="s">
        <v>992</v>
      </c>
      <c r="G135" s="37" t="s">
        <v>917</v>
      </c>
      <c r="H135" s="38" t="s">
        <v>98</v>
      </c>
      <c r="I135" s="38" t="s">
        <v>910</v>
      </c>
      <c r="J135" s="82" t="s">
        <v>993</v>
      </c>
      <c r="K135" s="58">
        <v>45621.0</v>
      </c>
      <c r="L135" s="38" t="s">
        <v>862</v>
      </c>
      <c r="M135" s="63" t="s">
        <v>919</v>
      </c>
      <c r="N135" s="66">
        <v>45604.0</v>
      </c>
      <c r="O135" s="76">
        <f t="shared" ref="O135:O139" si="23">N135-90</f>
        <v>45514</v>
      </c>
      <c r="P135" s="35" t="s">
        <v>920</v>
      </c>
      <c r="Q135" s="35" t="s">
        <v>921</v>
      </c>
      <c r="R135" s="35" t="s">
        <v>286</v>
      </c>
      <c r="S135" s="45" t="b">
        <v>1</v>
      </c>
      <c r="T135" s="43">
        <f>IFERROR(__xludf.DUMMYFUNCTION("IFERROR(VLOOKUP(C135,IMPORTRANGE(""https://docs.google.com/spreadsheets/d/1RmEXtNg60OGvqZjyMxiYNPJ6S_kcz01v57qrHugDWVc/edit#gid=0"",""Chegadas!E:AQ""),19,0),"""")"),45021.0)</f>
        <v>45021</v>
      </c>
      <c r="U135" s="59" t="s">
        <v>242</v>
      </c>
      <c r="V135" s="60" t="s">
        <v>922</v>
      </c>
      <c r="W135" s="61">
        <f>IFERROR(IF(U135="Ativo","Ativo",IF(U135="SKU excluído","Vencido",VLOOKUP(C135,Encerramentos!B:G,6,0))),"")</f>
        <v>46324</v>
      </c>
    </row>
    <row r="136" ht="37.5" hidden="1" customHeight="1">
      <c r="A136" s="49" t="s">
        <v>231</v>
      </c>
      <c r="B136" s="33" t="str">
        <f t="shared" si="12"/>
        <v/>
      </c>
      <c r="C136" s="34" t="s">
        <v>994</v>
      </c>
      <c r="D136" s="35" t="s">
        <v>133</v>
      </c>
      <c r="E136" s="35" t="s">
        <v>915</v>
      </c>
      <c r="F136" s="36" t="s">
        <v>995</v>
      </c>
      <c r="G136" s="37" t="s">
        <v>917</v>
      </c>
      <c r="H136" s="38" t="s">
        <v>98</v>
      </c>
      <c r="I136" s="38" t="s">
        <v>910</v>
      </c>
      <c r="J136" s="82" t="s">
        <v>996</v>
      </c>
      <c r="K136" s="58">
        <v>45621.0</v>
      </c>
      <c r="L136" s="38" t="s">
        <v>862</v>
      </c>
      <c r="M136" s="63" t="s">
        <v>919</v>
      </c>
      <c r="N136" s="66">
        <v>45604.0</v>
      </c>
      <c r="O136" s="76">
        <f t="shared" si="23"/>
        <v>45514</v>
      </c>
      <c r="P136" s="35" t="s">
        <v>920</v>
      </c>
      <c r="Q136" s="35" t="s">
        <v>921</v>
      </c>
      <c r="R136" s="35" t="s">
        <v>286</v>
      </c>
      <c r="S136" s="45" t="b">
        <v>1</v>
      </c>
      <c r="T136" s="43">
        <f>IFERROR(__xludf.DUMMYFUNCTION("IFERROR(VLOOKUP(C136,IMPORTRANGE(""https://docs.google.com/spreadsheets/d/1RmEXtNg60OGvqZjyMxiYNPJ6S_kcz01v57qrHugDWVc/edit#gid=0"",""Chegadas!E:AQ""),19,0),"""")"),45021.0)</f>
        <v>45021</v>
      </c>
      <c r="U136" s="59" t="s">
        <v>242</v>
      </c>
      <c r="V136" s="60" t="s">
        <v>922</v>
      </c>
      <c r="W136" s="61">
        <f>IFERROR(IF(U136="Ativo","Ativo",IF(U136="SKU excluído","Vencido",VLOOKUP(C136,Encerramentos!B:G,6,0))),"")</f>
        <v>46324</v>
      </c>
    </row>
    <row r="137" ht="37.5" hidden="1" customHeight="1">
      <c r="A137" s="49" t="s">
        <v>231</v>
      </c>
      <c r="B137" s="33" t="str">
        <f t="shared" si="12"/>
        <v/>
      </c>
      <c r="C137" s="34" t="s">
        <v>997</v>
      </c>
      <c r="D137" s="35" t="s">
        <v>133</v>
      </c>
      <c r="E137" s="35" t="s">
        <v>915</v>
      </c>
      <c r="F137" s="36" t="s">
        <v>998</v>
      </c>
      <c r="G137" s="37" t="s">
        <v>917</v>
      </c>
      <c r="H137" s="38" t="s">
        <v>98</v>
      </c>
      <c r="I137" s="38" t="s">
        <v>910</v>
      </c>
      <c r="J137" s="82" t="s">
        <v>999</v>
      </c>
      <c r="K137" s="58">
        <v>45621.0</v>
      </c>
      <c r="L137" s="38" t="s">
        <v>862</v>
      </c>
      <c r="M137" s="63" t="s">
        <v>919</v>
      </c>
      <c r="N137" s="66">
        <v>45604.0</v>
      </c>
      <c r="O137" s="76">
        <f t="shared" si="23"/>
        <v>45514</v>
      </c>
      <c r="P137" s="35" t="s">
        <v>920</v>
      </c>
      <c r="Q137" s="35" t="s">
        <v>921</v>
      </c>
      <c r="R137" s="35" t="s">
        <v>286</v>
      </c>
      <c r="S137" s="45" t="b">
        <v>1</v>
      </c>
      <c r="T137" s="43">
        <f>IFERROR(__xludf.DUMMYFUNCTION("IFERROR(VLOOKUP(C137,IMPORTRANGE(""https://docs.google.com/spreadsheets/d/1RmEXtNg60OGvqZjyMxiYNPJ6S_kcz01v57qrHugDWVc/edit#gid=0"",""Chegadas!E:AQ""),19,0),"""")"),45021.0)</f>
        <v>45021</v>
      </c>
      <c r="U137" s="59" t="s">
        <v>242</v>
      </c>
      <c r="V137" s="60" t="s">
        <v>922</v>
      </c>
      <c r="W137" s="61">
        <f>IFERROR(IF(U137="Ativo","Ativo",IF(U137="SKU excluído","Vencido",VLOOKUP(C137,Encerramentos!B:G,6,0))),"")</f>
        <v>46324</v>
      </c>
    </row>
    <row r="138" ht="37.5" hidden="1" customHeight="1">
      <c r="A138" s="49" t="s">
        <v>231</v>
      </c>
      <c r="B138" s="33" t="str">
        <f t="shared" si="12"/>
        <v/>
      </c>
      <c r="C138" s="34" t="s">
        <v>1000</v>
      </c>
      <c r="D138" s="35" t="s">
        <v>133</v>
      </c>
      <c r="E138" s="35" t="s">
        <v>915</v>
      </c>
      <c r="F138" s="36" t="s">
        <v>1001</v>
      </c>
      <c r="G138" s="37" t="s">
        <v>917</v>
      </c>
      <c r="H138" s="38" t="s">
        <v>98</v>
      </c>
      <c r="I138" s="38" t="s">
        <v>910</v>
      </c>
      <c r="J138" s="82" t="s">
        <v>1002</v>
      </c>
      <c r="K138" s="58">
        <v>45621.0</v>
      </c>
      <c r="L138" s="38" t="s">
        <v>862</v>
      </c>
      <c r="M138" s="63" t="s">
        <v>919</v>
      </c>
      <c r="N138" s="66">
        <v>45604.0</v>
      </c>
      <c r="O138" s="76">
        <f t="shared" si="23"/>
        <v>45514</v>
      </c>
      <c r="P138" s="35" t="s">
        <v>920</v>
      </c>
      <c r="Q138" s="35" t="s">
        <v>921</v>
      </c>
      <c r="R138" s="35" t="s">
        <v>286</v>
      </c>
      <c r="S138" s="45" t="b">
        <v>1</v>
      </c>
      <c r="T138" s="43">
        <f>IFERROR(__xludf.DUMMYFUNCTION("IFERROR(VLOOKUP(C138,IMPORTRANGE(""https://docs.google.com/spreadsheets/d/1RmEXtNg60OGvqZjyMxiYNPJ6S_kcz01v57qrHugDWVc/edit#gid=0"",""Chegadas!E:AQ""),19,0),"""")"),45021.0)</f>
        <v>45021</v>
      </c>
      <c r="U138" s="59" t="s">
        <v>242</v>
      </c>
      <c r="V138" s="60" t="s">
        <v>922</v>
      </c>
      <c r="W138" s="61">
        <f>IFERROR(IF(U138="Ativo","Ativo",IF(U138="SKU excluído","Vencido",VLOOKUP(C138,Encerramentos!B:G,6,0))),"")</f>
        <v>46324</v>
      </c>
    </row>
    <row r="139" ht="58.5" hidden="1" customHeight="1">
      <c r="A139" s="35" t="s">
        <v>231</v>
      </c>
      <c r="B139" s="33" t="str">
        <f t="shared" si="12"/>
        <v/>
      </c>
      <c r="C139" s="34" t="s">
        <v>1003</v>
      </c>
      <c r="D139" s="35" t="s">
        <v>969</v>
      </c>
      <c r="E139" s="35" t="s">
        <v>260</v>
      </c>
      <c r="F139" s="36" t="s">
        <v>1004</v>
      </c>
      <c r="G139" s="37" t="s">
        <v>917</v>
      </c>
      <c r="H139" s="38" t="s">
        <v>98</v>
      </c>
      <c r="I139" s="38" t="s">
        <v>910</v>
      </c>
      <c r="J139" s="67" t="s">
        <v>1005</v>
      </c>
      <c r="K139" s="58">
        <v>45385.0</v>
      </c>
      <c r="L139" s="38" t="s">
        <v>862</v>
      </c>
      <c r="M139" s="63" t="s">
        <v>973</v>
      </c>
      <c r="N139" s="61">
        <v>45391.0</v>
      </c>
      <c r="O139" s="87">
        <f t="shared" si="23"/>
        <v>45301</v>
      </c>
      <c r="P139" s="35" t="s">
        <v>974</v>
      </c>
      <c r="Q139" s="35" t="s">
        <v>975</v>
      </c>
      <c r="R139" s="35" t="s">
        <v>286</v>
      </c>
      <c r="S139" s="45" t="b">
        <v>1</v>
      </c>
      <c r="T139" s="43">
        <f>IFERROR(__xludf.DUMMYFUNCTION("IFERROR(VLOOKUP(C139,IMPORTRANGE(""https://docs.google.com/spreadsheets/d/1RmEXtNg60OGvqZjyMxiYNPJ6S_kcz01v57qrHugDWVc/edit#gid=0"",""Chegadas!E:AQ""),19,0),"""")"),45143.0)</f>
        <v>45143</v>
      </c>
      <c r="U139" s="44" t="s">
        <v>242</v>
      </c>
      <c r="V139" s="60"/>
      <c r="W139" s="61">
        <f>IFERROR(IF(U139="Ativo","Ativo",IF(U139="SKU excluído","Vencido",VLOOKUP(C139,Encerramentos!B:G,6,0))),"")</f>
        <v>45683</v>
      </c>
    </row>
    <row r="140" ht="58.5" hidden="1" customHeight="1">
      <c r="A140" s="32" t="s">
        <v>231</v>
      </c>
      <c r="B140" s="33" t="str">
        <f t="shared" si="12"/>
        <v/>
      </c>
      <c r="C140" s="85" t="s">
        <v>1006</v>
      </c>
      <c r="D140" s="35" t="s">
        <v>914</v>
      </c>
      <c r="E140" s="35" t="s">
        <v>915</v>
      </c>
      <c r="F140" s="36" t="s">
        <v>1007</v>
      </c>
      <c r="G140" s="37" t="s">
        <v>917</v>
      </c>
      <c r="H140" s="38" t="s">
        <v>98</v>
      </c>
      <c r="I140" s="38" t="s">
        <v>989</v>
      </c>
      <c r="J140" s="82" t="s">
        <v>1008</v>
      </c>
      <c r="K140" s="58">
        <v>45621.0</v>
      </c>
      <c r="L140" s="38" t="s">
        <v>862</v>
      </c>
      <c r="M140" s="63" t="s">
        <v>919</v>
      </c>
      <c r="N140" s="49" t="s">
        <v>929</v>
      </c>
      <c r="O140" s="49" t="s">
        <v>929</v>
      </c>
      <c r="P140" s="35" t="s">
        <v>920</v>
      </c>
      <c r="Q140" s="35" t="s">
        <v>921</v>
      </c>
      <c r="R140" s="35" t="s">
        <v>286</v>
      </c>
      <c r="S140" s="45" t="b">
        <v>1</v>
      </c>
      <c r="T140" s="43">
        <f>IFERROR(__xludf.DUMMYFUNCTION("IFERROR(VLOOKUP(C140,IMPORTRANGE(""https://docs.google.com/spreadsheets/d/1RmEXtNg60OGvqZjyMxiYNPJ6S_kcz01v57qrHugDWVc/edit#gid=0"",""Chegadas!E:AQ""),19,0),"""")"),44962.0)</f>
        <v>44962</v>
      </c>
      <c r="U140" s="86" t="s">
        <v>930</v>
      </c>
      <c r="V140" s="60" t="s">
        <v>922</v>
      </c>
      <c r="W140" s="61" t="str">
        <f>IFERROR(IF(U140="Ativo","Ativo",IF(U140="SKU excluído","Vencido",VLOOKUP(C140,Encerramentos!B:G,6,0))),"")</f>
        <v>Vencido</v>
      </c>
    </row>
    <row r="141" ht="66.75" hidden="1" customHeight="1">
      <c r="A141" s="49" t="s">
        <v>231</v>
      </c>
      <c r="B141" s="33" t="str">
        <f t="shared" si="12"/>
        <v/>
      </c>
      <c r="C141" s="34" t="s">
        <v>1009</v>
      </c>
      <c r="D141" s="35" t="s">
        <v>1010</v>
      </c>
      <c r="E141" s="35" t="s">
        <v>260</v>
      </c>
      <c r="F141" s="36" t="s">
        <v>1011</v>
      </c>
      <c r="G141" s="37" t="s">
        <v>917</v>
      </c>
      <c r="H141" s="38" t="s">
        <v>98</v>
      </c>
      <c r="I141" s="38" t="s">
        <v>966</v>
      </c>
      <c r="J141" s="82" t="s">
        <v>1012</v>
      </c>
      <c r="K141" s="38"/>
      <c r="L141" s="38" t="s">
        <v>862</v>
      </c>
      <c r="M141" s="63" t="s">
        <v>973</v>
      </c>
      <c r="N141" s="50">
        <v>45434.0</v>
      </c>
      <c r="O141" s="50">
        <v>45384.0</v>
      </c>
      <c r="P141" s="35" t="s">
        <v>1013</v>
      </c>
      <c r="Q141" s="35" t="s">
        <v>1014</v>
      </c>
      <c r="R141" s="35" t="s">
        <v>286</v>
      </c>
      <c r="S141" s="45" t="b">
        <v>0</v>
      </c>
      <c r="T141" s="43">
        <f>IFERROR(__xludf.DUMMYFUNCTION("IFERROR(VLOOKUP(C141,IMPORTRANGE(""https://docs.google.com/spreadsheets/d/1RmEXtNg60OGvqZjyMxiYNPJ6S_kcz01v57qrHugDWVc/edit#gid=0"",""Chegadas!E:AQ""),19,0),"""")"),45204.0)</f>
        <v>45204</v>
      </c>
      <c r="U141" s="88" t="s">
        <v>242</v>
      </c>
      <c r="V141" s="60" t="s">
        <v>1015</v>
      </c>
      <c r="W141" s="61">
        <f>IFERROR(IF(U141="Ativo","Ativo",IF(U141="SKU excluído","Vencido",VLOOKUP(C141,Encerramentos!B:G,6,0))),"")</f>
        <v>46121</v>
      </c>
    </row>
    <row r="142" ht="45.0" hidden="1" customHeight="1">
      <c r="A142" s="49" t="s">
        <v>231</v>
      </c>
      <c r="B142" s="33" t="str">
        <f t="shared" si="12"/>
        <v/>
      </c>
      <c r="C142" s="34" t="s">
        <v>1016</v>
      </c>
      <c r="D142" s="35" t="s">
        <v>969</v>
      </c>
      <c r="E142" s="35" t="s">
        <v>385</v>
      </c>
      <c r="F142" s="36" t="s">
        <v>1017</v>
      </c>
      <c r="G142" s="37" t="s">
        <v>387</v>
      </c>
      <c r="H142" s="38" t="s">
        <v>98</v>
      </c>
      <c r="I142" s="38" t="s">
        <v>1018</v>
      </c>
      <c r="J142" s="82" t="s">
        <v>1019</v>
      </c>
      <c r="K142" s="58">
        <v>45847.0</v>
      </c>
      <c r="L142" s="38" t="s">
        <v>862</v>
      </c>
      <c r="M142" s="63" t="s">
        <v>1020</v>
      </c>
      <c r="N142" s="50">
        <v>45861.0</v>
      </c>
      <c r="O142" s="50">
        <f t="shared" ref="O142:O146" si="24">N142-90</f>
        <v>45771</v>
      </c>
      <c r="P142" s="83" t="s">
        <v>1021</v>
      </c>
      <c r="Q142" s="35" t="s">
        <v>1022</v>
      </c>
      <c r="R142" s="35" t="s">
        <v>286</v>
      </c>
      <c r="S142" s="45" t="b">
        <v>1</v>
      </c>
      <c r="T142" s="43">
        <f>IFERROR(__xludf.DUMMYFUNCTION("IFERROR(VLOOKUP(C142,IMPORTRANGE(""https://docs.google.com/spreadsheets/d/1RmEXtNg60OGvqZjyMxiYNPJ6S_kcz01v57qrHugDWVc/edit#gid=0"",""Chegadas!E:AQ""),19,0),"""")"),45204.0)</f>
        <v>45204</v>
      </c>
      <c r="U142" s="73" t="s">
        <v>242</v>
      </c>
      <c r="V142" s="60" t="s">
        <v>1023</v>
      </c>
      <c r="W142" s="48" t="s">
        <v>1024</v>
      </c>
    </row>
    <row r="143" ht="45.0" customHeight="1">
      <c r="A143" s="49" t="s">
        <v>231</v>
      </c>
      <c r="B143" s="33" t="str">
        <f t="shared" si="12"/>
        <v/>
      </c>
      <c r="C143" s="34" t="s">
        <v>1025</v>
      </c>
      <c r="D143" s="35" t="s">
        <v>969</v>
      </c>
      <c r="E143" s="35" t="s">
        <v>385</v>
      </c>
      <c r="F143" s="36" t="s">
        <v>1026</v>
      </c>
      <c r="G143" s="37" t="s">
        <v>387</v>
      </c>
      <c r="H143" s="38" t="s">
        <v>1027</v>
      </c>
      <c r="I143" s="38" t="s">
        <v>389</v>
      </c>
      <c r="J143" s="82" t="s">
        <v>1028</v>
      </c>
      <c r="K143" s="58">
        <v>45770.0</v>
      </c>
      <c r="L143" s="38" t="s">
        <v>862</v>
      </c>
      <c r="M143" s="63" t="s">
        <v>1020</v>
      </c>
      <c r="N143" s="50">
        <v>46153.0</v>
      </c>
      <c r="O143" s="50">
        <f t="shared" si="24"/>
        <v>46063</v>
      </c>
      <c r="P143" s="37" t="s">
        <v>391</v>
      </c>
      <c r="Q143" s="35" t="s">
        <v>392</v>
      </c>
      <c r="R143" s="35" t="s">
        <v>286</v>
      </c>
      <c r="S143" s="45" t="b">
        <v>1</v>
      </c>
      <c r="T143" s="43">
        <f>IFERROR(__xludf.DUMMYFUNCTION("IFERROR(VLOOKUP(C143,IMPORTRANGE(""https://docs.google.com/spreadsheets/d/1RmEXtNg60OGvqZjyMxiYNPJ6S_kcz01v57qrHugDWVc/edit#gid=0"",""Chegadas!E:AQ""),19,0),"""")"),45143.0)</f>
        <v>45143</v>
      </c>
      <c r="U143" s="73" t="s">
        <v>393</v>
      </c>
      <c r="V143" s="60" t="s">
        <v>394</v>
      </c>
      <c r="W143" s="61" t="str">
        <f>IFERROR(IF(U143="Ativo","Ativo",IF(U143="SKU excluído","Vencido",VLOOKUP(C143,Encerramentos!B:G,6,0))),"")</f>
        <v>Ativo</v>
      </c>
    </row>
    <row r="144" ht="45.0" customHeight="1">
      <c r="A144" s="49" t="s">
        <v>231</v>
      </c>
      <c r="B144" s="33" t="str">
        <f t="shared" si="12"/>
        <v/>
      </c>
      <c r="C144" s="34" t="s">
        <v>1029</v>
      </c>
      <c r="D144" s="35" t="s">
        <v>192</v>
      </c>
      <c r="E144" s="35" t="s">
        <v>385</v>
      </c>
      <c r="F144" s="36" t="s">
        <v>1030</v>
      </c>
      <c r="G144" s="37" t="s">
        <v>387</v>
      </c>
      <c r="H144" s="38" t="s">
        <v>1027</v>
      </c>
      <c r="I144" s="38" t="s">
        <v>389</v>
      </c>
      <c r="J144" s="57" t="s">
        <v>1031</v>
      </c>
      <c r="K144" s="58">
        <v>45770.0</v>
      </c>
      <c r="L144" s="38" t="s">
        <v>862</v>
      </c>
      <c r="M144" s="63" t="s">
        <v>1020</v>
      </c>
      <c r="N144" s="50">
        <v>46153.0</v>
      </c>
      <c r="O144" s="50">
        <f t="shared" si="24"/>
        <v>46063</v>
      </c>
      <c r="P144" s="37" t="s">
        <v>391</v>
      </c>
      <c r="Q144" s="35" t="s">
        <v>392</v>
      </c>
      <c r="R144" s="35" t="s">
        <v>286</v>
      </c>
      <c r="S144" s="45" t="b">
        <v>0</v>
      </c>
      <c r="T144" s="43">
        <f>IFERROR(__xludf.DUMMYFUNCTION("IFERROR(VLOOKUP(C144,IMPORTRANGE(""https://docs.google.com/spreadsheets/d/1RmEXtNg60OGvqZjyMxiYNPJ6S_kcz01v57qrHugDWVc/edit#gid=0"",""Chegadas!E:AQ""),19,0),"""")"),45174.0)</f>
        <v>45174</v>
      </c>
      <c r="U144" s="73" t="s">
        <v>393</v>
      </c>
      <c r="V144" s="60" t="s">
        <v>394</v>
      </c>
      <c r="W144" s="61" t="str">
        <f>IFERROR(IF(U144="Ativo","Ativo",IF(U144="SKU excluído","Vencido",VLOOKUP(C144,Encerramentos!B:G,6,0))),"")</f>
        <v>Ativo</v>
      </c>
    </row>
    <row r="145" ht="45.0" customHeight="1">
      <c r="A145" s="49" t="s">
        <v>231</v>
      </c>
      <c r="B145" s="33" t="str">
        <f t="shared" si="12"/>
        <v/>
      </c>
      <c r="C145" s="34" t="s">
        <v>1032</v>
      </c>
      <c r="D145" s="35" t="s">
        <v>192</v>
      </c>
      <c r="E145" s="35" t="s">
        <v>385</v>
      </c>
      <c r="F145" s="36" t="s">
        <v>1033</v>
      </c>
      <c r="G145" s="37" t="s">
        <v>387</v>
      </c>
      <c r="H145" s="38" t="s">
        <v>1027</v>
      </c>
      <c r="I145" s="38" t="s">
        <v>910</v>
      </c>
      <c r="J145" s="57" t="s">
        <v>1034</v>
      </c>
      <c r="K145" s="58">
        <v>45770.0</v>
      </c>
      <c r="L145" s="38" t="s">
        <v>862</v>
      </c>
      <c r="M145" s="63" t="s">
        <v>1020</v>
      </c>
      <c r="N145" s="50">
        <v>46153.0</v>
      </c>
      <c r="O145" s="50">
        <f t="shared" si="24"/>
        <v>46063</v>
      </c>
      <c r="P145" s="37" t="s">
        <v>391</v>
      </c>
      <c r="Q145" s="35" t="s">
        <v>392</v>
      </c>
      <c r="R145" s="35" t="s">
        <v>286</v>
      </c>
      <c r="S145" s="45" t="b">
        <v>0</v>
      </c>
      <c r="T145" s="43">
        <f>IFERROR(__xludf.DUMMYFUNCTION("IFERROR(VLOOKUP(C145,IMPORTRANGE(""https://docs.google.com/spreadsheets/d/1RmEXtNg60OGvqZjyMxiYNPJ6S_kcz01v57qrHugDWVc/edit#gid=0"",""Chegadas!E:AQ""),19,0),"""")"),45174.0)</f>
        <v>45174</v>
      </c>
      <c r="U145" s="73" t="s">
        <v>393</v>
      </c>
      <c r="V145" s="60" t="s">
        <v>394</v>
      </c>
      <c r="W145" s="61" t="str">
        <f>IFERROR(IF(U145="Ativo","Ativo",IF(U145="SKU excluído","Vencido",VLOOKUP(C145,Encerramentos!B:G,6,0))),"")</f>
        <v>Ativo</v>
      </c>
    </row>
    <row r="146" ht="45.0" hidden="1" customHeight="1">
      <c r="A146" s="49" t="s">
        <v>231</v>
      </c>
      <c r="B146" s="33" t="str">
        <f t="shared" si="12"/>
        <v/>
      </c>
      <c r="C146" s="34" t="s">
        <v>1035</v>
      </c>
      <c r="D146" s="35" t="s">
        <v>192</v>
      </c>
      <c r="E146" s="35" t="s">
        <v>385</v>
      </c>
      <c r="F146" s="36" t="s">
        <v>1036</v>
      </c>
      <c r="G146" s="37" t="s">
        <v>387</v>
      </c>
      <c r="H146" s="38" t="s">
        <v>1027</v>
      </c>
      <c r="I146" s="38" t="s">
        <v>389</v>
      </c>
      <c r="J146" s="82" t="s">
        <v>1037</v>
      </c>
      <c r="K146" s="58">
        <v>45747.0</v>
      </c>
      <c r="L146" s="38" t="s">
        <v>862</v>
      </c>
      <c r="M146" s="63" t="s">
        <v>1020</v>
      </c>
      <c r="N146" s="66">
        <v>45828.0</v>
      </c>
      <c r="O146" s="50">
        <f t="shared" si="24"/>
        <v>45738</v>
      </c>
      <c r="P146" s="37" t="s">
        <v>1038</v>
      </c>
      <c r="Q146" s="35" t="s">
        <v>1039</v>
      </c>
      <c r="R146" s="35" t="s">
        <v>286</v>
      </c>
      <c r="S146" s="45" t="b">
        <v>0</v>
      </c>
      <c r="T146" s="43">
        <f>IFERROR(__xludf.DUMMYFUNCTION("IFERROR(VLOOKUP(C146,IMPORTRANGE(""https://docs.google.com/spreadsheets/d/1RmEXtNg60OGvqZjyMxiYNPJ6S_kcz01v57qrHugDWVc/edit#gid=0"",""Chegadas!E:AQ""),19,0),"""")"),45174.0)</f>
        <v>45174</v>
      </c>
      <c r="U146" s="73" t="s">
        <v>242</v>
      </c>
      <c r="V146" s="60" t="s">
        <v>1040</v>
      </c>
      <c r="W146" s="61">
        <f>IFERROR(IF(U146="Ativo","Ativo",IF(U146="SKU excluído","Vencido",VLOOKUP(C146,Encerramentos!B:G,6,0))),"")</f>
        <v>46477</v>
      </c>
    </row>
    <row r="147" ht="45.0" hidden="1" customHeight="1">
      <c r="A147" s="49" t="s">
        <v>231</v>
      </c>
      <c r="B147" s="33" t="str">
        <f t="shared" si="12"/>
        <v/>
      </c>
      <c r="C147" s="34" t="s">
        <v>1041</v>
      </c>
      <c r="D147" s="35" t="s">
        <v>192</v>
      </c>
      <c r="E147" s="35" t="s">
        <v>385</v>
      </c>
      <c r="F147" s="36" t="s">
        <v>1042</v>
      </c>
      <c r="G147" s="37" t="s">
        <v>387</v>
      </c>
      <c r="H147" s="38" t="s">
        <v>1027</v>
      </c>
      <c r="I147" s="38" t="s">
        <v>389</v>
      </c>
      <c r="J147" s="67" t="s">
        <v>1043</v>
      </c>
      <c r="K147" s="58">
        <v>45446.0</v>
      </c>
      <c r="L147" s="38" t="s">
        <v>862</v>
      </c>
      <c r="M147" s="63" t="s">
        <v>1020</v>
      </c>
      <c r="N147" s="49" t="s">
        <v>929</v>
      </c>
      <c r="O147" s="49" t="s">
        <v>929</v>
      </c>
      <c r="P147" s="37" t="s">
        <v>1044</v>
      </c>
      <c r="Q147" s="35" t="s">
        <v>1045</v>
      </c>
      <c r="R147" s="35" t="s">
        <v>286</v>
      </c>
      <c r="S147" s="45" t="b">
        <v>0</v>
      </c>
      <c r="T147" s="43">
        <f>IFERROR(__xludf.DUMMYFUNCTION("IFERROR(VLOOKUP(C147,IMPORTRANGE(""https://docs.google.com/spreadsheets/d/1RmEXtNg60OGvqZjyMxiYNPJ6S_kcz01v57qrHugDWVc/edit#gid=0"",""Chegadas!E:AQ""),19,0),"""")"),45174.0)</f>
        <v>45174</v>
      </c>
      <c r="U147" s="86" t="s">
        <v>930</v>
      </c>
      <c r="V147" s="60" t="s">
        <v>1046</v>
      </c>
      <c r="W147" s="61" t="str">
        <f>IFERROR(IF(U147="Ativo","Ativo",IF(U147="SKU excluído","Vencido",VLOOKUP(C147,Encerramentos!B:G,6,0))),"")</f>
        <v>Vencido</v>
      </c>
    </row>
    <row r="148" ht="45.0" customHeight="1">
      <c r="A148" s="49" t="s">
        <v>231</v>
      </c>
      <c r="B148" s="33" t="str">
        <f t="shared" si="12"/>
        <v/>
      </c>
      <c r="C148" s="34" t="s">
        <v>1047</v>
      </c>
      <c r="D148" s="35" t="s">
        <v>192</v>
      </c>
      <c r="E148" s="35" t="s">
        <v>385</v>
      </c>
      <c r="F148" s="36" t="s">
        <v>1048</v>
      </c>
      <c r="G148" s="37" t="s">
        <v>387</v>
      </c>
      <c r="H148" s="38" t="s">
        <v>1027</v>
      </c>
      <c r="I148" s="38" t="s">
        <v>910</v>
      </c>
      <c r="J148" s="67" t="s">
        <v>1049</v>
      </c>
      <c r="K148" s="58">
        <v>45770.0</v>
      </c>
      <c r="L148" s="38" t="s">
        <v>862</v>
      </c>
      <c r="M148" s="63" t="s">
        <v>1020</v>
      </c>
      <c r="N148" s="66">
        <v>46179.0</v>
      </c>
      <c r="O148" s="50">
        <f t="shared" ref="O148:O293" si="25">N148-90</f>
        <v>46089</v>
      </c>
      <c r="P148" s="37" t="s">
        <v>1044</v>
      </c>
      <c r="Q148" s="35" t="s">
        <v>1045</v>
      </c>
      <c r="R148" s="35" t="s">
        <v>286</v>
      </c>
      <c r="S148" s="45" t="b">
        <v>0</v>
      </c>
      <c r="T148" s="43">
        <f>IFERROR(__xludf.DUMMYFUNCTION("IFERROR(VLOOKUP(C148,IMPORTRANGE(""https://docs.google.com/spreadsheets/d/1RmEXtNg60OGvqZjyMxiYNPJ6S_kcz01v57qrHugDWVc/edit#gid=0"",""Chegadas!E:AQ""),19,0),"""")"),45174.0)</f>
        <v>45174</v>
      </c>
      <c r="U148" s="73" t="s">
        <v>393</v>
      </c>
      <c r="V148" s="60" t="s">
        <v>1050</v>
      </c>
      <c r="W148" s="61" t="str">
        <f>IFERROR(IF(U148="Ativo","Ativo",IF(U148="SKU excluído","Vencido",VLOOKUP(C148,Encerramentos!B:G,6,0))),"")</f>
        <v>Ativo</v>
      </c>
    </row>
    <row r="149" ht="45.0" customHeight="1">
      <c r="A149" s="49" t="s">
        <v>231</v>
      </c>
      <c r="B149" s="33" t="str">
        <f t="shared" si="12"/>
        <v/>
      </c>
      <c r="C149" s="34" t="s">
        <v>1051</v>
      </c>
      <c r="D149" s="35" t="s">
        <v>192</v>
      </c>
      <c r="E149" s="35" t="s">
        <v>385</v>
      </c>
      <c r="F149" s="36" t="s">
        <v>1052</v>
      </c>
      <c r="G149" s="37" t="s">
        <v>387</v>
      </c>
      <c r="H149" s="38" t="s">
        <v>1027</v>
      </c>
      <c r="I149" s="38" t="s">
        <v>910</v>
      </c>
      <c r="J149" s="67" t="s">
        <v>1053</v>
      </c>
      <c r="K149" s="58">
        <v>45770.0</v>
      </c>
      <c r="L149" s="38" t="s">
        <v>862</v>
      </c>
      <c r="M149" s="63" t="s">
        <v>1020</v>
      </c>
      <c r="N149" s="66">
        <v>46179.0</v>
      </c>
      <c r="O149" s="50">
        <f t="shared" si="25"/>
        <v>46089</v>
      </c>
      <c r="P149" s="37" t="s">
        <v>1044</v>
      </c>
      <c r="Q149" s="35" t="s">
        <v>1045</v>
      </c>
      <c r="R149" s="35" t="s">
        <v>286</v>
      </c>
      <c r="S149" s="45" t="b">
        <v>0</v>
      </c>
      <c r="T149" s="43">
        <f>IFERROR(__xludf.DUMMYFUNCTION("IFERROR(VLOOKUP(C149,IMPORTRANGE(""https://docs.google.com/spreadsheets/d/1RmEXtNg60OGvqZjyMxiYNPJ6S_kcz01v57qrHugDWVc/edit#gid=0"",""Chegadas!E:AQ""),19,0),"""")"),45174.0)</f>
        <v>45174</v>
      </c>
      <c r="U149" s="73" t="s">
        <v>393</v>
      </c>
      <c r="V149" s="60" t="s">
        <v>1050</v>
      </c>
      <c r="W149" s="61" t="str">
        <f>IFERROR(IF(U149="Ativo","Ativo",IF(U149="SKU excluído","Vencido",VLOOKUP(C149,Encerramentos!B:G,6,0))),"")</f>
        <v>Ativo</v>
      </c>
    </row>
    <row r="150" ht="45.0" hidden="1" customHeight="1">
      <c r="A150" s="49" t="s">
        <v>231</v>
      </c>
      <c r="B150" s="33" t="str">
        <f t="shared" si="12"/>
        <v/>
      </c>
      <c r="C150" s="34" t="s">
        <v>1054</v>
      </c>
      <c r="D150" s="35" t="s">
        <v>192</v>
      </c>
      <c r="E150" s="35" t="s">
        <v>385</v>
      </c>
      <c r="F150" s="36" t="s">
        <v>1055</v>
      </c>
      <c r="G150" s="37" t="s">
        <v>387</v>
      </c>
      <c r="H150" s="38" t="s">
        <v>1027</v>
      </c>
      <c r="I150" s="45" t="s">
        <v>1056</v>
      </c>
      <c r="J150" s="89" t="s">
        <v>1057</v>
      </c>
      <c r="K150" s="58">
        <v>45747.0</v>
      </c>
      <c r="L150" s="38" t="s">
        <v>862</v>
      </c>
      <c r="M150" s="63" t="s">
        <v>1020</v>
      </c>
      <c r="N150" s="66">
        <v>45814.0</v>
      </c>
      <c r="O150" s="50">
        <f t="shared" si="25"/>
        <v>45724</v>
      </c>
      <c r="P150" s="37" t="s">
        <v>1058</v>
      </c>
      <c r="Q150" s="35" t="s">
        <v>1059</v>
      </c>
      <c r="R150" s="35" t="s">
        <v>286</v>
      </c>
      <c r="S150" s="45" t="b">
        <v>0</v>
      </c>
      <c r="T150" s="43">
        <f>IFERROR(__xludf.DUMMYFUNCTION("IFERROR(VLOOKUP(C150,IMPORTRANGE(""https://docs.google.com/spreadsheets/d/1RmEXtNg60OGvqZjyMxiYNPJ6S_kcz01v57qrHugDWVc/edit#gid=0"",""Chegadas!E:AQ""),19,0),"""")"),45174.0)</f>
        <v>45174</v>
      </c>
      <c r="U150" s="73" t="s">
        <v>242</v>
      </c>
      <c r="V150" s="60" t="s">
        <v>1060</v>
      </c>
      <c r="W150" s="61">
        <f>IFERROR(IF(U150="Ativo","Ativo",IF(U150="SKU excluído","Vencido",VLOOKUP(C150,Encerramentos!B:G,6,0))),"")</f>
        <v>46477</v>
      </c>
    </row>
    <row r="151" ht="45.0" customHeight="1">
      <c r="A151" s="49" t="s">
        <v>231</v>
      </c>
      <c r="B151" s="33" t="str">
        <f t="shared" si="12"/>
        <v/>
      </c>
      <c r="C151" s="34" t="s">
        <v>1061</v>
      </c>
      <c r="D151" s="35" t="s">
        <v>192</v>
      </c>
      <c r="E151" s="35" t="s">
        <v>385</v>
      </c>
      <c r="F151" s="36" t="s">
        <v>1062</v>
      </c>
      <c r="G151" s="37" t="s">
        <v>387</v>
      </c>
      <c r="H151" s="38" t="s">
        <v>1027</v>
      </c>
      <c r="I151" s="38" t="s">
        <v>860</v>
      </c>
      <c r="J151" s="89" t="s">
        <v>1063</v>
      </c>
      <c r="K151" s="58">
        <v>45770.0</v>
      </c>
      <c r="L151" s="38" t="s">
        <v>862</v>
      </c>
      <c r="M151" s="63" t="s">
        <v>1020</v>
      </c>
      <c r="N151" s="66">
        <v>46167.0</v>
      </c>
      <c r="O151" s="50">
        <f t="shared" si="25"/>
        <v>46077</v>
      </c>
      <c r="P151" s="37" t="s">
        <v>1064</v>
      </c>
      <c r="Q151" s="35" t="s">
        <v>1065</v>
      </c>
      <c r="R151" s="35" t="s">
        <v>286</v>
      </c>
      <c r="S151" s="45" t="b">
        <v>0</v>
      </c>
      <c r="T151" s="43">
        <f>IFERROR(__xludf.DUMMYFUNCTION("IFERROR(VLOOKUP(C151,IMPORTRANGE(""https://docs.google.com/spreadsheets/d/1RmEXtNg60OGvqZjyMxiYNPJ6S_kcz01v57qrHugDWVc/edit#gid=0"",""Chegadas!E:AQ""),19,0),"""")"),45174.0)</f>
        <v>45174</v>
      </c>
      <c r="U151" s="73" t="s">
        <v>393</v>
      </c>
      <c r="V151" s="60" t="s">
        <v>1066</v>
      </c>
      <c r="W151" s="61" t="str">
        <f>IFERROR(IF(U151="Ativo","Ativo",IF(U151="SKU excluído","Vencido",VLOOKUP(C151,Encerramentos!B:G,6,0))),"")</f>
        <v>Ativo</v>
      </c>
    </row>
    <row r="152" ht="45.0" customHeight="1">
      <c r="A152" s="49" t="s">
        <v>231</v>
      </c>
      <c r="B152" s="33" t="str">
        <f t="shared" si="12"/>
        <v/>
      </c>
      <c r="C152" s="34" t="s">
        <v>1067</v>
      </c>
      <c r="D152" s="35" t="s">
        <v>192</v>
      </c>
      <c r="E152" s="35" t="s">
        <v>385</v>
      </c>
      <c r="F152" s="36" t="s">
        <v>1068</v>
      </c>
      <c r="G152" s="37" t="s">
        <v>387</v>
      </c>
      <c r="H152" s="38" t="s">
        <v>1027</v>
      </c>
      <c r="I152" s="38" t="s">
        <v>910</v>
      </c>
      <c r="J152" s="89" t="s">
        <v>1069</v>
      </c>
      <c r="K152" s="58">
        <v>45770.0</v>
      </c>
      <c r="L152" s="38" t="s">
        <v>862</v>
      </c>
      <c r="M152" s="63" t="s">
        <v>1020</v>
      </c>
      <c r="N152" s="66">
        <v>46167.0</v>
      </c>
      <c r="O152" s="50">
        <f t="shared" si="25"/>
        <v>46077</v>
      </c>
      <c r="P152" s="37" t="s">
        <v>1064</v>
      </c>
      <c r="Q152" s="35" t="s">
        <v>1065</v>
      </c>
      <c r="R152" s="35" t="s">
        <v>286</v>
      </c>
      <c r="S152" s="45" t="b">
        <v>0</v>
      </c>
      <c r="T152" s="43">
        <f>IFERROR(__xludf.DUMMYFUNCTION("IFERROR(VLOOKUP(C152,IMPORTRANGE(""https://docs.google.com/spreadsheets/d/1RmEXtNg60OGvqZjyMxiYNPJ6S_kcz01v57qrHugDWVc/edit#gid=0"",""Chegadas!E:AQ""),19,0),"""")"),45174.0)</f>
        <v>45174</v>
      </c>
      <c r="U152" s="73" t="s">
        <v>393</v>
      </c>
      <c r="V152" s="60" t="s">
        <v>1066</v>
      </c>
      <c r="W152" s="61" t="str">
        <f>IFERROR(IF(U152="Ativo","Ativo",IF(U152="SKU excluído","Vencido",VLOOKUP(C152,Encerramentos!B:G,6,0))),"")</f>
        <v>Ativo</v>
      </c>
    </row>
    <row r="153" ht="45.0" customHeight="1">
      <c r="A153" s="49" t="s">
        <v>231</v>
      </c>
      <c r="B153" s="33" t="str">
        <f t="shared" si="12"/>
        <v/>
      </c>
      <c r="C153" s="34" t="s">
        <v>1070</v>
      </c>
      <c r="D153" s="35" t="s">
        <v>192</v>
      </c>
      <c r="E153" s="35" t="s">
        <v>385</v>
      </c>
      <c r="F153" s="36" t="s">
        <v>1071</v>
      </c>
      <c r="G153" s="37" t="s">
        <v>387</v>
      </c>
      <c r="H153" s="38" t="s">
        <v>1027</v>
      </c>
      <c r="I153" s="38" t="s">
        <v>910</v>
      </c>
      <c r="J153" s="89" t="s">
        <v>1072</v>
      </c>
      <c r="K153" s="58">
        <v>45770.0</v>
      </c>
      <c r="L153" s="38" t="s">
        <v>862</v>
      </c>
      <c r="M153" s="63" t="s">
        <v>1020</v>
      </c>
      <c r="N153" s="66">
        <v>46167.0</v>
      </c>
      <c r="O153" s="50">
        <f t="shared" si="25"/>
        <v>46077</v>
      </c>
      <c r="P153" s="37" t="s">
        <v>1064</v>
      </c>
      <c r="Q153" s="35" t="s">
        <v>1065</v>
      </c>
      <c r="R153" s="35" t="s">
        <v>286</v>
      </c>
      <c r="S153" s="45" t="b">
        <v>0</v>
      </c>
      <c r="T153" s="43">
        <f>IFERROR(__xludf.DUMMYFUNCTION("IFERROR(VLOOKUP(C153,IMPORTRANGE(""https://docs.google.com/spreadsheets/d/1RmEXtNg60OGvqZjyMxiYNPJ6S_kcz01v57qrHugDWVc/edit#gid=0"",""Chegadas!E:AQ""),19,0),"""")"),45174.0)</f>
        <v>45174</v>
      </c>
      <c r="U153" s="73" t="s">
        <v>393</v>
      </c>
      <c r="V153" s="60" t="s">
        <v>1066</v>
      </c>
      <c r="W153" s="61" t="str">
        <f>IFERROR(IF(U153="Ativo","Ativo",IF(U153="SKU excluído","Vencido",VLOOKUP(C153,Encerramentos!B:G,6,0))),"")</f>
        <v>Ativo</v>
      </c>
    </row>
    <row r="154" ht="45.0" hidden="1" customHeight="1">
      <c r="A154" s="49" t="s">
        <v>231</v>
      </c>
      <c r="B154" s="33" t="str">
        <f t="shared" si="12"/>
        <v/>
      </c>
      <c r="C154" s="34" t="s">
        <v>1073</v>
      </c>
      <c r="D154" s="35" t="s">
        <v>1074</v>
      </c>
      <c r="E154" s="35" t="s">
        <v>421</v>
      </c>
      <c r="F154" s="36" t="s">
        <v>1075</v>
      </c>
      <c r="G154" s="37" t="s">
        <v>273</v>
      </c>
      <c r="H154" s="38" t="s">
        <v>236</v>
      </c>
      <c r="I154" s="38" t="s">
        <v>274</v>
      </c>
      <c r="J154" s="82" t="s">
        <v>1076</v>
      </c>
      <c r="K154" s="58">
        <v>45728.0</v>
      </c>
      <c r="L154" s="38" t="s">
        <v>239</v>
      </c>
      <c r="M154" s="45" t="s">
        <v>891</v>
      </c>
      <c r="N154" s="66">
        <v>46468.0</v>
      </c>
      <c r="O154" s="50">
        <f t="shared" si="25"/>
        <v>46378</v>
      </c>
      <c r="P154" s="83" t="s">
        <v>892</v>
      </c>
      <c r="Q154" s="35" t="s">
        <v>425</v>
      </c>
      <c r="R154" s="35" t="s">
        <v>533</v>
      </c>
      <c r="S154" s="45" t="b">
        <v>1</v>
      </c>
      <c r="T154" s="43">
        <f>IFERROR(__xludf.DUMMYFUNCTION("IFERROR(VLOOKUP(C154,IMPORTRANGE(""https://docs.google.com/spreadsheets/d/1RmEXtNg60OGvqZjyMxiYNPJ6S_kcz01v57qrHugDWVc/edit#gid=0"",""Chegadas!E:AQ""),19,0),"""")"),45235.0)</f>
        <v>45235</v>
      </c>
      <c r="U154" s="73" t="s">
        <v>393</v>
      </c>
      <c r="V154" s="84" t="s">
        <v>1077</v>
      </c>
      <c r="W154" s="61" t="str">
        <f>IFERROR(IF(U154="Ativo","Ativo",IF(U154="SKU excluído","Vencido",VLOOKUP(C154,Encerramentos!B:G,6,0))),"")</f>
        <v>Ativo</v>
      </c>
    </row>
    <row r="155" ht="45.0" hidden="1" customHeight="1">
      <c r="A155" s="49" t="s">
        <v>231</v>
      </c>
      <c r="B155" s="33" t="str">
        <f t="shared" si="12"/>
        <v/>
      </c>
      <c r="C155" s="34" t="s">
        <v>1078</v>
      </c>
      <c r="D155" s="35" t="s">
        <v>1074</v>
      </c>
      <c r="E155" s="35" t="s">
        <v>421</v>
      </c>
      <c r="F155" s="36" t="s">
        <v>1079</v>
      </c>
      <c r="G155" s="37" t="s">
        <v>273</v>
      </c>
      <c r="H155" s="38" t="s">
        <v>236</v>
      </c>
      <c r="I155" s="38" t="s">
        <v>274</v>
      </c>
      <c r="J155" s="82" t="s">
        <v>1080</v>
      </c>
      <c r="K155" s="72"/>
      <c r="L155" s="38" t="s">
        <v>239</v>
      </c>
      <c r="M155" s="63" t="s">
        <v>1081</v>
      </c>
      <c r="N155" s="66">
        <v>45893.0</v>
      </c>
      <c r="O155" s="50">
        <f t="shared" si="25"/>
        <v>45803</v>
      </c>
      <c r="P155" s="35" t="s">
        <v>1082</v>
      </c>
      <c r="Q155" s="35" t="s">
        <v>1083</v>
      </c>
      <c r="R155" s="35" t="s">
        <v>533</v>
      </c>
      <c r="S155" s="45" t="b">
        <v>1</v>
      </c>
      <c r="T155" s="43">
        <f>IFERROR(__xludf.DUMMYFUNCTION("IFERROR(VLOOKUP(C155,IMPORTRANGE(""https://docs.google.com/spreadsheets/d/1RmEXtNg60OGvqZjyMxiYNPJ6S_kcz01v57qrHugDWVc/edit#gid=0"",""Chegadas!E:AQ""),19,0),"""")"),45235.0)</f>
        <v>45235</v>
      </c>
      <c r="U155" s="73" t="s">
        <v>242</v>
      </c>
      <c r="V155" s="84" t="s">
        <v>1084</v>
      </c>
      <c r="W155" s="61">
        <f>IFERROR(IF(U155="Ativo","Ativo",IF(U155="SKU excluído","Vencido",VLOOKUP(C155,Encerramentos!B:G,6,0))),"")</f>
        <v>45893</v>
      </c>
    </row>
    <row r="156" ht="45.0" hidden="1" customHeight="1">
      <c r="A156" s="35" t="s">
        <v>231</v>
      </c>
      <c r="B156" s="33" t="str">
        <f t="shared" si="12"/>
        <v/>
      </c>
      <c r="C156" s="34" t="s">
        <v>1085</v>
      </c>
      <c r="D156" s="35" t="s">
        <v>1074</v>
      </c>
      <c r="E156" s="35" t="s">
        <v>915</v>
      </c>
      <c r="F156" s="36" t="s">
        <v>1086</v>
      </c>
      <c r="G156" s="37" t="s">
        <v>917</v>
      </c>
      <c r="H156" s="38" t="s">
        <v>98</v>
      </c>
      <c r="I156" s="38" t="s">
        <v>910</v>
      </c>
      <c r="J156" s="57" t="s">
        <v>1087</v>
      </c>
      <c r="K156" s="58">
        <v>45621.0</v>
      </c>
      <c r="L156" s="38" t="s">
        <v>862</v>
      </c>
      <c r="M156" s="63" t="s">
        <v>919</v>
      </c>
      <c r="N156" s="66">
        <v>45604.0</v>
      </c>
      <c r="O156" s="50">
        <f t="shared" si="25"/>
        <v>45514</v>
      </c>
      <c r="P156" s="35" t="s">
        <v>920</v>
      </c>
      <c r="Q156" s="35" t="s">
        <v>921</v>
      </c>
      <c r="R156" s="35" t="s">
        <v>286</v>
      </c>
      <c r="S156" s="45" t="b">
        <v>1</v>
      </c>
      <c r="T156" s="43">
        <f>IFERROR(__xludf.DUMMYFUNCTION("IFERROR(VLOOKUP(C156,IMPORTRANGE(""https://docs.google.com/spreadsheets/d/1RmEXtNg60OGvqZjyMxiYNPJ6S_kcz01v57qrHugDWVc/edit#gid=0"",""Chegadas!E:AQ""),19,0),"""")"),45204.0)</f>
        <v>45204</v>
      </c>
      <c r="U156" s="59" t="s">
        <v>242</v>
      </c>
      <c r="V156" s="60" t="s">
        <v>922</v>
      </c>
      <c r="W156" s="61">
        <f>IFERROR(IF(U156="Ativo","Ativo",IF(U156="SKU excluído","Vencido",VLOOKUP(C156,Encerramentos!B:G,6,0))),"")</f>
        <v>46324</v>
      </c>
    </row>
    <row r="157" ht="45.0" hidden="1" customHeight="1">
      <c r="A157" s="35" t="s">
        <v>231</v>
      </c>
      <c r="B157" s="33" t="str">
        <f t="shared" si="12"/>
        <v/>
      </c>
      <c r="C157" s="34" t="s">
        <v>1088</v>
      </c>
      <c r="D157" s="35" t="s">
        <v>1074</v>
      </c>
      <c r="E157" s="35" t="s">
        <v>915</v>
      </c>
      <c r="F157" s="36" t="s">
        <v>1089</v>
      </c>
      <c r="G157" s="37" t="s">
        <v>917</v>
      </c>
      <c r="H157" s="38" t="s">
        <v>98</v>
      </c>
      <c r="I157" s="38" t="s">
        <v>910</v>
      </c>
      <c r="J157" s="57" t="s">
        <v>1090</v>
      </c>
      <c r="K157" s="58">
        <v>45621.0</v>
      </c>
      <c r="L157" s="38" t="s">
        <v>862</v>
      </c>
      <c r="M157" s="63" t="s">
        <v>919</v>
      </c>
      <c r="N157" s="66">
        <v>45604.0</v>
      </c>
      <c r="O157" s="50">
        <f t="shared" si="25"/>
        <v>45514</v>
      </c>
      <c r="P157" s="35" t="s">
        <v>920</v>
      </c>
      <c r="Q157" s="35" t="s">
        <v>921</v>
      </c>
      <c r="R157" s="35" t="s">
        <v>286</v>
      </c>
      <c r="S157" s="45" t="b">
        <v>1</v>
      </c>
      <c r="T157" s="43">
        <f>IFERROR(__xludf.DUMMYFUNCTION("IFERROR(VLOOKUP(C157,IMPORTRANGE(""https://docs.google.com/spreadsheets/d/1RmEXtNg60OGvqZjyMxiYNPJ6S_kcz01v57qrHugDWVc/edit#gid=0"",""Chegadas!E:AQ""),19,0),"""")"),45204.0)</f>
        <v>45204</v>
      </c>
      <c r="U157" s="59" t="s">
        <v>242</v>
      </c>
      <c r="V157" s="60" t="s">
        <v>922</v>
      </c>
      <c r="W157" s="61">
        <f>IFERROR(IF(U157="Ativo","Ativo",IF(U157="SKU excluído","Vencido",VLOOKUP(C157,Encerramentos!B:G,6,0))),"")</f>
        <v>46324</v>
      </c>
    </row>
    <row r="158" ht="45.0" hidden="1" customHeight="1">
      <c r="A158" s="49" t="s">
        <v>231</v>
      </c>
      <c r="B158" s="33" t="str">
        <f t="shared" si="12"/>
        <v/>
      </c>
      <c r="C158" s="34" t="s">
        <v>1091</v>
      </c>
      <c r="D158" s="35" t="s">
        <v>1074</v>
      </c>
      <c r="E158" s="35" t="s">
        <v>915</v>
      </c>
      <c r="F158" s="36" t="s">
        <v>1092</v>
      </c>
      <c r="G158" s="37" t="s">
        <v>917</v>
      </c>
      <c r="H158" s="38" t="s">
        <v>98</v>
      </c>
      <c r="I158" s="38" t="s">
        <v>1093</v>
      </c>
      <c r="J158" s="57" t="s">
        <v>1094</v>
      </c>
      <c r="K158" s="58">
        <v>45621.0</v>
      </c>
      <c r="L158" s="38" t="s">
        <v>862</v>
      </c>
      <c r="M158" s="63" t="s">
        <v>919</v>
      </c>
      <c r="N158" s="66">
        <v>45604.0</v>
      </c>
      <c r="O158" s="50">
        <f t="shared" si="25"/>
        <v>45514</v>
      </c>
      <c r="P158" s="35" t="s">
        <v>920</v>
      </c>
      <c r="Q158" s="35" t="s">
        <v>921</v>
      </c>
      <c r="R158" s="35" t="s">
        <v>286</v>
      </c>
      <c r="S158" s="45" t="b">
        <v>1</v>
      </c>
      <c r="T158" s="43">
        <f>IFERROR(__xludf.DUMMYFUNCTION("IFERROR(VLOOKUP(C158,IMPORTRANGE(""https://docs.google.com/spreadsheets/d/1RmEXtNg60OGvqZjyMxiYNPJ6S_kcz01v57qrHugDWVc/edit#gid=0"",""Chegadas!E:AQ""),19,0),"""")"),45204.0)</f>
        <v>45204</v>
      </c>
      <c r="U158" s="59" t="s">
        <v>242</v>
      </c>
      <c r="V158" s="60" t="s">
        <v>922</v>
      </c>
      <c r="W158" s="61">
        <f>IFERROR(IF(U158="Ativo","Ativo",IF(U158="SKU excluído","Vencido",VLOOKUP(C158,Encerramentos!B:G,6,0))),"")</f>
        <v>46324</v>
      </c>
    </row>
    <row r="159" ht="45.0" hidden="1" customHeight="1">
      <c r="A159" s="49" t="s">
        <v>231</v>
      </c>
      <c r="B159" s="33" t="str">
        <f t="shared" si="12"/>
        <v/>
      </c>
      <c r="C159" s="34" t="s">
        <v>1095</v>
      </c>
      <c r="D159" s="35" t="s">
        <v>1074</v>
      </c>
      <c r="E159" s="35" t="s">
        <v>915</v>
      </c>
      <c r="F159" s="36" t="s">
        <v>1096</v>
      </c>
      <c r="G159" s="37" t="s">
        <v>917</v>
      </c>
      <c r="H159" s="38" t="s">
        <v>98</v>
      </c>
      <c r="I159" s="38" t="s">
        <v>1093</v>
      </c>
      <c r="J159" s="57" t="s">
        <v>1097</v>
      </c>
      <c r="K159" s="58">
        <v>45621.0</v>
      </c>
      <c r="L159" s="38" t="s">
        <v>862</v>
      </c>
      <c r="M159" s="63" t="s">
        <v>919</v>
      </c>
      <c r="N159" s="66">
        <v>45604.0</v>
      </c>
      <c r="O159" s="50">
        <f t="shared" si="25"/>
        <v>45514</v>
      </c>
      <c r="P159" s="35" t="s">
        <v>920</v>
      </c>
      <c r="Q159" s="35" t="s">
        <v>921</v>
      </c>
      <c r="R159" s="35" t="s">
        <v>286</v>
      </c>
      <c r="S159" s="45" t="b">
        <v>1</v>
      </c>
      <c r="T159" s="43">
        <f>IFERROR(__xludf.DUMMYFUNCTION("IFERROR(VLOOKUP(C159,IMPORTRANGE(""https://docs.google.com/spreadsheets/d/1RmEXtNg60OGvqZjyMxiYNPJ6S_kcz01v57qrHugDWVc/edit#gid=0"",""Chegadas!E:AQ""),19,0),"""")"),45204.0)</f>
        <v>45204</v>
      </c>
      <c r="U159" s="59" t="s">
        <v>242</v>
      </c>
      <c r="V159" s="60" t="s">
        <v>922</v>
      </c>
      <c r="W159" s="61">
        <f>IFERROR(IF(U159="Ativo","Ativo",IF(U159="SKU excluído","Vencido",VLOOKUP(C159,Encerramentos!B:G,6,0))),"")</f>
        <v>46324</v>
      </c>
    </row>
    <row r="160" ht="45.0" hidden="1" customHeight="1">
      <c r="A160" s="49" t="s">
        <v>231</v>
      </c>
      <c r="B160" s="33" t="str">
        <f t="shared" si="12"/>
        <v/>
      </c>
      <c r="C160" s="34" t="s">
        <v>1098</v>
      </c>
      <c r="D160" s="35" t="s">
        <v>1074</v>
      </c>
      <c r="E160" s="35" t="s">
        <v>915</v>
      </c>
      <c r="F160" s="36" t="s">
        <v>1099</v>
      </c>
      <c r="G160" s="37" t="s">
        <v>917</v>
      </c>
      <c r="H160" s="38" t="s">
        <v>98</v>
      </c>
      <c r="I160" s="38" t="s">
        <v>1093</v>
      </c>
      <c r="J160" s="57" t="s">
        <v>1100</v>
      </c>
      <c r="K160" s="58">
        <v>45621.0</v>
      </c>
      <c r="L160" s="38" t="s">
        <v>862</v>
      </c>
      <c r="M160" s="63" t="s">
        <v>919</v>
      </c>
      <c r="N160" s="66">
        <v>45604.0</v>
      </c>
      <c r="O160" s="50">
        <f t="shared" si="25"/>
        <v>45514</v>
      </c>
      <c r="P160" s="35" t="s">
        <v>920</v>
      </c>
      <c r="Q160" s="35" t="s">
        <v>921</v>
      </c>
      <c r="R160" s="35" t="s">
        <v>286</v>
      </c>
      <c r="S160" s="45" t="b">
        <v>1</v>
      </c>
      <c r="T160" s="43">
        <f>IFERROR(__xludf.DUMMYFUNCTION("IFERROR(VLOOKUP(C160,IMPORTRANGE(""https://docs.google.com/spreadsheets/d/1RmEXtNg60OGvqZjyMxiYNPJ6S_kcz01v57qrHugDWVc/edit#gid=0"",""Chegadas!E:AQ""),19,0),"""")"),45204.0)</f>
        <v>45204</v>
      </c>
      <c r="U160" s="59" t="s">
        <v>242</v>
      </c>
      <c r="V160" s="60" t="s">
        <v>922</v>
      </c>
      <c r="W160" s="61">
        <f>IFERROR(IF(U160="Ativo","Ativo",IF(U160="SKU excluído","Vencido",VLOOKUP(C160,Encerramentos!B:G,6,0))),"")</f>
        <v>46324</v>
      </c>
    </row>
    <row r="161" ht="45.0" hidden="1" customHeight="1">
      <c r="A161" s="49" t="s">
        <v>231</v>
      </c>
      <c r="B161" s="33" t="str">
        <f t="shared" si="12"/>
        <v/>
      </c>
      <c r="C161" s="34" t="s">
        <v>1101</v>
      </c>
      <c r="D161" s="35" t="s">
        <v>1074</v>
      </c>
      <c r="E161" s="35" t="s">
        <v>915</v>
      </c>
      <c r="F161" s="36" t="s">
        <v>1102</v>
      </c>
      <c r="G161" s="37" t="s">
        <v>917</v>
      </c>
      <c r="H161" s="38" t="s">
        <v>98</v>
      </c>
      <c r="I161" s="38" t="s">
        <v>1093</v>
      </c>
      <c r="J161" s="57" t="s">
        <v>1103</v>
      </c>
      <c r="K161" s="58">
        <v>45621.0</v>
      </c>
      <c r="L161" s="38" t="s">
        <v>862</v>
      </c>
      <c r="M161" s="63" t="s">
        <v>919</v>
      </c>
      <c r="N161" s="66">
        <v>45604.0</v>
      </c>
      <c r="O161" s="50">
        <f t="shared" si="25"/>
        <v>45514</v>
      </c>
      <c r="P161" s="35" t="s">
        <v>920</v>
      </c>
      <c r="Q161" s="35" t="s">
        <v>921</v>
      </c>
      <c r="R161" s="35" t="s">
        <v>286</v>
      </c>
      <c r="S161" s="45" t="b">
        <v>1</v>
      </c>
      <c r="T161" s="43">
        <f>IFERROR(__xludf.DUMMYFUNCTION("IFERROR(VLOOKUP(C161,IMPORTRANGE(""https://docs.google.com/spreadsheets/d/1RmEXtNg60OGvqZjyMxiYNPJ6S_kcz01v57qrHugDWVc/edit#gid=0"",""Chegadas!E:AQ""),19,0),"""")"),45204.0)</f>
        <v>45204</v>
      </c>
      <c r="U161" s="59" t="s">
        <v>242</v>
      </c>
      <c r="V161" s="60" t="s">
        <v>922</v>
      </c>
      <c r="W161" s="61">
        <f>IFERROR(IF(U161="Ativo","Ativo",IF(U161="SKU excluído","Vencido",VLOOKUP(C161,Encerramentos!B:G,6,0))),"")</f>
        <v>46324</v>
      </c>
    </row>
    <row r="162" ht="45.0" hidden="1" customHeight="1">
      <c r="A162" s="49" t="s">
        <v>231</v>
      </c>
      <c r="B162" s="33" t="str">
        <f t="shared" si="12"/>
        <v/>
      </c>
      <c r="C162" s="34" t="s">
        <v>1104</v>
      </c>
      <c r="D162" s="35" t="s">
        <v>1074</v>
      </c>
      <c r="E162" s="35" t="s">
        <v>915</v>
      </c>
      <c r="F162" s="36" t="s">
        <v>1105</v>
      </c>
      <c r="G162" s="37" t="s">
        <v>917</v>
      </c>
      <c r="H162" s="38" t="s">
        <v>98</v>
      </c>
      <c r="I162" s="38" t="s">
        <v>1093</v>
      </c>
      <c r="J162" s="57" t="s">
        <v>1106</v>
      </c>
      <c r="K162" s="58">
        <v>45621.0</v>
      </c>
      <c r="L162" s="38" t="s">
        <v>862</v>
      </c>
      <c r="M162" s="63" t="s">
        <v>919</v>
      </c>
      <c r="N162" s="66">
        <v>45604.0</v>
      </c>
      <c r="O162" s="50">
        <f t="shared" si="25"/>
        <v>45514</v>
      </c>
      <c r="P162" s="35" t="s">
        <v>920</v>
      </c>
      <c r="Q162" s="35" t="s">
        <v>921</v>
      </c>
      <c r="R162" s="35" t="s">
        <v>286</v>
      </c>
      <c r="S162" s="45" t="b">
        <v>1</v>
      </c>
      <c r="T162" s="43">
        <f>IFERROR(__xludf.DUMMYFUNCTION("IFERROR(VLOOKUP(C162,IMPORTRANGE(""https://docs.google.com/spreadsheets/d/1RmEXtNg60OGvqZjyMxiYNPJ6S_kcz01v57qrHugDWVc/edit#gid=0"",""Chegadas!E:AQ""),19,0),"""")"),45204.0)</f>
        <v>45204</v>
      </c>
      <c r="U162" s="59" t="s">
        <v>242</v>
      </c>
      <c r="V162" s="60" t="s">
        <v>922</v>
      </c>
      <c r="W162" s="61">
        <f>IFERROR(IF(U162="Ativo","Ativo",IF(U162="SKU excluído","Vencido",VLOOKUP(C162,Encerramentos!B:G,6,0))),"")</f>
        <v>46324</v>
      </c>
    </row>
    <row r="163" ht="45.0" hidden="1" customHeight="1">
      <c r="A163" s="49" t="s">
        <v>231</v>
      </c>
      <c r="B163" s="33" t="str">
        <f t="shared" si="12"/>
        <v/>
      </c>
      <c r="C163" s="34" t="s">
        <v>1107</v>
      </c>
      <c r="D163" s="35" t="s">
        <v>1074</v>
      </c>
      <c r="E163" s="35" t="s">
        <v>915</v>
      </c>
      <c r="F163" s="36" t="s">
        <v>1108</v>
      </c>
      <c r="G163" s="37" t="s">
        <v>917</v>
      </c>
      <c r="H163" s="38" t="s">
        <v>98</v>
      </c>
      <c r="I163" s="38" t="s">
        <v>1093</v>
      </c>
      <c r="J163" s="57" t="s">
        <v>1109</v>
      </c>
      <c r="K163" s="58">
        <v>45621.0</v>
      </c>
      <c r="L163" s="38" t="s">
        <v>862</v>
      </c>
      <c r="M163" s="63" t="s">
        <v>919</v>
      </c>
      <c r="N163" s="66">
        <v>45604.0</v>
      </c>
      <c r="O163" s="50">
        <f t="shared" si="25"/>
        <v>45514</v>
      </c>
      <c r="P163" s="35" t="s">
        <v>920</v>
      </c>
      <c r="Q163" s="35" t="s">
        <v>921</v>
      </c>
      <c r="R163" s="35" t="s">
        <v>286</v>
      </c>
      <c r="S163" s="45" t="b">
        <v>1</v>
      </c>
      <c r="T163" s="43">
        <f>IFERROR(__xludf.DUMMYFUNCTION("IFERROR(VLOOKUP(C163,IMPORTRANGE(""https://docs.google.com/spreadsheets/d/1RmEXtNg60OGvqZjyMxiYNPJ6S_kcz01v57qrHugDWVc/edit#gid=0"",""Chegadas!E:AQ""),19,0),"""")"),45204.0)</f>
        <v>45204</v>
      </c>
      <c r="U163" s="59" t="s">
        <v>242</v>
      </c>
      <c r="V163" s="60" t="s">
        <v>922</v>
      </c>
      <c r="W163" s="61">
        <f>IFERROR(IF(U163="Ativo","Ativo",IF(U163="SKU excluído","Vencido",VLOOKUP(C163,Encerramentos!B:G,6,0))),"")</f>
        <v>46324</v>
      </c>
    </row>
    <row r="164" ht="45.0" hidden="1" customHeight="1">
      <c r="A164" s="49" t="s">
        <v>231</v>
      </c>
      <c r="B164" s="33" t="str">
        <f t="shared" si="12"/>
        <v/>
      </c>
      <c r="C164" s="34" t="s">
        <v>1110</v>
      </c>
      <c r="D164" s="35" t="s">
        <v>1074</v>
      </c>
      <c r="E164" s="35" t="s">
        <v>1111</v>
      </c>
      <c r="F164" s="36" t="s">
        <v>1112</v>
      </c>
      <c r="G164" s="37" t="s">
        <v>387</v>
      </c>
      <c r="H164" s="38" t="s">
        <v>236</v>
      </c>
      <c r="I164" s="38" t="s">
        <v>274</v>
      </c>
      <c r="J164" s="67" t="s">
        <v>1113</v>
      </c>
      <c r="K164" s="72"/>
      <c r="L164" s="38" t="s">
        <v>239</v>
      </c>
      <c r="M164" s="63" t="s">
        <v>1114</v>
      </c>
      <c r="N164" s="66">
        <v>45914.0</v>
      </c>
      <c r="O164" s="50">
        <f t="shared" si="25"/>
        <v>45824</v>
      </c>
      <c r="P164" s="35" t="s">
        <v>1115</v>
      </c>
      <c r="Q164" s="35" t="s">
        <v>1116</v>
      </c>
      <c r="R164" s="35" t="s">
        <v>533</v>
      </c>
      <c r="S164" s="45" t="b">
        <v>1</v>
      </c>
      <c r="T164" s="43">
        <f>IFERROR(__xludf.DUMMYFUNCTION("IFERROR(VLOOKUP(C164,IMPORTRANGE(""https://docs.google.com/spreadsheets/d/1RmEXtNg60OGvqZjyMxiYNPJ6S_kcz01v57qrHugDWVc/edit#gid=0"",""Chegadas!E:AQ""),19,0),"""")"),45204.0)</f>
        <v>45204</v>
      </c>
      <c r="U164" s="73" t="s">
        <v>242</v>
      </c>
      <c r="V164" s="84" t="s">
        <v>1117</v>
      </c>
      <c r="W164" s="61">
        <f>IFERROR(IF(U164="Ativo","Ativo",IF(U164="SKU excluído","Vencido",VLOOKUP(C164,Encerramentos!B:G,6,0))),"")</f>
        <v>45914</v>
      </c>
    </row>
    <row r="165" ht="45.0" hidden="1" customHeight="1">
      <c r="A165" s="49" t="s">
        <v>231</v>
      </c>
      <c r="B165" s="33" t="str">
        <f t="shared" si="12"/>
        <v/>
      </c>
      <c r="C165" s="34" t="s">
        <v>1118</v>
      </c>
      <c r="D165" s="35" t="s">
        <v>1074</v>
      </c>
      <c r="E165" s="35" t="s">
        <v>1111</v>
      </c>
      <c r="F165" s="36" t="s">
        <v>1119</v>
      </c>
      <c r="G165" s="37" t="s">
        <v>387</v>
      </c>
      <c r="H165" s="38" t="s">
        <v>236</v>
      </c>
      <c r="I165" s="38" t="s">
        <v>274</v>
      </c>
      <c r="J165" s="67" t="s">
        <v>1120</v>
      </c>
      <c r="K165" s="72"/>
      <c r="L165" s="38" t="s">
        <v>239</v>
      </c>
      <c r="M165" s="63" t="s">
        <v>1114</v>
      </c>
      <c r="N165" s="66">
        <v>45914.0</v>
      </c>
      <c r="O165" s="50">
        <f t="shared" si="25"/>
        <v>45824</v>
      </c>
      <c r="P165" s="35" t="s">
        <v>1115</v>
      </c>
      <c r="Q165" s="35" t="s">
        <v>1116</v>
      </c>
      <c r="R165" s="35" t="s">
        <v>533</v>
      </c>
      <c r="S165" s="45" t="b">
        <v>1</v>
      </c>
      <c r="T165" s="43">
        <f>IFERROR(__xludf.DUMMYFUNCTION("IFERROR(VLOOKUP(C165,IMPORTRANGE(""https://docs.google.com/spreadsheets/d/1RmEXtNg60OGvqZjyMxiYNPJ6S_kcz01v57qrHugDWVc/edit#gid=0"",""Chegadas!E:AQ""),19,0),"""")"),45204.0)</f>
        <v>45204</v>
      </c>
      <c r="U165" s="73" t="s">
        <v>242</v>
      </c>
      <c r="V165" s="84" t="s">
        <v>1121</v>
      </c>
      <c r="W165" s="61">
        <f>IFERROR(IF(U165="Ativo","Ativo",IF(U165="SKU excluído","Vencido",VLOOKUP(C165,Encerramentos!B:G,6,0))),"")</f>
        <v>45914</v>
      </c>
    </row>
    <row r="166" ht="45.0" hidden="1" customHeight="1">
      <c r="A166" s="49" t="s">
        <v>231</v>
      </c>
      <c r="B166" s="33" t="str">
        <f t="shared" si="12"/>
        <v/>
      </c>
      <c r="C166" s="34" t="s">
        <v>1122</v>
      </c>
      <c r="D166" s="35" t="s">
        <v>1074</v>
      </c>
      <c r="E166" s="35" t="s">
        <v>1111</v>
      </c>
      <c r="F166" s="36" t="s">
        <v>1123</v>
      </c>
      <c r="G166" s="37" t="s">
        <v>387</v>
      </c>
      <c r="H166" s="38" t="s">
        <v>236</v>
      </c>
      <c r="I166" s="38" t="s">
        <v>274</v>
      </c>
      <c r="J166" s="67" t="s">
        <v>1124</v>
      </c>
      <c r="K166" s="72"/>
      <c r="L166" s="38" t="s">
        <v>239</v>
      </c>
      <c r="M166" s="63" t="s">
        <v>1114</v>
      </c>
      <c r="N166" s="66">
        <v>45914.0</v>
      </c>
      <c r="O166" s="50">
        <f t="shared" si="25"/>
        <v>45824</v>
      </c>
      <c r="P166" s="35" t="s">
        <v>1115</v>
      </c>
      <c r="Q166" s="35" t="s">
        <v>1116</v>
      </c>
      <c r="R166" s="35" t="s">
        <v>533</v>
      </c>
      <c r="S166" s="45" t="b">
        <v>1</v>
      </c>
      <c r="T166" s="43">
        <f>IFERROR(__xludf.DUMMYFUNCTION("IFERROR(VLOOKUP(C166,IMPORTRANGE(""https://docs.google.com/spreadsheets/d/1RmEXtNg60OGvqZjyMxiYNPJ6S_kcz01v57qrHugDWVc/edit#gid=0"",""Chegadas!E:AQ""),19,0),"""")"),45204.0)</f>
        <v>45204</v>
      </c>
      <c r="U166" s="73" t="s">
        <v>242</v>
      </c>
      <c r="V166" s="84" t="s">
        <v>1125</v>
      </c>
      <c r="W166" s="61">
        <f>IFERROR(IF(U166="Ativo","Ativo",IF(U166="SKU excluído","Vencido",VLOOKUP(C166,Encerramentos!B:G,6,0))),"")</f>
        <v>45914</v>
      </c>
    </row>
    <row r="167" ht="45.0" hidden="1" customHeight="1">
      <c r="A167" s="49" t="s">
        <v>231</v>
      </c>
      <c r="B167" s="33" t="str">
        <f t="shared" si="12"/>
        <v/>
      </c>
      <c r="C167" s="34" t="s">
        <v>1126</v>
      </c>
      <c r="D167" s="35" t="s">
        <v>1074</v>
      </c>
      <c r="E167" s="35" t="s">
        <v>1111</v>
      </c>
      <c r="F167" s="36" t="s">
        <v>1127</v>
      </c>
      <c r="G167" s="37" t="s">
        <v>387</v>
      </c>
      <c r="H167" s="38" t="s">
        <v>236</v>
      </c>
      <c r="I167" s="38" t="s">
        <v>274</v>
      </c>
      <c r="J167" s="67" t="s">
        <v>1128</v>
      </c>
      <c r="K167" s="72"/>
      <c r="L167" s="38" t="s">
        <v>239</v>
      </c>
      <c r="M167" s="63" t="s">
        <v>1114</v>
      </c>
      <c r="N167" s="66">
        <v>45914.0</v>
      </c>
      <c r="O167" s="50">
        <f t="shared" si="25"/>
        <v>45824</v>
      </c>
      <c r="P167" s="35" t="s">
        <v>1115</v>
      </c>
      <c r="Q167" s="35" t="s">
        <v>1116</v>
      </c>
      <c r="R167" s="35" t="s">
        <v>533</v>
      </c>
      <c r="S167" s="45" t="b">
        <v>1</v>
      </c>
      <c r="T167" s="43">
        <f>IFERROR(__xludf.DUMMYFUNCTION("IFERROR(VLOOKUP(C167,IMPORTRANGE(""https://docs.google.com/spreadsheets/d/1RmEXtNg60OGvqZjyMxiYNPJ6S_kcz01v57qrHugDWVc/edit#gid=0"",""Chegadas!E:AQ""),19,0),"""")"),45204.0)</f>
        <v>45204</v>
      </c>
      <c r="U167" s="73" t="s">
        <v>242</v>
      </c>
      <c r="V167" s="84" t="s">
        <v>1129</v>
      </c>
      <c r="W167" s="61">
        <f>IFERROR(IF(U167="Ativo","Ativo",IF(U167="SKU excluído","Vencido",VLOOKUP(C167,Encerramentos!B:G,6,0))),"")</f>
        <v>45914</v>
      </c>
    </row>
    <row r="168" ht="45.0" hidden="1" customHeight="1">
      <c r="A168" s="49" t="s">
        <v>231</v>
      </c>
      <c r="B168" s="33" t="str">
        <f t="shared" si="12"/>
        <v/>
      </c>
      <c r="C168" s="34" t="s">
        <v>1130</v>
      </c>
      <c r="D168" s="35" t="s">
        <v>1074</v>
      </c>
      <c r="E168" s="35" t="s">
        <v>1111</v>
      </c>
      <c r="F168" s="36" t="s">
        <v>1131</v>
      </c>
      <c r="G168" s="37" t="s">
        <v>387</v>
      </c>
      <c r="H168" s="38" t="s">
        <v>236</v>
      </c>
      <c r="I168" s="38" t="s">
        <v>274</v>
      </c>
      <c r="J168" s="67" t="s">
        <v>1132</v>
      </c>
      <c r="K168" s="72"/>
      <c r="L168" s="38" t="s">
        <v>239</v>
      </c>
      <c r="M168" s="63" t="s">
        <v>1114</v>
      </c>
      <c r="N168" s="66">
        <v>45914.0</v>
      </c>
      <c r="O168" s="50">
        <f t="shared" si="25"/>
        <v>45824</v>
      </c>
      <c r="P168" s="35" t="s">
        <v>1115</v>
      </c>
      <c r="Q168" s="35" t="s">
        <v>1116</v>
      </c>
      <c r="R168" s="35" t="s">
        <v>533</v>
      </c>
      <c r="S168" s="45" t="b">
        <v>1</v>
      </c>
      <c r="T168" s="43">
        <f>IFERROR(__xludf.DUMMYFUNCTION("IFERROR(VLOOKUP(C168,IMPORTRANGE(""https://docs.google.com/spreadsheets/d/1RmEXtNg60OGvqZjyMxiYNPJ6S_kcz01v57qrHugDWVc/edit#gid=0"",""Chegadas!E:AQ""),19,0),"""")"),45204.0)</f>
        <v>45204</v>
      </c>
      <c r="U168" s="73" t="s">
        <v>242</v>
      </c>
      <c r="V168" s="84" t="s">
        <v>1133</v>
      </c>
      <c r="W168" s="61">
        <f>IFERROR(IF(U168="Ativo","Ativo",IF(U168="SKU excluído","Vencido",VLOOKUP(C168,Encerramentos!B:G,6,0))),"")</f>
        <v>45914</v>
      </c>
    </row>
    <row r="169" ht="45.0" hidden="1" customHeight="1">
      <c r="A169" s="49" t="s">
        <v>231</v>
      </c>
      <c r="B169" s="33" t="str">
        <f t="shared" si="12"/>
        <v/>
      </c>
      <c r="C169" s="34" t="s">
        <v>1134</v>
      </c>
      <c r="D169" s="35" t="s">
        <v>1074</v>
      </c>
      <c r="E169" s="35" t="s">
        <v>1111</v>
      </c>
      <c r="F169" s="36" t="s">
        <v>1135</v>
      </c>
      <c r="G169" s="37" t="s">
        <v>387</v>
      </c>
      <c r="H169" s="38" t="s">
        <v>236</v>
      </c>
      <c r="I169" s="38" t="s">
        <v>274</v>
      </c>
      <c r="J169" s="67" t="s">
        <v>1136</v>
      </c>
      <c r="K169" s="72"/>
      <c r="L169" s="38" t="s">
        <v>239</v>
      </c>
      <c r="M169" s="63" t="s">
        <v>1114</v>
      </c>
      <c r="N169" s="66">
        <v>45914.0</v>
      </c>
      <c r="O169" s="50">
        <f t="shared" si="25"/>
        <v>45824</v>
      </c>
      <c r="P169" s="35" t="s">
        <v>1115</v>
      </c>
      <c r="Q169" s="35" t="s">
        <v>1116</v>
      </c>
      <c r="R169" s="35" t="s">
        <v>533</v>
      </c>
      <c r="S169" s="45" t="b">
        <v>1</v>
      </c>
      <c r="T169" s="43">
        <f>IFERROR(__xludf.DUMMYFUNCTION("IFERROR(VLOOKUP(C169,IMPORTRANGE(""https://docs.google.com/spreadsheets/d/1RmEXtNg60OGvqZjyMxiYNPJ6S_kcz01v57qrHugDWVc/edit#gid=0"",""Chegadas!E:AQ""),19,0),"""")"),45204.0)</f>
        <v>45204</v>
      </c>
      <c r="U169" s="73" t="s">
        <v>242</v>
      </c>
      <c r="V169" s="84" t="s">
        <v>1137</v>
      </c>
      <c r="W169" s="61">
        <f>IFERROR(IF(U169="Ativo","Ativo",IF(U169="SKU excluído","Vencido",VLOOKUP(C169,Encerramentos!B:G,6,0))),"")</f>
        <v>45914</v>
      </c>
    </row>
    <row r="170" ht="45.0" hidden="1" customHeight="1">
      <c r="A170" s="49" t="s">
        <v>231</v>
      </c>
      <c r="B170" s="33" t="str">
        <f t="shared" si="12"/>
        <v/>
      </c>
      <c r="C170" s="34" t="s">
        <v>1138</v>
      </c>
      <c r="D170" s="35" t="s">
        <v>1074</v>
      </c>
      <c r="E170" s="35" t="s">
        <v>1111</v>
      </c>
      <c r="F170" s="36" t="s">
        <v>1139</v>
      </c>
      <c r="G170" s="37" t="s">
        <v>387</v>
      </c>
      <c r="H170" s="38" t="s">
        <v>236</v>
      </c>
      <c r="I170" s="38" t="s">
        <v>274</v>
      </c>
      <c r="J170" s="67" t="s">
        <v>1140</v>
      </c>
      <c r="K170" s="72"/>
      <c r="L170" s="38" t="s">
        <v>239</v>
      </c>
      <c r="M170" s="63" t="s">
        <v>1114</v>
      </c>
      <c r="N170" s="66">
        <v>45914.0</v>
      </c>
      <c r="O170" s="50">
        <f t="shared" si="25"/>
        <v>45824</v>
      </c>
      <c r="P170" s="35" t="s">
        <v>1115</v>
      </c>
      <c r="Q170" s="35" t="s">
        <v>1116</v>
      </c>
      <c r="R170" s="35" t="s">
        <v>533</v>
      </c>
      <c r="S170" s="45" t="b">
        <v>1</v>
      </c>
      <c r="T170" s="43">
        <f>IFERROR(__xludf.DUMMYFUNCTION("IFERROR(VLOOKUP(C170,IMPORTRANGE(""https://docs.google.com/spreadsheets/d/1RmEXtNg60OGvqZjyMxiYNPJ6S_kcz01v57qrHugDWVc/edit#gid=0"",""Chegadas!E:AQ""),19,0),"""")"),45204.0)</f>
        <v>45204</v>
      </c>
      <c r="U170" s="73" t="s">
        <v>242</v>
      </c>
      <c r="V170" s="84" t="s">
        <v>1141</v>
      </c>
      <c r="W170" s="61">
        <f>IFERROR(IF(U170="Ativo","Ativo",IF(U170="SKU excluído","Vencido",VLOOKUP(C170,Encerramentos!B:G,6,0))),"")</f>
        <v>45914</v>
      </c>
    </row>
    <row r="171" ht="45.0" hidden="1" customHeight="1">
      <c r="A171" s="49" t="s">
        <v>231</v>
      </c>
      <c r="B171" s="33" t="str">
        <f t="shared" si="12"/>
        <v/>
      </c>
      <c r="C171" s="34" t="s">
        <v>1142</v>
      </c>
      <c r="D171" s="35" t="s">
        <v>1143</v>
      </c>
      <c r="E171" s="35" t="s">
        <v>1144</v>
      </c>
      <c r="F171" s="36" t="s">
        <v>1145</v>
      </c>
      <c r="G171" s="37" t="s">
        <v>387</v>
      </c>
      <c r="H171" s="38" t="s">
        <v>236</v>
      </c>
      <c r="I171" s="38" t="s">
        <v>274</v>
      </c>
      <c r="J171" s="82" t="s">
        <v>1146</v>
      </c>
      <c r="K171" s="58">
        <v>45924.0</v>
      </c>
      <c r="L171" s="38" t="s">
        <v>239</v>
      </c>
      <c r="M171" s="63" t="s">
        <v>1114</v>
      </c>
      <c r="N171" s="66">
        <v>46627.0</v>
      </c>
      <c r="O171" s="50">
        <f t="shared" si="25"/>
        <v>46537</v>
      </c>
      <c r="P171" s="35" t="s">
        <v>1147</v>
      </c>
      <c r="Q171" s="35" t="s">
        <v>1148</v>
      </c>
      <c r="R171" s="35" t="s">
        <v>533</v>
      </c>
      <c r="S171" s="45" t="b">
        <v>1</v>
      </c>
      <c r="T171" s="43">
        <f>IFERROR(__xludf.DUMMYFUNCTION("IFERROR(VLOOKUP(C171,IMPORTRANGE(""https://docs.google.com/spreadsheets/d/1RmEXtNg60OGvqZjyMxiYNPJ6S_kcz01v57qrHugDWVc/edit#gid=0"",""Chegadas!E:AQ""),19,0),"""")"),45265.0)</f>
        <v>45265</v>
      </c>
      <c r="U171" s="73" t="s">
        <v>393</v>
      </c>
      <c r="V171" s="84" t="s">
        <v>1149</v>
      </c>
      <c r="W171" s="61" t="str">
        <f>IFERROR(IF(U171="Ativo","Ativo",IF(U171="SKU excluído","Vencido",VLOOKUP(C171,Encerramentos!B:G,6,0))),"")</f>
        <v>Ativo</v>
      </c>
    </row>
    <row r="172" ht="45.0" hidden="1" customHeight="1">
      <c r="A172" s="49" t="s">
        <v>231</v>
      </c>
      <c r="B172" s="33" t="str">
        <f t="shared" si="12"/>
        <v/>
      </c>
      <c r="C172" s="34" t="s">
        <v>1150</v>
      </c>
      <c r="D172" s="35" t="s">
        <v>1074</v>
      </c>
      <c r="E172" s="35" t="s">
        <v>915</v>
      </c>
      <c r="F172" s="36" t="s">
        <v>1151</v>
      </c>
      <c r="G172" s="37" t="s">
        <v>387</v>
      </c>
      <c r="H172" s="38" t="s">
        <v>98</v>
      </c>
      <c r="I172" s="38" t="s">
        <v>910</v>
      </c>
      <c r="J172" s="82" t="s">
        <v>1152</v>
      </c>
      <c r="K172" s="58">
        <v>45553.0</v>
      </c>
      <c r="L172" s="38" t="s">
        <v>862</v>
      </c>
      <c r="M172" s="63" t="s">
        <v>919</v>
      </c>
      <c r="N172" s="66">
        <v>45545.0</v>
      </c>
      <c r="O172" s="50">
        <f t="shared" si="25"/>
        <v>45455</v>
      </c>
      <c r="P172" s="35" t="s">
        <v>1153</v>
      </c>
      <c r="Q172" s="35" t="s">
        <v>1154</v>
      </c>
      <c r="R172" s="35" t="s">
        <v>286</v>
      </c>
      <c r="S172" s="45" t="b">
        <v>0</v>
      </c>
      <c r="T172" s="43">
        <f>IFERROR(__xludf.DUMMYFUNCTION("IFERROR(VLOOKUP(C172,IMPORTRANGE(""https://docs.google.com/spreadsheets/d/1RmEXtNg60OGvqZjyMxiYNPJ6S_kcz01v57qrHugDWVc/edit#gid=0"",""Chegadas!E:AQ""),19,0),"""")"),45204.0)</f>
        <v>45204</v>
      </c>
      <c r="U172" s="73" t="s">
        <v>242</v>
      </c>
      <c r="V172" s="60" t="s">
        <v>1155</v>
      </c>
      <c r="W172" s="61">
        <f>IFERROR(IF(U172="Ativo","Ativo",IF(U172="SKU excluído","Vencido",VLOOKUP(C172,Encerramentos!B:G,6,0))),"")</f>
        <v>46246</v>
      </c>
    </row>
    <row r="173" ht="45.0" hidden="1" customHeight="1">
      <c r="A173" s="49" t="s">
        <v>231</v>
      </c>
      <c r="B173" s="33" t="str">
        <f t="shared" si="12"/>
        <v/>
      </c>
      <c r="C173" s="34" t="s">
        <v>1156</v>
      </c>
      <c r="D173" s="35" t="s">
        <v>1074</v>
      </c>
      <c r="E173" s="35" t="s">
        <v>915</v>
      </c>
      <c r="F173" s="36" t="s">
        <v>1157</v>
      </c>
      <c r="G173" s="37" t="s">
        <v>387</v>
      </c>
      <c r="H173" s="38" t="s">
        <v>98</v>
      </c>
      <c r="I173" s="38" t="s">
        <v>341</v>
      </c>
      <c r="J173" s="82" t="s">
        <v>1158</v>
      </c>
      <c r="K173" s="58">
        <v>45553.0</v>
      </c>
      <c r="L173" s="38" t="s">
        <v>862</v>
      </c>
      <c r="M173" s="63" t="s">
        <v>919</v>
      </c>
      <c r="N173" s="66">
        <v>45545.0</v>
      </c>
      <c r="O173" s="50">
        <f t="shared" si="25"/>
        <v>45455</v>
      </c>
      <c r="P173" s="35" t="s">
        <v>1153</v>
      </c>
      <c r="Q173" s="35" t="s">
        <v>1154</v>
      </c>
      <c r="R173" s="35" t="s">
        <v>286</v>
      </c>
      <c r="S173" s="45" t="b">
        <v>0</v>
      </c>
      <c r="T173" s="43">
        <f>IFERROR(__xludf.DUMMYFUNCTION("IFERROR(VLOOKUP(C173,IMPORTRANGE(""https://docs.google.com/spreadsheets/d/1RmEXtNg60OGvqZjyMxiYNPJ6S_kcz01v57qrHugDWVc/edit#gid=0"",""Chegadas!E:AQ""),19,0),"""")"),45204.0)</f>
        <v>45204</v>
      </c>
      <c r="U173" s="73" t="s">
        <v>242</v>
      </c>
      <c r="V173" s="60" t="s">
        <v>1155</v>
      </c>
      <c r="W173" s="61">
        <f>IFERROR(IF(U173="Ativo","Ativo",IF(U173="SKU excluído","Vencido",VLOOKUP(C173,Encerramentos!B:G,6,0))),"")</f>
        <v>46246</v>
      </c>
    </row>
    <row r="174" hidden="1">
      <c r="A174" s="49" t="s">
        <v>231</v>
      </c>
      <c r="B174" s="33" t="str">
        <f t="shared" si="12"/>
        <v/>
      </c>
      <c r="C174" s="34" t="s">
        <v>1159</v>
      </c>
      <c r="D174" s="35" t="s">
        <v>1160</v>
      </c>
      <c r="E174" s="35" t="s">
        <v>915</v>
      </c>
      <c r="F174" s="36" t="s">
        <v>1161</v>
      </c>
      <c r="G174" s="37" t="s">
        <v>917</v>
      </c>
      <c r="H174" s="38" t="s">
        <v>98</v>
      </c>
      <c r="I174" s="38" t="s">
        <v>1162</v>
      </c>
      <c r="J174" s="90" t="s">
        <v>1163</v>
      </c>
      <c r="K174" s="58">
        <v>45621.0</v>
      </c>
      <c r="L174" s="38" t="s">
        <v>862</v>
      </c>
      <c r="M174" s="63" t="s">
        <v>919</v>
      </c>
      <c r="N174" s="66">
        <v>45604.0</v>
      </c>
      <c r="O174" s="50">
        <f t="shared" si="25"/>
        <v>45514</v>
      </c>
      <c r="P174" s="35" t="s">
        <v>920</v>
      </c>
      <c r="Q174" s="35" t="s">
        <v>921</v>
      </c>
      <c r="R174" s="35" t="s">
        <v>286</v>
      </c>
      <c r="S174" s="45" t="b">
        <v>1</v>
      </c>
      <c r="T174" s="43">
        <f>IFERROR(__xludf.DUMMYFUNCTION("IFERROR(VLOOKUP(C174,IMPORTRANGE(""https://docs.google.com/spreadsheets/d/1RmEXtNg60OGvqZjyMxiYNPJ6S_kcz01v57qrHugDWVc/edit#gid=0"",""Chegadas!E:AQ""),19,0),"""")"),45327.0)</f>
        <v>45327</v>
      </c>
      <c r="U174" s="59" t="s">
        <v>242</v>
      </c>
      <c r="V174" s="60" t="s">
        <v>922</v>
      </c>
      <c r="W174" s="61">
        <f>IFERROR(IF(U174="Ativo","Ativo",IF(U174="SKU excluído","Vencido",VLOOKUP(C174,Encerramentos!B:G,6,0))),"")</f>
        <v>46324</v>
      </c>
    </row>
    <row r="175" hidden="1">
      <c r="A175" s="49" t="s">
        <v>231</v>
      </c>
      <c r="B175" s="33" t="str">
        <f t="shared" si="12"/>
        <v/>
      </c>
      <c r="C175" s="34" t="s">
        <v>1164</v>
      </c>
      <c r="D175" s="35" t="s">
        <v>1160</v>
      </c>
      <c r="E175" s="35" t="s">
        <v>915</v>
      </c>
      <c r="F175" s="36" t="s">
        <v>1165</v>
      </c>
      <c r="G175" s="37" t="s">
        <v>917</v>
      </c>
      <c r="H175" s="38" t="s">
        <v>98</v>
      </c>
      <c r="I175" s="38" t="s">
        <v>341</v>
      </c>
      <c r="J175" s="90" t="s">
        <v>1166</v>
      </c>
      <c r="K175" s="58">
        <v>45621.0</v>
      </c>
      <c r="L175" s="38" t="s">
        <v>862</v>
      </c>
      <c r="M175" s="63" t="s">
        <v>919</v>
      </c>
      <c r="N175" s="66">
        <v>45604.0</v>
      </c>
      <c r="O175" s="50">
        <f t="shared" si="25"/>
        <v>45514</v>
      </c>
      <c r="P175" s="35" t="s">
        <v>920</v>
      </c>
      <c r="Q175" s="35" t="s">
        <v>921</v>
      </c>
      <c r="R175" s="35" t="s">
        <v>286</v>
      </c>
      <c r="S175" s="45" t="b">
        <v>1</v>
      </c>
      <c r="T175" s="43">
        <f>IFERROR(__xludf.DUMMYFUNCTION("IFERROR(VLOOKUP(C175,IMPORTRANGE(""https://docs.google.com/spreadsheets/d/1RmEXtNg60OGvqZjyMxiYNPJ6S_kcz01v57qrHugDWVc/edit#gid=0"",""Chegadas!E:AQ""),19,0),"""")"),45327.0)</f>
        <v>45327</v>
      </c>
      <c r="U175" s="59" t="s">
        <v>242</v>
      </c>
      <c r="V175" s="60" t="s">
        <v>922</v>
      </c>
      <c r="W175" s="61">
        <f>IFERROR(IF(U175="Ativo","Ativo",IF(U175="SKU excluído","Vencido",VLOOKUP(C175,Encerramentos!B:G,6,0))),"")</f>
        <v>46324</v>
      </c>
    </row>
    <row r="176" hidden="1">
      <c r="A176" s="49" t="s">
        <v>231</v>
      </c>
      <c r="B176" s="33" t="str">
        <f t="shared" si="12"/>
        <v/>
      </c>
      <c r="C176" s="34" t="s">
        <v>1167</v>
      </c>
      <c r="D176" s="35" t="s">
        <v>1160</v>
      </c>
      <c r="E176" s="35" t="s">
        <v>915</v>
      </c>
      <c r="F176" s="36" t="s">
        <v>1168</v>
      </c>
      <c r="G176" s="37" t="s">
        <v>917</v>
      </c>
      <c r="H176" s="38" t="s">
        <v>98</v>
      </c>
      <c r="I176" s="38" t="s">
        <v>1162</v>
      </c>
      <c r="J176" s="90" t="s">
        <v>1169</v>
      </c>
      <c r="K176" s="58">
        <v>45621.0</v>
      </c>
      <c r="L176" s="38" t="s">
        <v>862</v>
      </c>
      <c r="M176" s="63" t="s">
        <v>919</v>
      </c>
      <c r="N176" s="66">
        <v>45604.0</v>
      </c>
      <c r="O176" s="50">
        <f t="shared" si="25"/>
        <v>45514</v>
      </c>
      <c r="P176" s="35" t="s">
        <v>920</v>
      </c>
      <c r="Q176" s="35" t="s">
        <v>921</v>
      </c>
      <c r="R176" s="35" t="s">
        <v>286</v>
      </c>
      <c r="S176" s="45" t="b">
        <v>1</v>
      </c>
      <c r="T176" s="43">
        <f>IFERROR(__xludf.DUMMYFUNCTION("IFERROR(VLOOKUP(C176,IMPORTRANGE(""https://docs.google.com/spreadsheets/d/1RmEXtNg60OGvqZjyMxiYNPJ6S_kcz01v57qrHugDWVc/edit#gid=0"",""Chegadas!E:AQ""),19,0),"""")"),45327.0)</f>
        <v>45327</v>
      </c>
      <c r="U176" s="59" t="s">
        <v>242</v>
      </c>
      <c r="V176" s="60" t="s">
        <v>922</v>
      </c>
      <c r="W176" s="61">
        <f>IFERROR(IF(U176="Ativo","Ativo",IF(U176="SKU excluído","Vencido",VLOOKUP(C176,Encerramentos!B:G,6,0))),"")</f>
        <v>46324</v>
      </c>
    </row>
    <row r="177" hidden="1">
      <c r="A177" s="49" t="s">
        <v>231</v>
      </c>
      <c r="B177" s="33" t="str">
        <f t="shared" si="12"/>
        <v/>
      </c>
      <c r="C177" s="34" t="s">
        <v>1170</v>
      </c>
      <c r="D177" s="35" t="s">
        <v>1160</v>
      </c>
      <c r="E177" s="35" t="s">
        <v>915</v>
      </c>
      <c r="F177" s="36" t="s">
        <v>1171</v>
      </c>
      <c r="G177" s="37" t="s">
        <v>917</v>
      </c>
      <c r="H177" s="38" t="s">
        <v>98</v>
      </c>
      <c r="I177" s="38" t="s">
        <v>1162</v>
      </c>
      <c r="J177" s="90" t="s">
        <v>1172</v>
      </c>
      <c r="K177" s="58">
        <v>45621.0</v>
      </c>
      <c r="L177" s="38" t="s">
        <v>862</v>
      </c>
      <c r="M177" s="63" t="s">
        <v>919</v>
      </c>
      <c r="N177" s="66">
        <v>45604.0</v>
      </c>
      <c r="O177" s="50">
        <f t="shared" si="25"/>
        <v>45514</v>
      </c>
      <c r="P177" s="35" t="s">
        <v>920</v>
      </c>
      <c r="Q177" s="35" t="s">
        <v>921</v>
      </c>
      <c r="R177" s="35" t="s">
        <v>286</v>
      </c>
      <c r="S177" s="45" t="b">
        <v>1</v>
      </c>
      <c r="T177" s="43">
        <f>IFERROR(__xludf.DUMMYFUNCTION("IFERROR(VLOOKUP(C177,IMPORTRANGE(""https://docs.google.com/spreadsheets/d/1RmEXtNg60OGvqZjyMxiYNPJ6S_kcz01v57qrHugDWVc/edit#gid=0"",""Chegadas!E:AQ""),19,0),"""")"),45327.0)</f>
        <v>45327</v>
      </c>
      <c r="U177" s="59" t="s">
        <v>242</v>
      </c>
      <c r="V177" s="60" t="s">
        <v>922</v>
      </c>
      <c r="W177" s="61">
        <f>IFERROR(IF(U177="Ativo","Ativo",IF(U177="SKU excluído","Vencido",VLOOKUP(C177,Encerramentos!B:G,6,0))),"")</f>
        <v>46324</v>
      </c>
    </row>
    <row r="178" hidden="1">
      <c r="A178" s="49" t="s">
        <v>231</v>
      </c>
      <c r="B178" s="33" t="str">
        <f t="shared" si="12"/>
        <v/>
      </c>
      <c r="C178" s="34" t="s">
        <v>1173</v>
      </c>
      <c r="D178" s="35" t="s">
        <v>1160</v>
      </c>
      <c r="E178" s="35" t="s">
        <v>915</v>
      </c>
      <c r="F178" s="36" t="s">
        <v>1174</v>
      </c>
      <c r="G178" s="37" t="s">
        <v>917</v>
      </c>
      <c r="H178" s="38" t="s">
        <v>98</v>
      </c>
      <c r="I178" s="38" t="s">
        <v>1162</v>
      </c>
      <c r="J178" s="90" t="s">
        <v>1175</v>
      </c>
      <c r="K178" s="58">
        <v>45621.0</v>
      </c>
      <c r="L178" s="38" t="s">
        <v>862</v>
      </c>
      <c r="M178" s="63" t="s">
        <v>919</v>
      </c>
      <c r="N178" s="66">
        <v>45604.0</v>
      </c>
      <c r="O178" s="50">
        <f t="shared" si="25"/>
        <v>45514</v>
      </c>
      <c r="P178" s="35" t="s">
        <v>920</v>
      </c>
      <c r="Q178" s="35" t="s">
        <v>921</v>
      </c>
      <c r="R178" s="35" t="s">
        <v>286</v>
      </c>
      <c r="S178" s="45" t="b">
        <v>1</v>
      </c>
      <c r="T178" s="43">
        <f>IFERROR(__xludf.DUMMYFUNCTION("IFERROR(VLOOKUP(C178,IMPORTRANGE(""https://docs.google.com/spreadsheets/d/1RmEXtNg60OGvqZjyMxiYNPJ6S_kcz01v57qrHugDWVc/edit#gid=0"",""Chegadas!E:AQ""),19,0),"""")"),45327.0)</f>
        <v>45327</v>
      </c>
      <c r="U178" s="59" t="s">
        <v>242</v>
      </c>
      <c r="V178" s="60" t="s">
        <v>922</v>
      </c>
      <c r="W178" s="61">
        <f>IFERROR(IF(U178="Ativo","Ativo",IF(U178="SKU excluído","Vencido",VLOOKUP(C178,Encerramentos!B:G,6,0))),"")</f>
        <v>46324</v>
      </c>
    </row>
    <row r="179" hidden="1">
      <c r="A179" s="49" t="s">
        <v>231</v>
      </c>
      <c r="B179" s="33" t="str">
        <f t="shared" si="12"/>
        <v/>
      </c>
      <c r="C179" s="34" t="s">
        <v>1176</v>
      </c>
      <c r="D179" s="35" t="s">
        <v>1160</v>
      </c>
      <c r="E179" s="35" t="s">
        <v>915</v>
      </c>
      <c r="F179" s="36" t="s">
        <v>1177</v>
      </c>
      <c r="G179" s="37" t="s">
        <v>917</v>
      </c>
      <c r="H179" s="38" t="s">
        <v>98</v>
      </c>
      <c r="I179" s="38" t="s">
        <v>1162</v>
      </c>
      <c r="J179" s="90" t="s">
        <v>1178</v>
      </c>
      <c r="K179" s="58">
        <v>45621.0</v>
      </c>
      <c r="L179" s="38" t="s">
        <v>862</v>
      </c>
      <c r="M179" s="63" t="s">
        <v>919</v>
      </c>
      <c r="N179" s="66">
        <v>45604.0</v>
      </c>
      <c r="O179" s="50">
        <f t="shared" si="25"/>
        <v>45514</v>
      </c>
      <c r="P179" s="35" t="s">
        <v>920</v>
      </c>
      <c r="Q179" s="35" t="s">
        <v>921</v>
      </c>
      <c r="R179" s="35" t="s">
        <v>286</v>
      </c>
      <c r="S179" s="45" t="b">
        <v>1</v>
      </c>
      <c r="T179" s="43">
        <f>IFERROR(__xludf.DUMMYFUNCTION("IFERROR(VLOOKUP(C179,IMPORTRANGE(""https://docs.google.com/spreadsheets/d/1RmEXtNg60OGvqZjyMxiYNPJ6S_kcz01v57qrHugDWVc/edit#gid=0"",""Chegadas!E:AQ""),19,0),"""")"),45327.0)</f>
        <v>45327</v>
      </c>
      <c r="U179" s="59" t="s">
        <v>242</v>
      </c>
      <c r="V179" s="60" t="s">
        <v>922</v>
      </c>
      <c r="W179" s="61">
        <f>IFERROR(IF(U179="Ativo","Ativo",IF(U179="SKU excluído","Vencido",VLOOKUP(C179,Encerramentos!B:G,6,0))),"")</f>
        <v>46324</v>
      </c>
    </row>
    <row r="180" hidden="1">
      <c r="A180" s="49" t="s">
        <v>231</v>
      </c>
      <c r="B180" s="33" t="str">
        <f t="shared" si="12"/>
        <v/>
      </c>
      <c r="C180" s="34" t="s">
        <v>1179</v>
      </c>
      <c r="D180" s="35" t="s">
        <v>1160</v>
      </c>
      <c r="E180" s="35" t="s">
        <v>915</v>
      </c>
      <c r="F180" s="36" t="s">
        <v>1180</v>
      </c>
      <c r="G180" s="37" t="s">
        <v>917</v>
      </c>
      <c r="H180" s="38" t="s">
        <v>98</v>
      </c>
      <c r="I180" s="38" t="s">
        <v>1162</v>
      </c>
      <c r="J180" s="90" t="s">
        <v>1181</v>
      </c>
      <c r="K180" s="58">
        <v>45621.0</v>
      </c>
      <c r="L180" s="38" t="s">
        <v>862</v>
      </c>
      <c r="M180" s="63" t="s">
        <v>919</v>
      </c>
      <c r="N180" s="66">
        <v>45604.0</v>
      </c>
      <c r="O180" s="50">
        <f t="shared" si="25"/>
        <v>45514</v>
      </c>
      <c r="P180" s="35" t="s">
        <v>920</v>
      </c>
      <c r="Q180" s="35" t="s">
        <v>921</v>
      </c>
      <c r="R180" s="35" t="s">
        <v>286</v>
      </c>
      <c r="S180" s="45" t="b">
        <v>1</v>
      </c>
      <c r="T180" s="43">
        <f>IFERROR(__xludf.DUMMYFUNCTION("IFERROR(VLOOKUP(C180,IMPORTRANGE(""https://docs.google.com/spreadsheets/d/1RmEXtNg60OGvqZjyMxiYNPJ6S_kcz01v57qrHugDWVc/edit#gid=0"",""Chegadas!E:AQ""),19,0),"""")"),45327.0)</f>
        <v>45327</v>
      </c>
      <c r="U180" s="59" t="s">
        <v>242</v>
      </c>
      <c r="V180" s="60" t="s">
        <v>922</v>
      </c>
      <c r="W180" s="61">
        <f>IFERROR(IF(U180="Ativo","Ativo",IF(U180="SKU excluído","Vencido",VLOOKUP(C180,Encerramentos!B:G,6,0))),"")</f>
        <v>46324</v>
      </c>
    </row>
    <row r="181" hidden="1">
      <c r="A181" s="49" t="s">
        <v>231</v>
      </c>
      <c r="B181" s="33" t="str">
        <f t="shared" si="12"/>
        <v/>
      </c>
      <c r="C181" s="34" t="s">
        <v>1182</v>
      </c>
      <c r="D181" s="35" t="s">
        <v>1160</v>
      </c>
      <c r="E181" s="35" t="s">
        <v>915</v>
      </c>
      <c r="F181" s="36" t="s">
        <v>1183</v>
      </c>
      <c r="G181" s="37" t="s">
        <v>917</v>
      </c>
      <c r="H181" s="38" t="s">
        <v>98</v>
      </c>
      <c r="I181" s="38" t="s">
        <v>1162</v>
      </c>
      <c r="J181" s="90" t="s">
        <v>1184</v>
      </c>
      <c r="K181" s="58">
        <v>45621.0</v>
      </c>
      <c r="L181" s="38" t="s">
        <v>862</v>
      </c>
      <c r="M181" s="63" t="s">
        <v>919</v>
      </c>
      <c r="N181" s="66">
        <v>45604.0</v>
      </c>
      <c r="O181" s="50">
        <f t="shared" si="25"/>
        <v>45514</v>
      </c>
      <c r="P181" s="35" t="s">
        <v>920</v>
      </c>
      <c r="Q181" s="35" t="s">
        <v>921</v>
      </c>
      <c r="R181" s="35" t="s">
        <v>286</v>
      </c>
      <c r="S181" s="45" t="b">
        <v>1</v>
      </c>
      <c r="T181" s="43">
        <f>IFERROR(__xludf.DUMMYFUNCTION("IFERROR(VLOOKUP(C181,IMPORTRANGE(""https://docs.google.com/spreadsheets/d/1RmEXtNg60OGvqZjyMxiYNPJ6S_kcz01v57qrHugDWVc/edit#gid=0"",""Chegadas!E:AQ""),19,0),"""")"),45327.0)</f>
        <v>45327</v>
      </c>
      <c r="U181" s="59" t="s">
        <v>242</v>
      </c>
      <c r="V181" s="60" t="s">
        <v>922</v>
      </c>
      <c r="W181" s="61">
        <f>IFERROR(IF(U181="Ativo","Ativo",IF(U181="SKU excluído","Vencido",VLOOKUP(C181,Encerramentos!B:G,6,0))),"")</f>
        <v>46324</v>
      </c>
    </row>
    <row r="182" hidden="1">
      <c r="A182" s="49" t="s">
        <v>231</v>
      </c>
      <c r="B182" s="33" t="str">
        <f t="shared" si="12"/>
        <v/>
      </c>
      <c r="C182" s="34" t="s">
        <v>1185</v>
      </c>
      <c r="D182" s="35" t="s">
        <v>1160</v>
      </c>
      <c r="E182" s="35" t="s">
        <v>915</v>
      </c>
      <c r="F182" s="36" t="s">
        <v>1186</v>
      </c>
      <c r="G182" s="37" t="s">
        <v>917</v>
      </c>
      <c r="H182" s="38" t="s">
        <v>98</v>
      </c>
      <c r="I182" s="38" t="s">
        <v>1162</v>
      </c>
      <c r="J182" s="91" t="s">
        <v>1187</v>
      </c>
      <c r="K182" s="58">
        <v>45621.0</v>
      </c>
      <c r="L182" s="38" t="s">
        <v>862</v>
      </c>
      <c r="M182" s="63" t="s">
        <v>919</v>
      </c>
      <c r="N182" s="61">
        <v>45612.0</v>
      </c>
      <c r="O182" s="50">
        <f t="shared" si="25"/>
        <v>45522</v>
      </c>
      <c r="P182" s="35" t="s">
        <v>1188</v>
      </c>
      <c r="Q182" s="35" t="s">
        <v>1189</v>
      </c>
      <c r="R182" s="35" t="s">
        <v>286</v>
      </c>
      <c r="S182" s="45" t="b">
        <v>1</v>
      </c>
      <c r="T182" s="43">
        <f>IFERROR(__xludf.DUMMYFUNCTION("IFERROR(VLOOKUP(C182,IMPORTRANGE(""https://docs.google.com/spreadsheets/d/1RmEXtNg60OGvqZjyMxiYNPJ6S_kcz01v57qrHugDWVc/edit#gid=0"",""Chegadas!E:AQ""),19,0),"""")"),45327.0)</f>
        <v>45327</v>
      </c>
      <c r="U182" s="73" t="s">
        <v>242</v>
      </c>
      <c r="V182" s="60" t="s">
        <v>1190</v>
      </c>
      <c r="W182" s="61">
        <f>IFERROR(IF(U182="Ativo","Ativo",IF(U182="SKU excluído","Vencido",VLOOKUP(C182,Encerramentos!B:G,6,0))),"")</f>
        <v>46324</v>
      </c>
    </row>
    <row r="183" hidden="1">
      <c r="A183" s="49" t="s">
        <v>231</v>
      </c>
      <c r="B183" s="33" t="str">
        <f t="shared" si="12"/>
        <v/>
      </c>
      <c r="C183" s="34" t="s">
        <v>1191</v>
      </c>
      <c r="D183" s="35" t="s">
        <v>1160</v>
      </c>
      <c r="E183" s="35" t="s">
        <v>915</v>
      </c>
      <c r="F183" s="36" t="s">
        <v>1192</v>
      </c>
      <c r="G183" s="37" t="s">
        <v>917</v>
      </c>
      <c r="H183" s="38" t="s">
        <v>98</v>
      </c>
      <c r="I183" s="38" t="s">
        <v>1162</v>
      </c>
      <c r="J183" s="91" t="s">
        <v>1193</v>
      </c>
      <c r="K183" s="58">
        <v>45621.0</v>
      </c>
      <c r="L183" s="38" t="s">
        <v>862</v>
      </c>
      <c r="M183" s="63" t="s">
        <v>919</v>
      </c>
      <c r="N183" s="61">
        <v>45612.0</v>
      </c>
      <c r="O183" s="50">
        <f t="shared" si="25"/>
        <v>45522</v>
      </c>
      <c r="P183" s="35" t="s">
        <v>1188</v>
      </c>
      <c r="Q183" s="35" t="s">
        <v>1189</v>
      </c>
      <c r="R183" s="35" t="s">
        <v>286</v>
      </c>
      <c r="S183" s="45" t="b">
        <v>1</v>
      </c>
      <c r="T183" s="43">
        <f>IFERROR(__xludf.DUMMYFUNCTION("IFERROR(VLOOKUP(C183,IMPORTRANGE(""https://docs.google.com/spreadsheets/d/1RmEXtNg60OGvqZjyMxiYNPJ6S_kcz01v57qrHugDWVc/edit#gid=0"",""Chegadas!E:AQ""),19,0),"""")"),45327.0)</f>
        <v>45327</v>
      </c>
      <c r="U183" s="73" t="s">
        <v>242</v>
      </c>
      <c r="V183" s="60" t="s">
        <v>1190</v>
      </c>
      <c r="W183" s="61">
        <f>IFERROR(IF(U183="Ativo","Ativo",IF(U183="SKU excluído","Vencido",VLOOKUP(C183,Encerramentos!B:G,6,0))),"")</f>
        <v>46324</v>
      </c>
    </row>
    <row r="184" hidden="1">
      <c r="A184" s="49" t="s">
        <v>231</v>
      </c>
      <c r="B184" s="33" t="str">
        <f t="shared" si="12"/>
        <v/>
      </c>
      <c r="C184" s="34" t="s">
        <v>1194</v>
      </c>
      <c r="D184" s="35" t="s">
        <v>1160</v>
      </c>
      <c r="E184" s="35" t="s">
        <v>915</v>
      </c>
      <c r="F184" s="36" t="s">
        <v>1195</v>
      </c>
      <c r="G184" s="37" t="s">
        <v>917</v>
      </c>
      <c r="H184" s="38" t="s">
        <v>98</v>
      </c>
      <c r="I184" s="38" t="s">
        <v>341</v>
      </c>
      <c r="J184" s="91" t="s">
        <v>1196</v>
      </c>
      <c r="K184" s="58">
        <v>45621.0</v>
      </c>
      <c r="L184" s="38" t="s">
        <v>862</v>
      </c>
      <c r="M184" s="63" t="s">
        <v>919</v>
      </c>
      <c r="N184" s="61">
        <v>45612.0</v>
      </c>
      <c r="O184" s="50">
        <f t="shared" si="25"/>
        <v>45522</v>
      </c>
      <c r="P184" s="35" t="s">
        <v>1188</v>
      </c>
      <c r="Q184" s="35" t="s">
        <v>1189</v>
      </c>
      <c r="R184" s="35" t="s">
        <v>286</v>
      </c>
      <c r="S184" s="45" t="b">
        <v>1</v>
      </c>
      <c r="T184" s="43">
        <f>IFERROR(__xludf.DUMMYFUNCTION("IFERROR(VLOOKUP(C184,IMPORTRANGE(""https://docs.google.com/spreadsheets/d/1RmEXtNg60OGvqZjyMxiYNPJ6S_kcz01v57qrHugDWVc/edit#gid=0"",""Chegadas!E:AQ""),19,0),"""")"),45327.0)</f>
        <v>45327</v>
      </c>
      <c r="U184" s="73" t="s">
        <v>242</v>
      </c>
      <c r="V184" s="60" t="s">
        <v>1190</v>
      </c>
      <c r="W184" s="61">
        <f>IFERROR(IF(U184="Ativo","Ativo",IF(U184="SKU excluído","Vencido",VLOOKUP(C184,Encerramentos!B:G,6,0))),"")</f>
        <v>46324</v>
      </c>
    </row>
    <row r="185" hidden="1">
      <c r="A185" s="49" t="s">
        <v>231</v>
      </c>
      <c r="B185" s="33" t="str">
        <f t="shared" si="12"/>
        <v/>
      </c>
      <c r="C185" s="34" t="s">
        <v>1197</v>
      </c>
      <c r="D185" s="35" t="s">
        <v>1160</v>
      </c>
      <c r="E185" s="35" t="s">
        <v>915</v>
      </c>
      <c r="F185" s="36" t="s">
        <v>1198</v>
      </c>
      <c r="G185" s="37" t="s">
        <v>917</v>
      </c>
      <c r="H185" s="38" t="s">
        <v>98</v>
      </c>
      <c r="I185" s="38" t="s">
        <v>1162</v>
      </c>
      <c r="J185" s="91" t="s">
        <v>1199</v>
      </c>
      <c r="K185" s="58">
        <v>45621.0</v>
      </c>
      <c r="L185" s="38" t="s">
        <v>862</v>
      </c>
      <c r="M185" s="63" t="s">
        <v>919</v>
      </c>
      <c r="N185" s="61">
        <v>45612.0</v>
      </c>
      <c r="O185" s="50">
        <f t="shared" si="25"/>
        <v>45522</v>
      </c>
      <c r="P185" s="35" t="s">
        <v>1188</v>
      </c>
      <c r="Q185" s="35" t="s">
        <v>1189</v>
      </c>
      <c r="R185" s="35" t="s">
        <v>286</v>
      </c>
      <c r="S185" s="45" t="b">
        <v>1</v>
      </c>
      <c r="T185" s="43">
        <f>IFERROR(__xludf.DUMMYFUNCTION("IFERROR(VLOOKUP(C185,IMPORTRANGE(""https://docs.google.com/spreadsheets/d/1RmEXtNg60OGvqZjyMxiYNPJ6S_kcz01v57qrHugDWVc/edit#gid=0"",""Chegadas!E:AQ""),19,0),"""")"),45327.0)</f>
        <v>45327</v>
      </c>
      <c r="U185" s="73" t="s">
        <v>242</v>
      </c>
      <c r="V185" s="60" t="s">
        <v>1190</v>
      </c>
      <c r="W185" s="61">
        <f>IFERROR(IF(U185="Ativo","Ativo",IF(U185="SKU excluído","Vencido",VLOOKUP(C185,Encerramentos!B:G,6,0))),"")</f>
        <v>46324</v>
      </c>
    </row>
    <row r="186" hidden="1">
      <c r="A186" s="49" t="s">
        <v>231</v>
      </c>
      <c r="B186" s="33" t="str">
        <f t="shared" si="12"/>
        <v/>
      </c>
      <c r="C186" s="34" t="s">
        <v>1200</v>
      </c>
      <c r="D186" s="35" t="s">
        <v>1160</v>
      </c>
      <c r="E186" s="35" t="s">
        <v>915</v>
      </c>
      <c r="F186" s="36" t="s">
        <v>1201</v>
      </c>
      <c r="G186" s="37" t="s">
        <v>917</v>
      </c>
      <c r="H186" s="38" t="s">
        <v>98</v>
      </c>
      <c r="I186" s="38" t="s">
        <v>1162</v>
      </c>
      <c r="J186" s="91" t="s">
        <v>1202</v>
      </c>
      <c r="K186" s="58">
        <v>45621.0</v>
      </c>
      <c r="L186" s="38" t="s">
        <v>862</v>
      </c>
      <c r="M186" s="63" t="s">
        <v>919</v>
      </c>
      <c r="N186" s="61">
        <v>45612.0</v>
      </c>
      <c r="O186" s="50">
        <f t="shared" si="25"/>
        <v>45522</v>
      </c>
      <c r="P186" s="35" t="s">
        <v>1188</v>
      </c>
      <c r="Q186" s="35" t="s">
        <v>1189</v>
      </c>
      <c r="R186" s="35" t="s">
        <v>286</v>
      </c>
      <c r="S186" s="45" t="b">
        <v>1</v>
      </c>
      <c r="T186" s="43">
        <f>IFERROR(__xludf.DUMMYFUNCTION("IFERROR(VLOOKUP(C186,IMPORTRANGE(""https://docs.google.com/spreadsheets/d/1RmEXtNg60OGvqZjyMxiYNPJ6S_kcz01v57qrHugDWVc/edit#gid=0"",""Chegadas!E:AQ""),19,0),"""")"),45327.0)</f>
        <v>45327</v>
      </c>
      <c r="U186" s="73" t="s">
        <v>242</v>
      </c>
      <c r="V186" s="60" t="s">
        <v>1190</v>
      </c>
      <c r="W186" s="61">
        <f>IFERROR(IF(U186="Ativo","Ativo",IF(U186="SKU excluído","Vencido",VLOOKUP(C186,Encerramentos!B:G,6,0))),"")</f>
        <v>46324</v>
      </c>
    </row>
    <row r="187" hidden="1">
      <c r="A187" s="49" t="s">
        <v>231</v>
      </c>
      <c r="B187" s="33" t="str">
        <f t="shared" si="12"/>
        <v/>
      </c>
      <c r="C187" s="34" t="s">
        <v>1203</v>
      </c>
      <c r="D187" s="35" t="s">
        <v>1204</v>
      </c>
      <c r="E187" s="35" t="s">
        <v>915</v>
      </c>
      <c r="F187" s="36" t="s">
        <v>1205</v>
      </c>
      <c r="G187" s="37" t="s">
        <v>917</v>
      </c>
      <c r="H187" s="38" t="s">
        <v>98</v>
      </c>
      <c r="I187" s="38" t="s">
        <v>1206</v>
      </c>
      <c r="J187" s="60" t="s">
        <v>1207</v>
      </c>
      <c r="K187" s="58">
        <v>45643.0</v>
      </c>
      <c r="L187" s="38" t="s">
        <v>862</v>
      </c>
      <c r="M187" s="63" t="s">
        <v>919</v>
      </c>
      <c r="N187" s="61">
        <v>45667.0</v>
      </c>
      <c r="O187" s="50">
        <f t="shared" si="25"/>
        <v>45577</v>
      </c>
      <c r="P187" s="35" t="s">
        <v>1208</v>
      </c>
      <c r="Q187" s="35" t="s">
        <v>1209</v>
      </c>
      <c r="R187" s="35" t="s">
        <v>286</v>
      </c>
      <c r="S187" s="45" t="b">
        <v>1</v>
      </c>
      <c r="T187" s="43">
        <f>IFERROR(__xludf.DUMMYFUNCTION("IFERROR(VLOOKUP(C187,IMPORTRANGE(""https://docs.google.com/spreadsheets/d/1RmEXtNg60OGvqZjyMxiYNPJ6S_kcz01v57qrHugDWVc/edit#gid=0"",""Chegadas!E:AQ""),19,0),"""")"),45387.0)</f>
        <v>45387</v>
      </c>
      <c r="U187" s="73" t="s">
        <v>242</v>
      </c>
      <c r="V187" s="60" t="s">
        <v>1210</v>
      </c>
      <c r="W187" s="61">
        <f>IFERROR(IF(U187="Ativo","Ativo",IF(U187="SKU excluído","Vencido",VLOOKUP(C187,Encerramentos!B:G,6,0))),"")</f>
        <v>46350</v>
      </c>
    </row>
    <row r="188" hidden="1">
      <c r="A188" s="49" t="s">
        <v>231</v>
      </c>
      <c r="B188" s="33" t="str">
        <f t="shared" si="12"/>
        <v/>
      </c>
      <c r="C188" s="34" t="s">
        <v>1211</v>
      </c>
      <c r="D188" s="35" t="s">
        <v>1204</v>
      </c>
      <c r="E188" s="35" t="s">
        <v>915</v>
      </c>
      <c r="F188" s="36" t="s">
        <v>1212</v>
      </c>
      <c r="G188" s="37" t="s">
        <v>917</v>
      </c>
      <c r="H188" s="38" t="s">
        <v>98</v>
      </c>
      <c r="I188" s="38" t="s">
        <v>1162</v>
      </c>
      <c r="J188" s="60" t="s">
        <v>1213</v>
      </c>
      <c r="K188" s="58">
        <v>45621.0</v>
      </c>
      <c r="L188" s="38" t="s">
        <v>862</v>
      </c>
      <c r="M188" s="63" t="s">
        <v>919</v>
      </c>
      <c r="N188" s="66">
        <v>45604.0</v>
      </c>
      <c r="O188" s="50">
        <f t="shared" si="25"/>
        <v>45514</v>
      </c>
      <c r="P188" s="35" t="s">
        <v>920</v>
      </c>
      <c r="Q188" s="35" t="s">
        <v>921</v>
      </c>
      <c r="R188" s="35" t="s">
        <v>286</v>
      </c>
      <c r="S188" s="45" t="b">
        <v>1</v>
      </c>
      <c r="T188" s="43">
        <f>IFERROR(__xludf.DUMMYFUNCTION("IFERROR(VLOOKUP(C188,IMPORTRANGE(""https://docs.google.com/spreadsheets/d/1RmEXtNg60OGvqZjyMxiYNPJ6S_kcz01v57qrHugDWVc/edit#gid=0"",""Chegadas!E:AQ""),19,0),"""")"),45387.0)</f>
        <v>45387</v>
      </c>
      <c r="U188" s="59" t="s">
        <v>242</v>
      </c>
      <c r="V188" s="60" t="s">
        <v>922</v>
      </c>
      <c r="W188" s="61">
        <f>IFERROR(IF(U188="Ativo","Ativo",IF(U188="SKU excluído","Vencido",VLOOKUP(C188,Encerramentos!B:G,6,0))),"")</f>
        <v>46324</v>
      </c>
    </row>
    <row r="189" hidden="1">
      <c r="A189" s="49" t="s">
        <v>231</v>
      </c>
      <c r="B189" s="33" t="str">
        <f t="shared" si="12"/>
        <v/>
      </c>
      <c r="C189" s="34" t="s">
        <v>1214</v>
      </c>
      <c r="D189" s="35" t="s">
        <v>1204</v>
      </c>
      <c r="E189" s="35" t="s">
        <v>915</v>
      </c>
      <c r="F189" s="36" t="s">
        <v>1215</v>
      </c>
      <c r="G189" s="37" t="s">
        <v>917</v>
      </c>
      <c r="H189" s="38" t="s">
        <v>98</v>
      </c>
      <c r="I189" s="38" t="s">
        <v>1162</v>
      </c>
      <c r="J189" s="60" t="s">
        <v>1216</v>
      </c>
      <c r="K189" s="58">
        <v>45621.0</v>
      </c>
      <c r="L189" s="38" t="s">
        <v>862</v>
      </c>
      <c r="M189" s="63" t="s">
        <v>919</v>
      </c>
      <c r="N189" s="66">
        <v>45604.0</v>
      </c>
      <c r="O189" s="50">
        <f t="shared" si="25"/>
        <v>45514</v>
      </c>
      <c r="P189" s="35" t="s">
        <v>920</v>
      </c>
      <c r="Q189" s="35" t="s">
        <v>921</v>
      </c>
      <c r="R189" s="35" t="s">
        <v>286</v>
      </c>
      <c r="S189" s="45" t="b">
        <v>1</v>
      </c>
      <c r="T189" s="43">
        <f>IFERROR(__xludf.DUMMYFUNCTION("IFERROR(VLOOKUP(C189,IMPORTRANGE(""https://docs.google.com/spreadsheets/d/1RmEXtNg60OGvqZjyMxiYNPJ6S_kcz01v57qrHugDWVc/edit#gid=0"",""Chegadas!E:AQ""),19,0),"""")"),45387.0)</f>
        <v>45387</v>
      </c>
      <c r="U189" s="59" t="s">
        <v>242</v>
      </c>
      <c r="V189" s="60" t="s">
        <v>922</v>
      </c>
      <c r="W189" s="61">
        <f>IFERROR(IF(U189="Ativo","Ativo",IF(U189="SKU excluído","Vencido",VLOOKUP(C189,Encerramentos!B:G,6,0))),"")</f>
        <v>46324</v>
      </c>
    </row>
    <row r="190" hidden="1">
      <c r="A190" s="49" t="s">
        <v>231</v>
      </c>
      <c r="B190" s="33" t="str">
        <f t="shared" si="12"/>
        <v/>
      </c>
      <c r="C190" s="34" t="s">
        <v>1217</v>
      </c>
      <c r="D190" s="35" t="s">
        <v>1204</v>
      </c>
      <c r="E190" s="35" t="s">
        <v>915</v>
      </c>
      <c r="F190" s="36" t="s">
        <v>1218</v>
      </c>
      <c r="G190" s="37" t="s">
        <v>917</v>
      </c>
      <c r="H190" s="38" t="s">
        <v>98</v>
      </c>
      <c r="I190" s="38" t="s">
        <v>1162</v>
      </c>
      <c r="J190" s="60" t="s">
        <v>1219</v>
      </c>
      <c r="K190" s="58">
        <v>45621.0</v>
      </c>
      <c r="L190" s="38" t="s">
        <v>862</v>
      </c>
      <c r="M190" s="63" t="s">
        <v>919</v>
      </c>
      <c r="N190" s="66">
        <v>45604.0</v>
      </c>
      <c r="O190" s="50">
        <f t="shared" si="25"/>
        <v>45514</v>
      </c>
      <c r="P190" s="35" t="s">
        <v>920</v>
      </c>
      <c r="Q190" s="35" t="s">
        <v>921</v>
      </c>
      <c r="R190" s="35" t="s">
        <v>286</v>
      </c>
      <c r="S190" s="45" t="b">
        <v>1</v>
      </c>
      <c r="T190" s="43">
        <f>IFERROR(__xludf.DUMMYFUNCTION("IFERROR(VLOOKUP(C190,IMPORTRANGE(""https://docs.google.com/spreadsheets/d/1RmEXtNg60OGvqZjyMxiYNPJ6S_kcz01v57qrHugDWVc/edit#gid=0"",""Chegadas!E:AQ""),19,0),"""")"),45387.0)</f>
        <v>45387</v>
      </c>
      <c r="U190" s="59" t="s">
        <v>242</v>
      </c>
      <c r="V190" s="60" t="s">
        <v>922</v>
      </c>
      <c r="W190" s="61">
        <f>IFERROR(IF(U190="Ativo","Ativo",IF(U190="SKU excluído","Vencido",VLOOKUP(C190,Encerramentos!B:G,6,0))),"")</f>
        <v>46324</v>
      </c>
    </row>
    <row r="191" hidden="1">
      <c r="A191" s="49" t="s">
        <v>231</v>
      </c>
      <c r="B191" s="33" t="str">
        <f t="shared" si="12"/>
        <v/>
      </c>
      <c r="C191" s="34" t="s">
        <v>1220</v>
      </c>
      <c r="D191" s="35" t="s">
        <v>1204</v>
      </c>
      <c r="E191" s="35" t="s">
        <v>915</v>
      </c>
      <c r="F191" s="36" t="s">
        <v>1221</v>
      </c>
      <c r="G191" s="37" t="s">
        <v>917</v>
      </c>
      <c r="H191" s="38" t="s">
        <v>98</v>
      </c>
      <c r="I191" s="38" t="s">
        <v>1162</v>
      </c>
      <c r="J191" s="60" t="s">
        <v>1222</v>
      </c>
      <c r="K191" s="58">
        <v>45621.0</v>
      </c>
      <c r="L191" s="38" t="s">
        <v>862</v>
      </c>
      <c r="M191" s="63" t="s">
        <v>919</v>
      </c>
      <c r="N191" s="66">
        <v>45604.0</v>
      </c>
      <c r="O191" s="50">
        <f t="shared" si="25"/>
        <v>45514</v>
      </c>
      <c r="P191" s="35" t="s">
        <v>920</v>
      </c>
      <c r="Q191" s="35" t="s">
        <v>921</v>
      </c>
      <c r="R191" s="35" t="s">
        <v>286</v>
      </c>
      <c r="S191" s="45" t="b">
        <v>1</v>
      </c>
      <c r="T191" s="43">
        <f>IFERROR(__xludf.DUMMYFUNCTION("IFERROR(VLOOKUP(C191,IMPORTRANGE(""https://docs.google.com/spreadsheets/d/1RmEXtNg60OGvqZjyMxiYNPJ6S_kcz01v57qrHugDWVc/edit#gid=0"",""Chegadas!E:AQ""),19,0),"""")"),45387.0)</f>
        <v>45387</v>
      </c>
      <c r="U191" s="59" t="s">
        <v>242</v>
      </c>
      <c r="V191" s="60" t="s">
        <v>922</v>
      </c>
      <c r="W191" s="61">
        <f>IFERROR(IF(U191="Ativo","Ativo",IF(U191="SKU excluído","Vencido",VLOOKUP(C191,Encerramentos!B:G,6,0))),"")</f>
        <v>46324</v>
      </c>
    </row>
    <row r="192" hidden="1">
      <c r="A192" s="49" t="s">
        <v>231</v>
      </c>
      <c r="B192" s="33" t="str">
        <f t="shared" si="12"/>
        <v/>
      </c>
      <c r="C192" s="34" t="s">
        <v>1223</v>
      </c>
      <c r="D192" s="35" t="s">
        <v>1204</v>
      </c>
      <c r="E192" s="35" t="s">
        <v>915</v>
      </c>
      <c r="F192" s="36" t="s">
        <v>1224</v>
      </c>
      <c r="G192" s="37" t="s">
        <v>917</v>
      </c>
      <c r="H192" s="38" t="s">
        <v>98</v>
      </c>
      <c r="I192" s="38" t="s">
        <v>1162</v>
      </c>
      <c r="J192" s="60" t="s">
        <v>1225</v>
      </c>
      <c r="K192" s="58">
        <v>45621.0</v>
      </c>
      <c r="L192" s="38" t="s">
        <v>862</v>
      </c>
      <c r="M192" s="63" t="s">
        <v>919</v>
      </c>
      <c r="N192" s="66">
        <v>45604.0</v>
      </c>
      <c r="O192" s="50">
        <f t="shared" si="25"/>
        <v>45514</v>
      </c>
      <c r="P192" s="35" t="s">
        <v>920</v>
      </c>
      <c r="Q192" s="35" t="s">
        <v>921</v>
      </c>
      <c r="R192" s="35" t="s">
        <v>286</v>
      </c>
      <c r="S192" s="45" t="b">
        <v>1</v>
      </c>
      <c r="T192" s="43">
        <f>IFERROR(__xludf.DUMMYFUNCTION("IFERROR(VLOOKUP(C192,IMPORTRANGE(""https://docs.google.com/spreadsheets/d/1RmEXtNg60OGvqZjyMxiYNPJ6S_kcz01v57qrHugDWVc/edit#gid=0"",""Chegadas!E:AQ""),19,0),"""")"),45387.0)</f>
        <v>45387</v>
      </c>
      <c r="U192" s="59" t="s">
        <v>242</v>
      </c>
      <c r="V192" s="60" t="s">
        <v>922</v>
      </c>
      <c r="W192" s="61">
        <f>IFERROR(IF(U192="Ativo","Ativo",IF(U192="SKU excluído","Vencido",VLOOKUP(C192,Encerramentos!B:G,6,0))),"")</f>
        <v>46324</v>
      </c>
    </row>
    <row r="193" hidden="1">
      <c r="A193" s="49" t="s">
        <v>231</v>
      </c>
      <c r="B193" s="33" t="str">
        <f t="shared" si="12"/>
        <v/>
      </c>
      <c r="C193" s="34" t="s">
        <v>1226</v>
      </c>
      <c r="D193" s="35" t="s">
        <v>1204</v>
      </c>
      <c r="E193" s="35" t="s">
        <v>915</v>
      </c>
      <c r="F193" s="36" t="s">
        <v>1227</v>
      </c>
      <c r="G193" s="37" t="s">
        <v>917</v>
      </c>
      <c r="H193" s="38" t="s">
        <v>98</v>
      </c>
      <c r="I193" s="38" t="s">
        <v>1162</v>
      </c>
      <c r="J193" s="60" t="s">
        <v>1228</v>
      </c>
      <c r="K193" s="58">
        <v>45621.0</v>
      </c>
      <c r="L193" s="38" t="s">
        <v>862</v>
      </c>
      <c r="M193" s="63" t="s">
        <v>919</v>
      </c>
      <c r="N193" s="66">
        <v>45604.0</v>
      </c>
      <c r="O193" s="50">
        <f t="shared" si="25"/>
        <v>45514</v>
      </c>
      <c r="P193" s="35" t="s">
        <v>920</v>
      </c>
      <c r="Q193" s="35" t="s">
        <v>921</v>
      </c>
      <c r="R193" s="35" t="s">
        <v>286</v>
      </c>
      <c r="S193" s="45" t="b">
        <v>1</v>
      </c>
      <c r="T193" s="43">
        <f>IFERROR(__xludf.DUMMYFUNCTION("IFERROR(VLOOKUP(C193,IMPORTRANGE(""https://docs.google.com/spreadsheets/d/1RmEXtNg60OGvqZjyMxiYNPJ6S_kcz01v57qrHugDWVc/edit#gid=0"",""Chegadas!E:AQ""),19,0),"""")"),45387.0)</f>
        <v>45387</v>
      </c>
      <c r="U193" s="59" t="s">
        <v>242</v>
      </c>
      <c r="V193" s="60" t="s">
        <v>922</v>
      </c>
      <c r="W193" s="61">
        <f>IFERROR(IF(U193="Ativo","Ativo",IF(U193="SKU excluído","Vencido",VLOOKUP(C193,Encerramentos!B:G,6,0))),"")</f>
        <v>46324</v>
      </c>
    </row>
    <row r="194" hidden="1">
      <c r="A194" s="49" t="s">
        <v>231</v>
      </c>
      <c r="B194" s="33" t="str">
        <f t="shared" si="12"/>
        <v/>
      </c>
      <c r="C194" s="34" t="s">
        <v>1229</v>
      </c>
      <c r="D194" s="35" t="s">
        <v>1204</v>
      </c>
      <c r="E194" s="35" t="s">
        <v>915</v>
      </c>
      <c r="F194" s="36" t="s">
        <v>1230</v>
      </c>
      <c r="G194" s="37" t="s">
        <v>917</v>
      </c>
      <c r="H194" s="38" t="s">
        <v>98</v>
      </c>
      <c r="I194" s="38" t="s">
        <v>1162</v>
      </c>
      <c r="J194" s="60" t="s">
        <v>1231</v>
      </c>
      <c r="K194" s="58">
        <v>45621.0</v>
      </c>
      <c r="L194" s="38" t="s">
        <v>862</v>
      </c>
      <c r="M194" s="63" t="s">
        <v>919</v>
      </c>
      <c r="N194" s="66">
        <v>45604.0</v>
      </c>
      <c r="O194" s="50">
        <f t="shared" si="25"/>
        <v>45514</v>
      </c>
      <c r="P194" s="35" t="s">
        <v>920</v>
      </c>
      <c r="Q194" s="35" t="s">
        <v>921</v>
      </c>
      <c r="R194" s="35" t="s">
        <v>286</v>
      </c>
      <c r="S194" s="45" t="b">
        <v>1</v>
      </c>
      <c r="T194" s="43">
        <f>IFERROR(__xludf.DUMMYFUNCTION("IFERROR(VLOOKUP(C194,IMPORTRANGE(""https://docs.google.com/spreadsheets/d/1RmEXtNg60OGvqZjyMxiYNPJ6S_kcz01v57qrHugDWVc/edit#gid=0"",""Chegadas!E:AQ""),19,0),"""")"),45387.0)</f>
        <v>45387</v>
      </c>
      <c r="U194" s="59" t="s">
        <v>242</v>
      </c>
      <c r="V194" s="60" t="s">
        <v>922</v>
      </c>
      <c r="W194" s="61">
        <f>IFERROR(IF(U194="Ativo","Ativo",IF(U194="SKU excluído","Vencido",VLOOKUP(C194,Encerramentos!B:G,6,0))),"")</f>
        <v>46324</v>
      </c>
    </row>
    <row r="195" hidden="1">
      <c r="A195" s="49" t="s">
        <v>231</v>
      </c>
      <c r="B195" s="33" t="str">
        <f t="shared" si="12"/>
        <v/>
      </c>
      <c r="C195" s="34" t="s">
        <v>1003</v>
      </c>
      <c r="D195" s="35" t="s">
        <v>1204</v>
      </c>
      <c r="E195" s="35" t="s">
        <v>915</v>
      </c>
      <c r="F195" s="36" t="s">
        <v>1004</v>
      </c>
      <c r="G195" s="37" t="s">
        <v>917</v>
      </c>
      <c r="H195" s="38" t="s">
        <v>98</v>
      </c>
      <c r="I195" s="38" t="s">
        <v>1206</v>
      </c>
      <c r="J195" s="60" t="s">
        <v>1232</v>
      </c>
      <c r="K195" s="58">
        <v>45621.0</v>
      </c>
      <c r="L195" s="38" t="s">
        <v>862</v>
      </c>
      <c r="M195" s="63" t="s">
        <v>919</v>
      </c>
      <c r="N195" s="66">
        <v>45604.0</v>
      </c>
      <c r="O195" s="50">
        <f t="shared" si="25"/>
        <v>45514</v>
      </c>
      <c r="P195" s="35" t="s">
        <v>920</v>
      </c>
      <c r="Q195" s="35" t="s">
        <v>921</v>
      </c>
      <c r="R195" s="35" t="s">
        <v>286</v>
      </c>
      <c r="S195" s="45" t="b">
        <v>1</v>
      </c>
      <c r="T195" s="43">
        <f>IFERROR(__xludf.DUMMYFUNCTION("IFERROR(VLOOKUP(C195,IMPORTRANGE(""https://docs.google.com/spreadsheets/d/1RmEXtNg60OGvqZjyMxiYNPJ6S_kcz01v57qrHugDWVc/edit#gid=0"",""Chegadas!E:AQ""),19,0),"""")"),45143.0)</f>
        <v>45143</v>
      </c>
      <c r="U195" s="59" t="s">
        <v>242</v>
      </c>
      <c r="V195" s="60" t="s">
        <v>922</v>
      </c>
      <c r="W195" s="61">
        <f>IFERROR(IF(U195="Ativo","Ativo",IF(U195="SKU excluído","Vencido",VLOOKUP(C195,Encerramentos!B:G,6,0))),"")</f>
        <v>45683</v>
      </c>
    </row>
    <row r="196" hidden="1">
      <c r="A196" s="49" t="s">
        <v>231</v>
      </c>
      <c r="B196" s="33" t="str">
        <f t="shared" si="12"/>
        <v/>
      </c>
      <c r="C196" s="34" t="s">
        <v>968</v>
      </c>
      <c r="D196" s="35" t="s">
        <v>1204</v>
      </c>
      <c r="E196" s="35" t="s">
        <v>915</v>
      </c>
      <c r="F196" s="36" t="s">
        <v>970</v>
      </c>
      <c r="G196" s="37" t="s">
        <v>917</v>
      </c>
      <c r="H196" s="38" t="s">
        <v>98</v>
      </c>
      <c r="I196" s="38" t="s">
        <v>1162</v>
      </c>
      <c r="J196" s="60" t="s">
        <v>1233</v>
      </c>
      <c r="K196" s="58">
        <v>45621.0</v>
      </c>
      <c r="L196" s="38" t="s">
        <v>862</v>
      </c>
      <c r="M196" s="63" t="s">
        <v>919</v>
      </c>
      <c r="N196" s="66">
        <v>45604.0</v>
      </c>
      <c r="O196" s="50">
        <f t="shared" si="25"/>
        <v>45514</v>
      </c>
      <c r="P196" s="35" t="s">
        <v>920</v>
      </c>
      <c r="Q196" s="35" t="s">
        <v>921</v>
      </c>
      <c r="R196" s="35" t="s">
        <v>286</v>
      </c>
      <c r="S196" s="45" t="b">
        <v>1</v>
      </c>
      <c r="T196" s="43">
        <f>IFERROR(__xludf.DUMMYFUNCTION("IFERROR(VLOOKUP(C196,IMPORTRANGE(""https://docs.google.com/spreadsheets/d/1RmEXtNg60OGvqZjyMxiYNPJ6S_kcz01v57qrHugDWVc/edit#gid=0"",""Chegadas!E:AQ""),19,0),"""")"),45143.0)</f>
        <v>45143</v>
      </c>
      <c r="U196" s="59" t="s">
        <v>242</v>
      </c>
      <c r="V196" s="60" t="s">
        <v>922</v>
      </c>
      <c r="W196" s="61">
        <f>IFERROR(IF(U196="Ativo","Ativo",IF(U196="SKU excluído","Vencido",VLOOKUP(C196,Encerramentos!B:G,6,0))),"")</f>
        <v>45683</v>
      </c>
    </row>
    <row r="197" hidden="1">
      <c r="A197" s="49" t="s">
        <v>231</v>
      </c>
      <c r="B197" s="33" t="str">
        <f t="shared" si="12"/>
        <v/>
      </c>
      <c r="C197" s="34" t="s">
        <v>1234</v>
      </c>
      <c r="D197" s="35" t="s">
        <v>1235</v>
      </c>
      <c r="E197" s="35" t="s">
        <v>1236</v>
      </c>
      <c r="F197" s="36" t="s">
        <v>1237</v>
      </c>
      <c r="G197" s="37" t="s">
        <v>917</v>
      </c>
      <c r="H197" s="38" t="s">
        <v>98</v>
      </c>
      <c r="I197" s="38" t="s">
        <v>1162</v>
      </c>
      <c r="J197" s="91" t="s">
        <v>1238</v>
      </c>
      <c r="K197" s="58">
        <v>45750.0</v>
      </c>
      <c r="L197" s="38" t="s">
        <v>862</v>
      </c>
      <c r="M197" s="45" t="s">
        <v>1239</v>
      </c>
      <c r="N197" s="66">
        <v>46133.0</v>
      </c>
      <c r="O197" s="50">
        <f t="shared" si="25"/>
        <v>46043</v>
      </c>
      <c r="P197" s="35" t="s">
        <v>1240</v>
      </c>
      <c r="Q197" s="35" t="s">
        <v>1241</v>
      </c>
      <c r="R197" s="35" t="s">
        <v>286</v>
      </c>
      <c r="S197" s="45" t="b">
        <v>1</v>
      </c>
      <c r="T197" s="43">
        <f>IFERROR(__xludf.DUMMYFUNCTION("IFERROR(VLOOKUP(C197,IMPORTRANGE(""https://docs.google.com/spreadsheets/d/1RmEXtNg60OGvqZjyMxiYNPJ6S_kcz01v57qrHugDWVc/edit#gid=0"",""Chegadas!E:AQ""),19,0),"""")"),45551.0)</f>
        <v>45551</v>
      </c>
      <c r="U197" s="88" t="s">
        <v>393</v>
      </c>
      <c r="V197" s="60" t="s">
        <v>1242</v>
      </c>
      <c r="W197" s="61" t="str">
        <f>IFERROR(IF(U197="Ativo","Ativo",IF(U197="SKU excluído","Vencido",VLOOKUP(C197,Encerramentos!B:G,6,0))),"")</f>
        <v>Ativo</v>
      </c>
    </row>
    <row r="198" hidden="1">
      <c r="A198" s="49" t="s">
        <v>231</v>
      </c>
      <c r="B198" s="33" t="str">
        <f t="shared" si="12"/>
        <v/>
      </c>
      <c r="C198" s="34" t="s">
        <v>1243</v>
      </c>
      <c r="D198" s="35" t="s">
        <v>1235</v>
      </c>
      <c r="E198" s="35" t="s">
        <v>1236</v>
      </c>
      <c r="F198" s="36" t="s">
        <v>1244</v>
      </c>
      <c r="G198" s="37" t="s">
        <v>917</v>
      </c>
      <c r="H198" s="38" t="s">
        <v>98</v>
      </c>
      <c r="I198" s="38" t="s">
        <v>1162</v>
      </c>
      <c r="J198" s="91" t="s">
        <v>1245</v>
      </c>
      <c r="K198" s="58">
        <v>45750.0</v>
      </c>
      <c r="L198" s="38" t="s">
        <v>862</v>
      </c>
      <c r="M198" s="45" t="s">
        <v>1239</v>
      </c>
      <c r="N198" s="66">
        <v>46133.0</v>
      </c>
      <c r="O198" s="50">
        <f t="shared" si="25"/>
        <v>46043</v>
      </c>
      <c r="P198" s="35" t="s">
        <v>1240</v>
      </c>
      <c r="Q198" s="35" t="s">
        <v>1241</v>
      </c>
      <c r="R198" s="35" t="s">
        <v>286</v>
      </c>
      <c r="S198" s="45" t="b">
        <v>1</v>
      </c>
      <c r="T198" s="43">
        <f>IFERROR(__xludf.DUMMYFUNCTION("IFERROR(VLOOKUP(C198,IMPORTRANGE(""https://docs.google.com/spreadsheets/d/1RmEXtNg60OGvqZjyMxiYNPJ6S_kcz01v57qrHugDWVc/edit#gid=0"",""Chegadas!E:AQ""),19,0),"""")"),45551.0)</f>
        <v>45551</v>
      </c>
      <c r="U198" s="88" t="s">
        <v>393</v>
      </c>
      <c r="V198" s="60" t="s">
        <v>1242</v>
      </c>
      <c r="W198" s="61" t="str">
        <f>IFERROR(IF(U198="Ativo","Ativo",IF(U198="SKU excluído","Vencido",VLOOKUP(C198,Encerramentos!B:G,6,0))),"")</f>
        <v>Ativo</v>
      </c>
    </row>
    <row r="199" hidden="1">
      <c r="A199" s="49" t="s">
        <v>231</v>
      </c>
      <c r="B199" s="33" t="str">
        <f t="shared" si="12"/>
        <v/>
      </c>
      <c r="C199" s="34" t="s">
        <v>1246</v>
      </c>
      <c r="D199" s="35" t="s">
        <v>1235</v>
      </c>
      <c r="E199" s="35" t="s">
        <v>1236</v>
      </c>
      <c r="F199" s="36" t="s">
        <v>1247</v>
      </c>
      <c r="G199" s="37" t="s">
        <v>917</v>
      </c>
      <c r="H199" s="38" t="s">
        <v>98</v>
      </c>
      <c r="I199" s="38" t="s">
        <v>1162</v>
      </c>
      <c r="J199" s="91" t="s">
        <v>1248</v>
      </c>
      <c r="K199" s="58">
        <v>45750.0</v>
      </c>
      <c r="L199" s="38" t="s">
        <v>862</v>
      </c>
      <c r="M199" s="45" t="s">
        <v>1239</v>
      </c>
      <c r="N199" s="66">
        <v>46133.0</v>
      </c>
      <c r="O199" s="50">
        <f t="shared" si="25"/>
        <v>46043</v>
      </c>
      <c r="P199" s="35" t="s">
        <v>1240</v>
      </c>
      <c r="Q199" s="35" t="s">
        <v>1241</v>
      </c>
      <c r="R199" s="35" t="s">
        <v>286</v>
      </c>
      <c r="S199" s="45" t="b">
        <v>1</v>
      </c>
      <c r="T199" s="43">
        <f>IFERROR(__xludf.DUMMYFUNCTION("IFERROR(VLOOKUP(C199,IMPORTRANGE(""https://docs.google.com/spreadsheets/d/1RmEXtNg60OGvqZjyMxiYNPJ6S_kcz01v57qrHugDWVc/edit#gid=0"",""Chegadas!E:AQ""),19,0),"""")"),45551.0)</f>
        <v>45551</v>
      </c>
      <c r="U199" s="88" t="s">
        <v>393</v>
      </c>
      <c r="V199" s="60" t="s">
        <v>1242</v>
      </c>
      <c r="W199" s="61" t="str">
        <f>IFERROR(IF(U199="Ativo","Ativo",IF(U199="SKU excluído","Vencido",VLOOKUP(C199,Encerramentos!B:G,6,0))),"")</f>
        <v>Ativo</v>
      </c>
    </row>
    <row r="200" hidden="1">
      <c r="A200" s="49" t="s">
        <v>231</v>
      </c>
      <c r="B200" s="33" t="str">
        <f t="shared" si="12"/>
        <v/>
      </c>
      <c r="C200" s="34" t="s">
        <v>1249</v>
      </c>
      <c r="D200" s="35" t="s">
        <v>1235</v>
      </c>
      <c r="E200" s="35" t="s">
        <v>1236</v>
      </c>
      <c r="F200" s="36" t="s">
        <v>1250</v>
      </c>
      <c r="G200" s="37" t="s">
        <v>917</v>
      </c>
      <c r="H200" s="38" t="s">
        <v>98</v>
      </c>
      <c r="I200" s="38" t="s">
        <v>1162</v>
      </c>
      <c r="J200" s="91" t="s">
        <v>1251</v>
      </c>
      <c r="K200" s="58">
        <v>45750.0</v>
      </c>
      <c r="L200" s="38" t="s">
        <v>862</v>
      </c>
      <c r="M200" s="45" t="s">
        <v>1239</v>
      </c>
      <c r="N200" s="66">
        <v>46133.0</v>
      </c>
      <c r="O200" s="50">
        <f t="shared" si="25"/>
        <v>46043</v>
      </c>
      <c r="P200" s="35" t="s">
        <v>1240</v>
      </c>
      <c r="Q200" s="35" t="s">
        <v>1241</v>
      </c>
      <c r="R200" s="35" t="s">
        <v>286</v>
      </c>
      <c r="S200" s="45" t="b">
        <v>1</v>
      </c>
      <c r="T200" s="43">
        <f>IFERROR(__xludf.DUMMYFUNCTION("IFERROR(VLOOKUP(C200,IMPORTRANGE(""https://docs.google.com/spreadsheets/d/1RmEXtNg60OGvqZjyMxiYNPJ6S_kcz01v57qrHugDWVc/edit#gid=0"",""Chegadas!E:AQ""),19,0),"""")"),45551.0)</f>
        <v>45551</v>
      </c>
      <c r="U200" s="88" t="s">
        <v>393</v>
      </c>
      <c r="V200" s="60" t="s">
        <v>1242</v>
      </c>
      <c r="W200" s="61" t="str">
        <f>IFERROR(IF(U200="Ativo","Ativo",IF(U200="SKU excluído","Vencido",VLOOKUP(C200,Encerramentos!B:G,6,0))),"")</f>
        <v>Ativo</v>
      </c>
    </row>
    <row r="201" hidden="1">
      <c r="A201" s="49" t="s">
        <v>231</v>
      </c>
      <c r="B201" s="33" t="str">
        <f t="shared" si="12"/>
        <v/>
      </c>
      <c r="C201" s="34" t="s">
        <v>1252</v>
      </c>
      <c r="D201" s="35" t="s">
        <v>1235</v>
      </c>
      <c r="E201" s="35" t="s">
        <v>1236</v>
      </c>
      <c r="F201" s="36" t="s">
        <v>1253</v>
      </c>
      <c r="G201" s="37" t="s">
        <v>917</v>
      </c>
      <c r="H201" s="38" t="s">
        <v>98</v>
      </c>
      <c r="I201" s="38" t="s">
        <v>1162</v>
      </c>
      <c r="J201" s="91" t="s">
        <v>1254</v>
      </c>
      <c r="K201" s="58">
        <v>45750.0</v>
      </c>
      <c r="L201" s="38" t="s">
        <v>862</v>
      </c>
      <c r="M201" s="45" t="s">
        <v>1239</v>
      </c>
      <c r="N201" s="66">
        <v>46133.0</v>
      </c>
      <c r="O201" s="50">
        <f t="shared" si="25"/>
        <v>46043</v>
      </c>
      <c r="P201" s="35" t="s">
        <v>1240</v>
      </c>
      <c r="Q201" s="35" t="s">
        <v>1241</v>
      </c>
      <c r="R201" s="35" t="s">
        <v>286</v>
      </c>
      <c r="S201" s="45" t="b">
        <v>1</v>
      </c>
      <c r="T201" s="43">
        <f>IFERROR(__xludf.DUMMYFUNCTION("IFERROR(VLOOKUP(C201,IMPORTRANGE(""https://docs.google.com/spreadsheets/d/1RmEXtNg60OGvqZjyMxiYNPJ6S_kcz01v57qrHugDWVc/edit#gid=0"",""Chegadas!E:AQ""),19,0),"""")"),45556.0)</f>
        <v>45556</v>
      </c>
      <c r="U201" s="88" t="s">
        <v>393</v>
      </c>
      <c r="V201" s="60" t="s">
        <v>1242</v>
      </c>
      <c r="W201" s="61" t="str">
        <f>IFERROR(IF(U201="Ativo","Ativo",IF(U201="SKU excluído","Vencido",VLOOKUP(C201,Encerramentos!B:G,6,0))),"")</f>
        <v>Ativo</v>
      </c>
    </row>
    <row r="202" hidden="1">
      <c r="A202" s="49" t="s">
        <v>231</v>
      </c>
      <c r="B202" s="33" t="str">
        <f t="shared" si="12"/>
        <v/>
      </c>
      <c r="C202" s="34" t="s">
        <v>1255</v>
      </c>
      <c r="D202" s="35" t="s">
        <v>1235</v>
      </c>
      <c r="E202" s="35" t="s">
        <v>1236</v>
      </c>
      <c r="F202" s="36" t="s">
        <v>1256</v>
      </c>
      <c r="G202" s="37" t="s">
        <v>917</v>
      </c>
      <c r="H202" s="38" t="s">
        <v>98</v>
      </c>
      <c r="I202" s="38" t="s">
        <v>1162</v>
      </c>
      <c r="J202" s="91" t="s">
        <v>1257</v>
      </c>
      <c r="K202" s="58">
        <v>45750.0</v>
      </c>
      <c r="L202" s="38" t="s">
        <v>862</v>
      </c>
      <c r="M202" s="45" t="s">
        <v>1239</v>
      </c>
      <c r="N202" s="66">
        <v>46133.0</v>
      </c>
      <c r="O202" s="50">
        <f t="shared" si="25"/>
        <v>46043</v>
      </c>
      <c r="P202" s="35" t="s">
        <v>1240</v>
      </c>
      <c r="Q202" s="35" t="s">
        <v>1241</v>
      </c>
      <c r="R202" s="35" t="s">
        <v>286</v>
      </c>
      <c r="S202" s="45" t="b">
        <v>1</v>
      </c>
      <c r="T202" s="43">
        <f>IFERROR(__xludf.DUMMYFUNCTION("IFERROR(VLOOKUP(C202,IMPORTRANGE(""https://docs.google.com/spreadsheets/d/1RmEXtNg60OGvqZjyMxiYNPJ6S_kcz01v57qrHugDWVc/edit#gid=0"",""Chegadas!E:AQ""),19,0),"""")"),45551.0)</f>
        <v>45551</v>
      </c>
      <c r="U202" s="88" t="s">
        <v>393</v>
      </c>
      <c r="V202" s="60" t="s">
        <v>1242</v>
      </c>
      <c r="W202" s="61" t="str">
        <f>IFERROR(IF(U202="Ativo","Ativo",IF(U202="SKU excluído","Vencido",VLOOKUP(C202,Encerramentos!B:G,6,0))),"")</f>
        <v>Ativo</v>
      </c>
    </row>
    <row r="203" hidden="1">
      <c r="A203" s="49" t="s">
        <v>231</v>
      </c>
      <c r="B203" s="33" t="str">
        <f t="shared" si="12"/>
        <v/>
      </c>
      <c r="C203" s="34" t="s">
        <v>1258</v>
      </c>
      <c r="D203" s="35" t="s">
        <v>1235</v>
      </c>
      <c r="E203" s="35" t="s">
        <v>1236</v>
      </c>
      <c r="F203" s="36" t="s">
        <v>1259</v>
      </c>
      <c r="G203" s="37" t="s">
        <v>917</v>
      </c>
      <c r="H203" s="38" t="s">
        <v>98</v>
      </c>
      <c r="I203" s="38" t="s">
        <v>1162</v>
      </c>
      <c r="J203" s="91" t="s">
        <v>1260</v>
      </c>
      <c r="K203" s="58">
        <v>45750.0</v>
      </c>
      <c r="L203" s="38" t="s">
        <v>862</v>
      </c>
      <c r="M203" s="45" t="s">
        <v>1239</v>
      </c>
      <c r="N203" s="66">
        <v>46133.0</v>
      </c>
      <c r="O203" s="50">
        <f t="shared" si="25"/>
        <v>46043</v>
      </c>
      <c r="P203" s="35" t="s">
        <v>1240</v>
      </c>
      <c r="Q203" s="35" t="s">
        <v>1241</v>
      </c>
      <c r="R203" s="35" t="s">
        <v>286</v>
      </c>
      <c r="S203" s="45" t="b">
        <v>1</v>
      </c>
      <c r="T203" s="43">
        <f>IFERROR(__xludf.DUMMYFUNCTION("IFERROR(VLOOKUP(C203,IMPORTRANGE(""https://docs.google.com/spreadsheets/d/1RmEXtNg60OGvqZjyMxiYNPJ6S_kcz01v57qrHugDWVc/edit#gid=0"",""Chegadas!E:AQ""),19,0),"""")"),45551.0)</f>
        <v>45551</v>
      </c>
      <c r="U203" s="88" t="s">
        <v>393</v>
      </c>
      <c r="V203" s="60" t="s">
        <v>1242</v>
      </c>
      <c r="W203" s="61" t="str">
        <f>IFERROR(IF(U203="Ativo","Ativo",IF(U203="SKU excluído","Vencido",VLOOKUP(C203,Encerramentos!B:G,6,0))),"")</f>
        <v>Ativo</v>
      </c>
    </row>
    <row r="204" hidden="1">
      <c r="A204" s="49" t="s">
        <v>231</v>
      </c>
      <c r="B204" s="33" t="str">
        <f t="shared" si="12"/>
        <v/>
      </c>
      <c r="C204" s="34" t="s">
        <v>1261</v>
      </c>
      <c r="D204" s="35" t="s">
        <v>1235</v>
      </c>
      <c r="E204" s="35" t="s">
        <v>1236</v>
      </c>
      <c r="F204" s="36" t="s">
        <v>1262</v>
      </c>
      <c r="G204" s="37" t="s">
        <v>917</v>
      </c>
      <c r="H204" s="38" t="s">
        <v>98</v>
      </c>
      <c r="I204" s="38" t="s">
        <v>1162</v>
      </c>
      <c r="J204" s="91" t="s">
        <v>1263</v>
      </c>
      <c r="K204" s="58">
        <v>45750.0</v>
      </c>
      <c r="L204" s="38" t="s">
        <v>862</v>
      </c>
      <c r="M204" s="45" t="s">
        <v>1239</v>
      </c>
      <c r="N204" s="66">
        <v>46133.0</v>
      </c>
      <c r="O204" s="50">
        <f t="shared" si="25"/>
        <v>46043</v>
      </c>
      <c r="P204" s="35" t="s">
        <v>1240</v>
      </c>
      <c r="Q204" s="35" t="s">
        <v>1241</v>
      </c>
      <c r="R204" s="35" t="s">
        <v>286</v>
      </c>
      <c r="S204" s="45" t="b">
        <v>1</v>
      </c>
      <c r="T204" s="43">
        <f>IFERROR(__xludf.DUMMYFUNCTION("IFERROR(VLOOKUP(C204,IMPORTRANGE(""https://docs.google.com/spreadsheets/d/1RmEXtNg60OGvqZjyMxiYNPJ6S_kcz01v57qrHugDWVc/edit#gid=0"",""Chegadas!E:AQ""),19,0),"""")"),45551.0)</f>
        <v>45551</v>
      </c>
      <c r="U204" s="88" t="s">
        <v>393</v>
      </c>
      <c r="V204" s="60" t="s">
        <v>1242</v>
      </c>
      <c r="W204" s="61" t="str">
        <f>IFERROR(IF(U204="Ativo","Ativo",IF(U204="SKU excluído","Vencido",VLOOKUP(C204,Encerramentos!B:G,6,0))),"")</f>
        <v>Ativo</v>
      </c>
    </row>
    <row r="205" hidden="1">
      <c r="A205" s="49" t="s">
        <v>231</v>
      </c>
      <c r="B205" s="33" t="str">
        <f t="shared" si="12"/>
        <v/>
      </c>
      <c r="C205" s="34" t="s">
        <v>1003</v>
      </c>
      <c r="D205" s="92" t="s">
        <v>1235</v>
      </c>
      <c r="E205" s="35" t="s">
        <v>1236</v>
      </c>
      <c r="F205" s="36" t="s">
        <v>1004</v>
      </c>
      <c r="G205" s="37" t="s">
        <v>917</v>
      </c>
      <c r="H205" s="38" t="s">
        <v>98</v>
      </c>
      <c r="I205" s="38" t="s">
        <v>1264</v>
      </c>
      <c r="J205" s="91" t="s">
        <v>1265</v>
      </c>
      <c r="K205" s="58">
        <v>45750.0</v>
      </c>
      <c r="L205" s="38" t="s">
        <v>862</v>
      </c>
      <c r="M205" s="45" t="s">
        <v>1239</v>
      </c>
      <c r="N205" s="66">
        <v>46133.0</v>
      </c>
      <c r="O205" s="50">
        <f t="shared" si="25"/>
        <v>46043</v>
      </c>
      <c r="P205" s="35" t="s">
        <v>1240</v>
      </c>
      <c r="Q205" s="35" t="s">
        <v>1241</v>
      </c>
      <c r="R205" s="35" t="s">
        <v>286</v>
      </c>
      <c r="S205" s="45" t="b">
        <v>1</v>
      </c>
      <c r="T205" s="43">
        <f>IFERROR(__xludf.DUMMYFUNCTION("IFERROR(VLOOKUP(C205,IMPORTRANGE(""https://docs.google.com/spreadsheets/d/1RmEXtNg60OGvqZjyMxiYNPJ6S_kcz01v57qrHugDWVc/edit#gid=0"",""Chegadas!E:AQ""),19,0),"""")"),45143.0)</f>
        <v>45143</v>
      </c>
      <c r="U205" s="88" t="s">
        <v>393</v>
      </c>
      <c r="V205" s="60" t="s">
        <v>1242</v>
      </c>
      <c r="W205" s="61" t="str">
        <f>IFERROR(IF(U205="Ativo","Ativo",IF(U205="SKU excluído","Vencido",VLOOKUP(C205,Encerramentos!B:G,6,0))),"")</f>
        <v>Ativo</v>
      </c>
    </row>
    <row r="206" hidden="1">
      <c r="A206" s="49" t="s">
        <v>231</v>
      </c>
      <c r="B206" s="33" t="str">
        <f t="shared" si="12"/>
        <v/>
      </c>
      <c r="C206" s="34" t="s">
        <v>1009</v>
      </c>
      <c r="D206" s="35" t="s">
        <v>1266</v>
      </c>
      <c r="E206" s="35" t="s">
        <v>1236</v>
      </c>
      <c r="F206" s="36" t="s">
        <v>1011</v>
      </c>
      <c r="G206" s="37" t="s">
        <v>917</v>
      </c>
      <c r="H206" s="38" t="s">
        <v>98</v>
      </c>
      <c r="I206" s="38" t="s">
        <v>1267</v>
      </c>
      <c r="J206" s="91" t="s">
        <v>1268</v>
      </c>
      <c r="K206" s="58">
        <v>45770.0</v>
      </c>
      <c r="L206" s="38" t="s">
        <v>862</v>
      </c>
      <c r="M206" s="45" t="s">
        <v>1239</v>
      </c>
      <c r="N206" s="66">
        <v>46189.0</v>
      </c>
      <c r="O206" s="50">
        <f t="shared" si="25"/>
        <v>46099</v>
      </c>
      <c r="P206" s="35" t="s">
        <v>1269</v>
      </c>
      <c r="Q206" s="35" t="s">
        <v>1270</v>
      </c>
      <c r="R206" s="35" t="s">
        <v>286</v>
      </c>
      <c r="S206" s="45" t="b">
        <v>1</v>
      </c>
      <c r="T206" s="43">
        <f>IFERROR(__xludf.DUMMYFUNCTION("IFERROR(VLOOKUP(C206,IMPORTRANGE(""https://docs.google.com/spreadsheets/d/1RmEXtNg60OGvqZjyMxiYNPJ6S_kcz01v57qrHugDWVc/edit#gid=0"",""Chegadas!E:AQ""),19,0),"""")"),45204.0)</f>
        <v>45204</v>
      </c>
      <c r="U206" s="88" t="s">
        <v>393</v>
      </c>
      <c r="V206" s="60" t="s">
        <v>1271</v>
      </c>
      <c r="W206" s="61" t="str">
        <f>IFERROR(IF(U206="Ativo","Ativo",IF(U206="SKU excluído","Vencido",VLOOKUP(C206,Encerramentos!B:G,6,0))),"")</f>
        <v>Ativo</v>
      </c>
    </row>
    <row r="207" hidden="1">
      <c r="A207" s="49" t="s">
        <v>231</v>
      </c>
      <c r="B207" s="33" t="str">
        <f t="shared" si="12"/>
        <v/>
      </c>
      <c r="C207" s="34" t="s">
        <v>1272</v>
      </c>
      <c r="D207" s="35" t="s">
        <v>1273</v>
      </c>
      <c r="E207" s="35" t="s">
        <v>1144</v>
      </c>
      <c r="F207" s="36" t="s">
        <v>1274</v>
      </c>
      <c r="G207" s="37" t="s">
        <v>387</v>
      </c>
      <c r="H207" s="38" t="s">
        <v>236</v>
      </c>
      <c r="I207" s="38" t="s">
        <v>1162</v>
      </c>
      <c r="J207" s="91" t="s">
        <v>1275</v>
      </c>
      <c r="K207" s="58">
        <v>45924.0</v>
      </c>
      <c r="L207" s="38" t="s">
        <v>239</v>
      </c>
      <c r="M207" s="63" t="s">
        <v>1114</v>
      </c>
      <c r="N207" s="66">
        <v>46627.0</v>
      </c>
      <c r="O207" s="50">
        <f t="shared" si="25"/>
        <v>46537</v>
      </c>
      <c r="P207" s="35" t="s">
        <v>1147</v>
      </c>
      <c r="Q207" s="35" t="s">
        <v>1148</v>
      </c>
      <c r="R207" s="35" t="s">
        <v>533</v>
      </c>
      <c r="S207" s="45" t="b">
        <v>1</v>
      </c>
      <c r="T207" s="43">
        <f>IFERROR(__xludf.DUMMYFUNCTION("IFERROR(VLOOKUP(C207,IMPORTRANGE(""https://docs.google.com/spreadsheets/d/1RmEXtNg60OGvqZjyMxiYNPJ6S_kcz01v57qrHugDWVc/edit#gid=0"",""Chegadas!E:AQ""),19,0),"""")"),45481.0)</f>
        <v>45481</v>
      </c>
      <c r="U207" s="73" t="s">
        <v>393</v>
      </c>
      <c r="V207" s="84" t="s">
        <v>1276</v>
      </c>
      <c r="W207" s="61" t="str">
        <f>IFERROR(IF(U207="Ativo","Ativo",IF(U207="SKU excluído","Vencido",VLOOKUP(C207,Encerramentos!B:G,6,0))),"")</f>
        <v>Ativo</v>
      </c>
    </row>
    <row r="208" hidden="1">
      <c r="A208" s="49" t="s">
        <v>231</v>
      </c>
      <c r="B208" s="33" t="str">
        <f t="shared" si="12"/>
        <v/>
      </c>
      <c r="C208" s="34" t="s">
        <v>913</v>
      </c>
      <c r="D208" s="35" t="s">
        <v>1277</v>
      </c>
      <c r="E208" s="35" t="s">
        <v>1236</v>
      </c>
      <c r="F208" s="36" t="s">
        <v>916</v>
      </c>
      <c r="G208" s="37" t="s">
        <v>917</v>
      </c>
      <c r="H208" s="38" t="s">
        <v>98</v>
      </c>
      <c r="I208" s="38" t="s">
        <v>1162</v>
      </c>
      <c r="J208" s="91" t="s">
        <v>1278</v>
      </c>
      <c r="K208" s="58">
        <v>45750.0</v>
      </c>
      <c r="L208" s="38" t="s">
        <v>862</v>
      </c>
      <c r="M208" s="45" t="s">
        <v>1239</v>
      </c>
      <c r="N208" s="66">
        <v>46133.0</v>
      </c>
      <c r="O208" s="50">
        <f t="shared" si="25"/>
        <v>46043</v>
      </c>
      <c r="P208" s="35" t="s">
        <v>1240</v>
      </c>
      <c r="Q208" s="35" t="s">
        <v>1241</v>
      </c>
      <c r="R208" s="35" t="s">
        <v>286</v>
      </c>
      <c r="S208" s="45" t="b">
        <v>1</v>
      </c>
      <c r="T208" s="43">
        <f>IFERROR(__xludf.DUMMYFUNCTION("IFERROR(VLOOKUP(C208,IMPORTRANGE(""https://docs.google.com/spreadsheets/d/1RmEXtNg60OGvqZjyMxiYNPJ6S_kcz01v57qrHugDWVc/edit#gid=0"",""Chegadas!E:AQ""),19,0),"""")"),44962.0)</f>
        <v>44962</v>
      </c>
      <c r="U208" s="88" t="s">
        <v>393</v>
      </c>
      <c r="V208" s="60" t="s">
        <v>1242</v>
      </c>
      <c r="W208" s="61" t="str">
        <f>IFERROR(IF(U208="Ativo","Ativo",IF(U208="SKU excluído","Vencido",VLOOKUP(C208,Encerramentos!B:G,6,0))),"")</f>
        <v>Ativo</v>
      </c>
    </row>
    <row r="209" hidden="1">
      <c r="A209" s="49" t="s">
        <v>231</v>
      </c>
      <c r="B209" s="33" t="str">
        <f t="shared" si="12"/>
        <v/>
      </c>
      <c r="C209" s="34" t="s">
        <v>1179</v>
      </c>
      <c r="D209" s="35" t="s">
        <v>1277</v>
      </c>
      <c r="E209" s="35" t="s">
        <v>1236</v>
      </c>
      <c r="F209" s="36" t="s">
        <v>1180</v>
      </c>
      <c r="G209" s="37" t="s">
        <v>917</v>
      </c>
      <c r="H209" s="38" t="s">
        <v>98</v>
      </c>
      <c r="I209" s="38" t="s">
        <v>1162</v>
      </c>
      <c r="J209" s="91" t="s">
        <v>1279</v>
      </c>
      <c r="K209" s="58">
        <v>45750.0</v>
      </c>
      <c r="L209" s="38" t="s">
        <v>862</v>
      </c>
      <c r="M209" s="45" t="s">
        <v>1239</v>
      </c>
      <c r="N209" s="66">
        <v>46133.0</v>
      </c>
      <c r="O209" s="50">
        <f t="shared" si="25"/>
        <v>46043</v>
      </c>
      <c r="P209" s="35" t="s">
        <v>1240</v>
      </c>
      <c r="Q209" s="35" t="s">
        <v>1241</v>
      </c>
      <c r="R209" s="35" t="s">
        <v>286</v>
      </c>
      <c r="S209" s="45" t="b">
        <v>1</v>
      </c>
      <c r="T209" s="43">
        <f>IFERROR(__xludf.DUMMYFUNCTION("IFERROR(VLOOKUP(C209,IMPORTRANGE(""https://docs.google.com/spreadsheets/d/1RmEXtNg60OGvqZjyMxiYNPJ6S_kcz01v57qrHugDWVc/edit#gid=0"",""Chegadas!E:AQ""),19,0),"""")"),45327.0)</f>
        <v>45327</v>
      </c>
      <c r="U209" s="88" t="s">
        <v>393</v>
      </c>
      <c r="V209" s="60" t="s">
        <v>1242</v>
      </c>
      <c r="W209" s="61" t="str">
        <f>IFERROR(IF(U209="Ativo","Ativo",IF(U209="SKU excluído","Vencido",VLOOKUP(C209,Encerramentos!B:G,6,0))),"")</f>
        <v>Ativo</v>
      </c>
    </row>
    <row r="210" hidden="1">
      <c r="A210" s="49" t="s">
        <v>231</v>
      </c>
      <c r="B210" s="33" t="str">
        <f t="shared" si="12"/>
        <v/>
      </c>
      <c r="C210" s="34" t="s">
        <v>1167</v>
      </c>
      <c r="D210" s="35" t="s">
        <v>1277</v>
      </c>
      <c r="E210" s="35" t="s">
        <v>1236</v>
      </c>
      <c r="F210" s="36" t="s">
        <v>1168</v>
      </c>
      <c r="G210" s="37" t="s">
        <v>917</v>
      </c>
      <c r="H210" s="38" t="s">
        <v>98</v>
      </c>
      <c r="I210" s="38" t="s">
        <v>1162</v>
      </c>
      <c r="J210" s="91" t="s">
        <v>1280</v>
      </c>
      <c r="K210" s="58">
        <v>45750.0</v>
      </c>
      <c r="L210" s="38" t="s">
        <v>862</v>
      </c>
      <c r="M210" s="45" t="s">
        <v>1239</v>
      </c>
      <c r="N210" s="66">
        <v>46133.0</v>
      </c>
      <c r="O210" s="50">
        <f t="shared" si="25"/>
        <v>46043</v>
      </c>
      <c r="P210" s="35" t="s">
        <v>1240</v>
      </c>
      <c r="Q210" s="35" t="s">
        <v>1241</v>
      </c>
      <c r="R210" s="35" t="s">
        <v>286</v>
      </c>
      <c r="S210" s="45" t="b">
        <v>1</v>
      </c>
      <c r="T210" s="43">
        <f>IFERROR(__xludf.DUMMYFUNCTION("IFERROR(VLOOKUP(C210,IMPORTRANGE(""https://docs.google.com/spreadsheets/d/1RmEXtNg60OGvqZjyMxiYNPJ6S_kcz01v57qrHugDWVc/edit#gid=0"",""Chegadas!E:AQ""),19,0),"""")"),45327.0)</f>
        <v>45327</v>
      </c>
      <c r="U210" s="88" t="s">
        <v>393</v>
      </c>
      <c r="V210" s="60" t="s">
        <v>1242</v>
      </c>
      <c r="W210" s="61" t="str">
        <f>IFERROR(IF(U210="Ativo","Ativo",IF(U210="SKU excluído","Vencido",VLOOKUP(C210,Encerramentos!B:G,6,0))),"")</f>
        <v>Ativo</v>
      </c>
    </row>
    <row r="211" hidden="1">
      <c r="A211" s="49" t="s">
        <v>231</v>
      </c>
      <c r="B211" s="33" t="str">
        <f t="shared" si="12"/>
        <v/>
      </c>
      <c r="C211" s="34" t="s">
        <v>923</v>
      </c>
      <c r="D211" s="35" t="s">
        <v>1277</v>
      </c>
      <c r="E211" s="35" t="s">
        <v>1236</v>
      </c>
      <c r="F211" s="36" t="s">
        <v>924</v>
      </c>
      <c r="G211" s="37" t="s">
        <v>917</v>
      </c>
      <c r="H211" s="38" t="s">
        <v>98</v>
      </c>
      <c r="I211" s="38" t="s">
        <v>1162</v>
      </c>
      <c r="J211" s="91" t="s">
        <v>1281</v>
      </c>
      <c r="K211" s="58">
        <v>45750.0</v>
      </c>
      <c r="L211" s="38" t="s">
        <v>862</v>
      </c>
      <c r="M211" s="45" t="s">
        <v>1239</v>
      </c>
      <c r="N211" s="66">
        <v>46133.0</v>
      </c>
      <c r="O211" s="50">
        <f t="shared" si="25"/>
        <v>46043</v>
      </c>
      <c r="P211" s="35" t="s">
        <v>1240</v>
      </c>
      <c r="Q211" s="35" t="s">
        <v>1241</v>
      </c>
      <c r="R211" s="35" t="s">
        <v>286</v>
      </c>
      <c r="S211" s="45" t="b">
        <v>1</v>
      </c>
      <c r="T211" s="43">
        <f>IFERROR(__xludf.DUMMYFUNCTION("IFERROR(VLOOKUP(C211,IMPORTRANGE(""https://docs.google.com/spreadsheets/d/1RmEXtNg60OGvqZjyMxiYNPJ6S_kcz01v57qrHugDWVc/edit#gid=0"",""Chegadas!E:AQ""),19,0),"""")"),44962.0)</f>
        <v>44962</v>
      </c>
      <c r="U211" s="88" t="s">
        <v>393</v>
      </c>
      <c r="V211" s="60" t="s">
        <v>1242</v>
      </c>
      <c r="W211" s="61" t="str">
        <f>IFERROR(IF(U211="Ativo","Ativo",IF(U211="SKU excluído","Vencido",VLOOKUP(C211,Encerramentos!B:G,6,0))),"")</f>
        <v>Ativo</v>
      </c>
    </row>
    <row r="212" hidden="1">
      <c r="A212" s="49" t="s">
        <v>231</v>
      </c>
      <c r="B212" s="33" t="str">
        <f t="shared" si="12"/>
        <v/>
      </c>
      <c r="C212" s="34" t="s">
        <v>968</v>
      </c>
      <c r="D212" s="35" t="s">
        <v>1277</v>
      </c>
      <c r="E212" s="35" t="s">
        <v>1236</v>
      </c>
      <c r="F212" s="36" t="s">
        <v>970</v>
      </c>
      <c r="G212" s="37" t="s">
        <v>917</v>
      </c>
      <c r="H212" s="38" t="s">
        <v>98</v>
      </c>
      <c r="I212" s="38" t="s">
        <v>1162</v>
      </c>
      <c r="J212" s="91" t="s">
        <v>1282</v>
      </c>
      <c r="K212" s="58">
        <v>45750.0</v>
      </c>
      <c r="L212" s="38" t="s">
        <v>862</v>
      </c>
      <c r="M212" s="45" t="s">
        <v>1239</v>
      </c>
      <c r="N212" s="66">
        <v>46133.0</v>
      </c>
      <c r="O212" s="50">
        <f t="shared" si="25"/>
        <v>46043</v>
      </c>
      <c r="P212" s="35" t="s">
        <v>1240</v>
      </c>
      <c r="Q212" s="35" t="s">
        <v>1241</v>
      </c>
      <c r="R212" s="35" t="s">
        <v>286</v>
      </c>
      <c r="S212" s="45" t="b">
        <v>1</v>
      </c>
      <c r="T212" s="43">
        <f>IFERROR(__xludf.DUMMYFUNCTION("IFERROR(VLOOKUP(C212,IMPORTRANGE(""https://docs.google.com/spreadsheets/d/1RmEXtNg60OGvqZjyMxiYNPJ6S_kcz01v57qrHugDWVc/edit#gid=0"",""Chegadas!E:AQ""),19,0),"""")"),45143.0)</f>
        <v>45143</v>
      </c>
      <c r="U212" s="88" t="s">
        <v>393</v>
      </c>
      <c r="V212" s="60" t="s">
        <v>1242</v>
      </c>
      <c r="W212" s="61" t="str">
        <f>IFERROR(IF(U212="Ativo","Ativo",IF(U212="SKU excluído","Vencido",VLOOKUP(C212,Encerramentos!B:G,6,0))),"")</f>
        <v>Ativo</v>
      </c>
    </row>
    <row r="213" hidden="1">
      <c r="A213" s="49" t="s">
        <v>231</v>
      </c>
      <c r="B213" s="33" t="str">
        <f t="shared" si="12"/>
        <v/>
      </c>
      <c r="C213" s="34" t="s">
        <v>1107</v>
      </c>
      <c r="D213" s="35" t="s">
        <v>1277</v>
      </c>
      <c r="E213" s="35" t="s">
        <v>1236</v>
      </c>
      <c r="F213" s="36" t="s">
        <v>1108</v>
      </c>
      <c r="G213" s="37" t="s">
        <v>917</v>
      </c>
      <c r="H213" s="38" t="s">
        <v>98</v>
      </c>
      <c r="I213" s="38" t="s">
        <v>1162</v>
      </c>
      <c r="J213" s="91" t="s">
        <v>1283</v>
      </c>
      <c r="K213" s="58">
        <v>45750.0</v>
      </c>
      <c r="L213" s="38" t="s">
        <v>862</v>
      </c>
      <c r="M213" s="45" t="s">
        <v>1239</v>
      </c>
      <c r="N213" s="66">
        <v>46133.0</v>
      </c>
      <c r="O213" s="50">
        <f t="shared" si="25"/>
        <v>46043</v>
      </c>
      <c r="P213" s="35" t="s">
        <v>1240</v>
      </c>
      <c r="Q213" s="35" t="s">
        <v>1241</v>
      </c>
      <c r="R213" s="35" t="s">
        <v>286</v>
      </c>
      <c r="S213" s="45" t="b">
        <v>1</v>
      </c>
      <c r="T213" s="43">
        <f>IFERROR(__xludf.DUMMYFUNCTION("IFERROR(VLOOKUP(C213,IMPORTRANGE(""https://docs.google.com/spreadsheets/d/1RmEXtNg60OGvqZjyMxiYNPJ6S_kcz01v57qrHugDWVc/edit#gid=0"",""Chegadas!E:AQ""),19,0),"""")"),45204.0)</f>
        <v>45204</v>
      </c>
      <c r="U213" s="88" t="s">
        <v>393</v>
      </c>
      <c r="V213" s="60" t="s">
        <v>1242</v>
      </c>
      <c r="W213" s="61" t="str">
        <f>IFERROR(IF(U213="Ativo","Ativo",IF(U213="SKU excluído","Vencido",VLOOKUP(C213,Encerramentos!B:G,6,0))),"")</f>
        <v>Ativo</v>
      </c>
    </row>
    <row r="214" hidden="1">
      <c r="A214" s="49" t="s">
        <v>231</v>
      </c>
      <c r="B214" s="33" t="str">
        <f t="shared" si="12"/>
        <v/>
      </c>
      <c r="C214" s="34" t="s">
        <v>1098</v>
      </c>
      <c r="D214" s="35" t="s">
        <v>1277</v>
      </c>
      <c r="E214" s="35" t="s">
        <v>1236</v>
      </c>
      <c r="F214" s="36" t="s">
        <v>1099</v>
      </c>
      <c r="G214" s="37" t="s">
        <v>917</v>
      </c>
      <c r="H214" s="38" t="s">
        <v>98</v>
      </c>
      <c r="I214" s="38" t="s">
        <v>1162</v>
      </c>
      <c r="J214" s="91" t="s">
        <v>1284</v>
      </c>
      <c r="K214" s="58">
        <v>45750.0</v>
      </c>
      <c r="L214" s="38" t="s">
        <v>862</v>
      </c>
      <c r="M214" s="45" t="s">
        <v>1239</v>
      </c>
      <c r="N214" s="66">
        <v>46133.0</v>
      </c>
      <c r="O214" s="50">
        <f t="shared" si="25"/>
        <v>46043</v>
      </c>
      <c r="P214" s="35" t="s">
        <v>1240</v>
      </c>
      <c r="Q214" s="35" t="s">
        <v>1241</v>
      </c>
      <c r="R214" s="35" t="s">
        <v>286</v>
      </c>
      <c r="S214" s="45" t="b">
        <v>1</v>
      </c>
      <c r="T214" s="43">
        <f>IFERROR(__xludf.DUMMYFUNCTION("IFERROR(VLOOKUP(C214,IMPORTRANGE(""https://docs.google.com/spreadsheets/d/1RmEXtNg60OGvqZjyMxiYNPJ6S_kcz01v57qrHugDWVc/edit#gid=0"",""Chegadas!E:AQ""),19,0),"""")"),45204.0)</f>
        <v>45204</v>
      </c>
      <c r="U214" s="88" t="s">
        <v>393</v>
      </c>
      <c r="V214" s="60" t="s">
        <v>1242</v>
      </c>
      <c r="W214" s="61" t="str">
        <f>IFERROR(IF(U214="Ativo","Ativo",IF(U214="SKU excluído","Vencido",VLOOKUP(C214,Encerramentos!B:G,6,0))),"")</f>
        <v>Ativo</v>
      </c>
    </row>
    <row r="215" hidden="1">
      <c r="A215" s="49" t="s">
        <v>231</v>
      </c>
      <c r="B215" s="33" t="str">
        <f t="shared" si="12"/>
        <v/>
      </c>
      <c r="C215" s="34" t="s">
        <v>1176</v>
      </c>
      <c r="D215" s="35" t="s">
        <v>1277</v>
      </c>
      <c r="E215" s="35" t="s">
        <v>1236</v>
      </c>
      <c r="F215" s="36" t="s">
        <v>1177</v>
      </c>
      <c r="G215" s="37" t="s">
        <v>917</v>
      </c>
      <c r="H215" s="38" t="s">
        <v>98</v>
      </c>
      <c r="I215" s="38" t="s">
        <v>1162</v>
      </c>
      <c r="J215" s="91" t="s">
        <v>1285</v>
      </c>
      <c r="K215" s="58">
        <v>45750.0</v>
      </c>
      <c r="L215" s="38" t="s">
        <v>862</v>
      </c>
      <c r="M215" s="45" t="s">
        <v>1239</v>
      </c>
      <c r="N215" s="66">
        <v>46133.0</v>
      </c>
      <c r="O215" s="50">
        <f t="shared" si="25"/>
        <v>46043</v>
      </c>
      <c r="P215" s="35" t="s">
        <v>1240</v>
      </c>
      <c r="Q215" s="35" t="s">
        <v>1241</v>
      </c>
      <c r="R215" s="35" t="s">
        <v>286</v>
      </c>
      <c r="S215" s="45" t="b">
        <v>1</v>
      </c>
      <c r="T215" s="43">
        <f>IFERROR(__xludf.DUMMYFUNCTION("IFERROR(VLOOKUP(C215,IMPORTRANGE(""https://docs.google.com/spreadsheets/d/1RmEXtNg60OGvqZjyMxiYNPJ6S_kcz01v57qrHugDWVc/edit#gid=0"",""Chegadas!E:AQ""),19,0),"""")"),45327.0)</f>
        <v>45327</v>
      </c>
      <c r="U215" s="88" t="s">
        <v>393</v>
      </c>
      <c r="V215" s="60" t="s">
        <v>1242</v>
      </c>
      <c r="W215" s="61" t="str">
        <f>IFERROR(IF(U215="Ativo","Ativo",IF(U215="SKU excluído","Vencido",VLOOKUP(C215,Encerramentos!B:G,6,0))),"")</f>
        <v>Ativo</v>
      </c>
    </row>
    <row r="216" hidden="1">
      <c r="A216" s="49" t="s">
        <v>231</v>
      </c>
      <c r="B216" s="33" t="str">
        <f t="shared" si="12"/>
        <v/>
      </c>
      <c r="C216" s="34" t="s">
        <v>1286</v>
      </c>
      <c r="D216" s="35" t="s">
        <v>1235</v>
      </c>
      <c r="E216" s="35" t="s">
        <v>1236</v>
      </c>
      <c r="F216" s="36" t="s">
        <v>1287</v>
      </c>
      <c r="G216" s="37" t="s">
        <v>917</v>
      </c>
      <c r="H216" s="38" t="s">
        <v>98</v>
      </c>
      <c r="I216" s="38" t="s">
        <v>1162</v>
      </c>
      <c r="J216" s="91" t="s">
        <v>1288</v>
      </c>
      <c r="K216" s="58">
        <v>45750.0</v>
      </c>
      <c r="L216" s="38" t="s">
        <v>862</v>
      </c>
      <c r="M216" s="45" t="s">
        <v>1239</v>
      </c>
      <c r="N216" s="66">
        <v>46133.0</v>
      </c>
      <c r="O216" s="50">
        <f t="shared" si="25"/>
        <v>46043</v>
      </c>
      <c r="P216" s="35" t="s">
        <v>1240</v>
      </c>
      <c r="Q216" s="35" t="s">
        <v>1241</v>
      </c>
      <c r="R216" s="35" t="s">
        <v>286</v>
      </c>
      <c r="S216" s="45" t="b">
        <v>1</v>
      </c>
      <c r="T216" s="43">
        <f>IFERROR(__xludf.DUMMYFUNCTION("IFERROR(VLOOKUP(C216,IMPORTRANGE(""https://docs.google.com/spreadsheets/d/1RmEXtNg60OGvqZjyMxiYNPJ6S_kcz01v57qrHugDWVc/edit#gid=0"",""Chegadas!E:AQ""),19,0),"""")"),45509.0)</f>
        <v>45509</v>
      </c>
      <c r="U216" s="88" t="s">
        <v>393</v>
      </c>
      <c r="V216" s="60" t="s">
        <v>1242</v>
      </c>
      <c r="W216" s="61" t="str">
        <f>IFERROR(IF(U216="Ativo","Ativo",IF(U216="SKU excluído","Vencido",VLOOKUP(C216,Encerramentos!B:G,6,0))),"")</f>
        <v>Ativo</v>
      </c>
    </row>
    <row r="217" hidden="1">
      <c r="A217" s="49" t="s">
        <v>231</v>
      </c>
      <c r="B217" s="33" t="str">
        <f t="shared" si="12"/>
        <v/>
      </c>
      <c r="C217" s="34" t="s">
        <v>1289</v>
      </c>
      <c r="D217" s="35" t="s">
        <v>1235</v>
      </c>
      <c r="E217" s="35" t="s">
        <v>1236</v>
      </c>
      <c r="F217" s="36" t="s">
        <v>1290</v>
      </c>
      <c r="G217" s="37" t="s">
        <v>917</v>
      </c>
      <c r="H217" s="38" t="s">
        <v>98</v>
      </c>
      <c r="I217" s="38" t="s">
        <v>1162</v>
      </c>
      <c r="J217" s="91" t="s">
        <v>1291</v>
      </c>
      <c r="K217" s="58">
        <v>45750.0</v>
      </c>
      <c r="L217" s="38" t="s">
        <v>862</v>
      </c>
      <c r="M217" s="45" t="s">
        <v>1239</v>
      </c>
      <c r="N217" s="66">
        <v>46133.0</v>
      </c>
      <c r="O217" s="50">
        <f t="shared" si="25"/>
        <v>46043</v>
      </c>
      <c r="P217" s="35" t="s">
        <v>1240</v>
      </c>
      <c r="Q217" s="35" t="s">
        <v>1241</v>
      </c>
      <c r="R217" s="35" t="s">
        <v>286</v>
      </c>
      <c r="S217" s="45" t="b">
        <v>1</v>
      </c>
      <c r="T217" s="43">
        <f>IFERROR(__xludf.DUMMYFUNCTION("IFERROR(VLOOKUP(C217,IMPORTRANGE(""https://docs.google.com/spreadsheets/d/1RmEXtNg60OGvqZjyMxiYNPJ6S_kcz01v57qrHugDWVc/edit#gid=0"",""Chegadas!E:AQ""),19,0),"""")"),45509.0)</f>
        <v>45509</v>
      </c>
      <c r="U217" s="88" t="s">
        <v>393</v>
      </c>
      <c r="V217" s="60" t="s">
        <v>1242</v>
      </c>
      <c r="W217" s="61" t="str">
        <f>IFERROR(IF(U217="Ativo","Ativo",IF(U217="SKU excluído","Vencido",VLOOKUP(C217,Encerramentos!B:G,6,0))),"")</f>
        <v>Ativo</v>
      </c>
    </row>
    <row r="218" hidden="1">
      <c r="A218" s="49" t="s">
        <v>231</v>
      </c>
      <c r="B218" s="33" t="str">
        <f t="shared" si="12"/>
        <v/>
      </c>
      <c r="C218" s="34" t="s">
        <v>1292</v>
      </c>
      <c r="D218" s="35" t="s">
        <v>1235</v>
      </c>
      <c r="E218" s="35" t="s">
        <v>1236</v>
      </c>
      <c r="F218" s="36" t="s">
        <v>1293</v>
      </c>
      <c r="G218" s="37" t="s">
        <v>917</v>
      </c>
      <c r="H218" s="38" t="s">
        <v>98</v>
      </c>
      <c r="I218" s="38" t="s">
        <v>1162</v>
      </c>
      <c r="J218" s="91" t="s">
        <v>1294</v>
      </c>
      <c r="K218" s="58">
        <v>45750.0</v>
      </c>
      <c r="L218" s="38" t="s">
        <v>862</v>
      </c>
      <c r="M218" s="45" t="s">
        <v>1239</v>
      </c>
      <c r="N218" s="66">
        <v>46133.0</v>
      </c>
      <c r="O218" s="50">
        <f t="shared" si="25"/>
        <v>46043</v>
      </c>
      <c r="P218" s="35" t="s">
        <v>1240</v>
      </c>
      <c r="Q218" s="35" t="s">
        <v>1241</v>
      </c>
      <c r="R218" s="35" t="s">
        <v>286</v>
      </c>
      <c r="S218" s="45" t="b">
        <v>1</v>
      </c>
      <c r="T218" s="43">
        <f>IFERROR(__xludf.DUMMYFUNCTION("IFERROR(VLOOKUP(C218,IMPORTRANGE(""https://docs.google.com/spreadsheets/d/1RmEXtNg60OGvqZjyMxiYNPJ6S_kcz01v57qrHugDWVc/edit#gid=0"",""Chegadas!E:AQ""),19,0),"""")"),45509.0)</f>
        <v>45509</v>
      </c>
      <c r="U218" s="88" t="s">
        <v>393</v>
      </c>
      <c r="V218" s="60" t="s">
        <v>1242</v>
      </c>
      <c r="W218" s="61" t="str">
        <f>IFERROR(IF(U218="Ativo","Ativo",IF(U218="SKU excluído","Vencido",VLOOKUP(C218,Encerramentos!B:G,6,0))),"")</f>
        <v>Ativo</v>
      </c>
    </row>
    <row r="219" hidden="1">
      <c r="A219" s="49" t="s">
        <v>231</v>
      </c>
      <c r="B219" s="33" t="str">
        <f t="shared" si="12"/>
        <v/>
      </c>
      <c r="C219" s="34" t="s">
        <v>1295</v>
      </c>
      <c r="D219" s="35" t="s">
        <v>1235</v>
      </c>
      <c r="E219" s="35" t="s">
        <v>1236</v>
      </c>
      <c r="F219" s="36" t="s">
        <v>1296</v>
      </c>
      <c r="G219" s="37" t="s">
        <v>917</v>
      </c>
      <c r="H219" s="38" t="s">
        <v>98</v>
      </c>
      <c r="I219" s="38" t="s">
        <v>1162</v>
      </c>
      <c r="J219" s="91" t="s">
        <v>1297</v>
      </c>
      <c r="K219" s="58">
        <v>45750.0</v>
      </c>
      <c r="L219" s="38" t="s">
        <v>862</v>
      </c>
      <c r="M219" s="45" t="s">
        <v>1239</v>
      </c>
      <c r="N219" s="66">
        <v>46133.0</v>
      </c>
      <c r="O219" s="50">
        <f t="shared" si="25"/>
        <v>46043</v>
      </c>
      <c r="P219" s="35" t="s">
        <v>1240</v>
      </c>
      <c r="Q219" s="35" t="s">
        <v>1241</v>
      </c>
      <c r="R219" s="35" t="s">
        <v>286</v>
      </c>
      <c r="S219" s="45" t="b">
        <v>1</v>
      </c>
      <c r="T219" s="43">
        <f>IFERROR(__xludf.DUMMYFUNCTION("IFERROR(VLOOKUP(C219,IMPORTRANGE(""https://docs.google.com/spreadsheets/d/1RmEXtNg60OGvqZjyMxiYNPJ6S_kcz01v57qrHugDWVc/edit#gid=0"",""Chegadas!E:AQ""),19,0),"""")"),45509.0)</f>
        <v>45509</v>
      </c>
      <c r="U219" s="88" t="s">
        <v>393</v>
      </c>
      <c r="V219" s="60" t="s">
        <v>1242</v>
      </c>
      <c r="W219" s="61" t="str">
        <f>IFERROR(IF(U219="Ativo","Ativo",IF(U219="SKU excluído","Vencido",VLOOKUP(C219,Encerramentos!B:G,6,0))),"")</f>
        <v>Ativo</v>
      </c>
    </row>
    <row r="220" hidden="1">
      <c r="A220" s="49" t="s">
        <v>231</v>
      </c>
      <c r="B220" s="33" t="str">
        <f t="shared" si="12"/>
        <v/>
      </c>
      <c r="C220" s="34" t="s">
        <v>946</v>
      </c>
      <c r="D220" s="35" t="s">
        <v>1235</v>
      </c>
      <c r="E220" s="35" t="s">
        <v>1236</v>
      </c>
      <c r="F220" s="36" t="s">
        <v>947</v>
      </c>
      <c r="G220" s="37" t="s">
        <v>917</v>
      </c>
      <c r="H220" s="38" t="s">
        <v>98</v>
      </c>
      <c r="I220" s="38" t="s">
        <v>1264</v>
      </c>
      <c r="J220" s="91" t="s">
        <v>1298</v>
      </c>
      <c r="K220" s="58">
        <v>45750.0</v>
      </c>
      <c r="L220" s="38" t="s">
        <v>862</v>
      </c>
      <c r="M220" s="45" t="s">
        <v>1239</v>
      </c>
      <c r="N220" s="66">
        <v>46133.0</v>
      </c>
      <c r="O220" s="50">
        <f t="shared" si="25"/>
        <v>46043</v>
      </c>
      <c r="P220" s="35" t="s">
        <v>1240</v>
      </c>
      <c r="Q220" s="35" t="s">
        <v>1241</v>
      </c>
      <c r="R220" s="35" t="s">
        <v>286</v>
      </c>
      <c r="S220" s="45" t="b">
        <v>1</v>
      </c>
      <c r="T220" s="43">
        <f>IFERROR(__xludf.DUMMYFUNCTION("IFERROR(VLOOKUP(C220,IMPORTRANGE(""https://docs.google.com/spreadsheets/d/1RmEXtNg60OGvqZjyMxiYNPJ6S_kcz01v57qrHugDWVc/edit#gid=0"",""Chegadas!E:AQ""),19,0),"""")"),44962.0)</f>
        <v>44962</v>
      </c>
      <c r="U220" s="88" t="s">
        <v>393</v>
      </c>
      <c r="V220" s="60" t="s">
        <v>1242</v>
      </c>
      <c r="W220" s="61" t="str">
        <f>IFERROR(IF(U220="Ativo","Ativo",IF(U220="SKU excluído","Vencido",VLOOKUP(C220,Encerramentos!B:G,6,0))),"")</f>
        <v>Ativo</v>
      </c>
    </row>
    <row r="221" hidden="1">
      <c r="A221" s="49" t="s">
        <v>231</v>
      </c>
      <c r="B221" s="33" t="str">
        <f t="shared" si="12"/>
        <v/>
      </c>
      <c r="C221" s="34" t="s">
        <v>1299</v>
      </c>
      <c r="D221" s="35" t="s">
        <v>1277</v>
      </c>
      <c r="E221" s="35" t="s">
        <v>1236</v>
      </c>
      <c r="F221" s="36" t="s">
        <v>1300</v>
      </c>
      <c r="G221" s="37" t="s">
        <v>917</v>
      </c>
      <c r="H221" s="38" t="s">
        <v>98</v>
      </c>
      <c r="I221" s="38" t="s">
        <v>1162</v>
      </c>
      <c r="J221" s="91" t="s">
        <v>1301</v>
      </c>
      <c r="K221" s="58">
        <v>45750.0</v>
      </c>
      <c r="L221" s="38" t="s">
        <v>862</v>
      </c>
      <c r="M221" s="45" t="s">
        <v>1239</v>
      </c>
      <c r="N221" s="66">
        <v>46133.0</v>
      </c>
      <c r="O221" s="50">
        <f t="shared" si="25"/>
        <v>46043</v>
      </c>
      <c r="P221" s="35" t="s">
        <v>1240</v>
      </c>
      <c r="Q221" s="35" t="s">
        <v>1241</v>
      </c>
      <c r="R221" s="35" t="s">
        <v>286</v>
      </c>
      <c r="S221" s="45" t="b">
        <v>1</v>
      </c>
      <c r="T221" s="43">
        <f>IFERROR(__xludf.DUMMYFUNCTION("IFERROR(VLOOKUP(C221,IMPORTRANGE(""https://docs.google.com/spreadsheets/d/1RmEXtNg60OGvqZjyMxiYNPJ6S_kcz01v57qrHugDWVc/edit#gid=0"",""Chegadas!E:AQ""),19,0),"""")"),45584.0)</f>
        <v>45584</v>
      </c>
      <c r="U221" s="88" t="s">
        <v>393</v>
      </c>
      <c r="V221" s="60" t="s">
        <v>1242</v>
      </c>
      <c r="W221" s="61" t="str">
        <f>IFERROR(IF(U221="Ativo","Ativo",IF(U221="SKU excluído","Vencido",VLOOKUP(C221,Encerramentos!B:G,6,0))),"")</f>
        <v>Ativo</v>
      </c>
    </row>
    <row r="222" hidden="1">
      <c r="A222" s="49" t="s">
        <v>231</v>
      </c>
      <c r="B222" s="33" t="str">
        <f t="shared" si="12"/>
        <v/>
      </c>
      <c r="C222" s="34" t="s">
        <v>1302</v>
      </c>
      <c r="D222" s="35" t="s">
        <v>1277</v>
      </c>
      <c r="E222" s="35" t="s">
        <v>1236</v>
      </c>
      <c r="F222" s="36" t="s">
        <v>1303</v>
      </c>
      <c r="G222" s="37" t="s">
        <v>917</v>
      </c>
      <c r="H222" s="38" t="s">
        <v>98</v>
      </c>
      <c r="I222" s="38" t="s">
        <v>1162</v>
      </c>
      <c r="J222" s="91" t="s">
        <v>1304</v>
      </c>
      <c r="K222" s="58">
        <v>45750.0</v>
      </c>
      <c r="L222" s="38" t="s">
        <v>862</v>
      </c>
      <c r="M222" s="45" t="s">
        <v>1239</v>
      </c>
      <c r="N222" s="66">
        <v>46133.0</v>
      </c>
      <c r="O222" s="50">
        <f t="shared" si="25"/>
        <v>46043</v>
      </c>
      <c r="P222" s="35" t="s">
        <v>1240</v>
      </c>
      <c r="Q222" s="35" t="s">
        <v>1241</v>
      </c>
      <c r="R222" s="35" t="s">
        <v>286</v>
      </c>
      <c r="S222" s="45" t="b">
        <v>1</v>
      </c>
      <c r="T222" s="43">
        <f>IFERROR(__xludf.DUMMYFUNCTION("IFERROR(VLOOKUP(C222,IMPORTRANGE(""https://docs.google.com/spreadsheets/d/1RmEXtNg60OGvqZjyMxiYNPJ6S_kcz01v57qrHugDWVc/edit#gid=0"",""Chegadas!E:AQ""),19,0),"""")"),45584.0)</f>
        <v>45584</v>
      </c>
      <c r="U222" s="88" t="s">
        <v>393</v>
      </c>
      <c r="V222" s="60" t="s">
        <v>1242</v>
      </c>
      <c r="W222" s="61" t="str">
        <f>IFERROR(IF(U222="Ativo","Ativo",IF(U222="SKU excluído","Vencido",VLOOKUP(C222,Encerramentos!B:G,6,0))),"")</f>
        <v>Ativo</v>
      </c>
    </row>
    <row r="223" hidden="1">
      <c r="A223" s="49" t="s">
        <v>231</v>
      </c>
      <c r="B223" s="33" t="str">
        <f t="shared" si="12"/>
        <v/>
      </c>
      <c r="C223" s="34" t="s">
        <v>1305</v>
      </c>
      <c r="D223" s="35" t="s">
        <v>1235</v>
      </c>
      <c r="E223" s="35" t="s">
        <v>1236</v>
      </c>
      <c r="F223" s="36" t="s">
        <v>1306</v>
      </c>
      <c r="G223" s="37" t="s">
        <v>917</v>
      </c>
      <c r="H223" s="38" t="s">
        <v>98</v>
      </c>
      <c r="I223" s="38" t="s">
        <v>1162</v>
      </c>
      <c r="J223" s="91" t="s">
        <v>1307</v>
      </c>
      <c r="K223" s="58">
        <v>45792.0</v>
      </c>
      <c r="L223" s="38" t="s">
        <v>862</v>
      </c>
      <c r="M223" s="45" t="s">
        <v>1239</v>
      </c>
      <c r="N223" s="66">
        <v>46190.0</v>
      </c>
      <c r="O223" s="50">
        <f t="shared" si="25"/>
        <v>46100</v>
      </c>
      <c r="P223" s="35" t="s">
        <v>1308</v>
      </c>
      <c r="Q223" s="35" t="s">
        <v>1309</v>
      </c>
      <c r="R223" s="35" t="s">
        <v>286</v>
      </c>
      <c r="S223" s="45" t="b">
        <v>1</v>
      </c>
      <c r="T223" s="43">
        <f>IFERROR(__xludf.DUMMYFUNCTION("IFERROR(VLOOKUP(C223,IMPORTRANGE(""https://docs.google.com/spreadsheets/d/1RmEXtNg60OGvqZjyMxiYNPJ6S_kcz01v57qrHugDWVc/edit#gid=0"",""Chegadas!E:AQ""),19,0),"""")"),45509.0)</f>
        <v>45509</v>
      </c>
      <c r="U223" s="88" t="s">
        <v>393</v>
      </c>
      <c r="V223" s="60" t="s">
        <v>1310</v>
      </c>
      <c r="W223" s="61" t="str">
        <f>IFERROR(IF(U223="Ativo","Ativo",IF(U223="SKU excluído","Vencido",VLOOKUP(C223,Encerramentos!B:G,6,0))),"")</f>
        <v>Ativo</v>
      </c>
    </row>
    <row r="224" hidden="1">
      <c r="A224" s="49" t="s">
        <v>231</v>
      </c>
      <c r="B224" s="33" t="str">
        <f t="shared" si="12"/>
        <v/>
      </c>
      <c r="C224" s="34" t="s">
        <v>1311</v>
      </c>
      <c r="D224" s="35" t="s">
        <v>1235</v>
      </c>
      <c r="E224" s="35" t="s">
        <v>1236</v>
      </c>
      <c r="F224" s="36" t="s">
        <v>1312</v>
      </c>
      <c r="G224" s="37" t="s">
        <v>917</v>
      </c>
      <c r="H224" s="38" t="s">
        <v>98</v>
      </c>
      <c r="I224" s="38" t="s">
        <v>1162</v>
      </c>
      <c r="J224" s="91" t="s">
        <v>1313</v>
      </c>
      <c r="K224" s="58">
        <v>45792.0</v>
      </c>
      <c r="L224" s="38" t="s">
        <v>862</v>
      </c>
      <c r="M224" s="45" t="s">
        <v>1239</v>
      </c>
      <c r="N224" s="66">
        <v>46190.0</v>
      </c>
      <c r="O224" s="50">
        <f t="shared" si="25"/>
        <v>46100</v>
      </c>
      <c r="P224" s="35" t="s">
        <v>1308</v>
      </c>
      <c r="Q224" s="35" t="s">
        <v>1309</v>
      </c>
      <c r="R224" s="35" t="s">
        <v>286</v>
      </c>
      <c r="S224" s="45" t="b">
        <v>1</v>
      </c>
      <c r="T224" s="43">
        <f>IFERROR(__xludf.DUMMYFUNCTION("IFERROR(VLOOKUP(C224,IMPORTRANGE(""https://docs.google.com/spreadsheets/d/1RmEXtNg60OGvqZjyMxiYNPJ6S_kcz01v57qrHugDWVc/edit#gid=0"",""Chegadas!E:AQ""),19,0),"""")"),45509.0)</f>
        <v>45509</v>
      </c>
      <c r="U224" s="88" t="s">
        <v>393</v>
      </c>
      <c r="V224" s="60" t="s">
        <v>1310</v>
      </c>
      <c r="W224" s="61" t="str">
        <f>IFERROR(IF(U224="Ativo","Ativo",IF(U224="SKU excluído","Vencido",VLOOKUP(C224,Encerramentos!B:G,6,0))),"")</f>
        <v>Ativo</v>
      </c>
    </row>
    <row r="225" hidden="1">
      <c r="A225" s="49" t="s">
        <v>231</v>
      </c>
      <c r="B225" s="33" t="str">
        <f t="shared" si="12"/>
        <v/>
      </c>
      <c r="C225" s="34" t="s">
        <v>1200</v>
      </c>
      <c r="D225" s="35" t="s">
        <v>1235</v>
      </c>
      <c r="E225" s="35" t="s">
        <v>1236</v>
      </c>
      <c r="F225" s="36" t="s">
        <v>1201</v>
      </c>
      <c r="G225" s="37" t="s">
        <v>917</v>
      </c>
      <c r="H225" s="38" t="s">
        <v>98</v>
      </c>
      <c r="I225" s="38" t="s">
        <v>1162</v>
      </c>
      <c r="J225" s="91" t="s">
        <v>1314</v>
      </c>
      <c r="K225" s="58">
        <v>45792.0</v>
      </c>
      <c r="L225" s="38" t="s">
        <v>862</v>
      </c>
      <c r="M225" s="45" t="s">
        <v>1239</v>
      </c>
      <c r="N225" s="66">
        <v>46190.0</v>
      </c>
      <c r="O225" s="50">
        <f t="shared" si="25"/>
        <v>46100</v>
      </c>
      <c r="P225" s="35" t="s">
        <v>1308</v>
      </c>
      <c r="Q225" s="35" t="s">
        <v>1309</v>
      </c>
      <c r="R225" s="35" t="s">
        <v>286</v>
      </c>
      <c r="S225" s="45" t="b">
        <v>1</v>
      </c>
      <c r="T225" s="43">
        <f>IFERROR(__xludf.DUMMYFUNCTION("IFERROR(VLOOKUP(C225,IMPORTRANGE(""https://docs.google.com/spreadsheets/d/1RmEXtNg60OGvqZjyMxiYNPJ6S_kcz01v57qrHugDWVc/edit#gid=0"",""Chegadas!E:AQ""),19,0),"""")"),45327.0)</f>
        <v>45327</v>
      </c>
      <c r="U225" s="88" t="s">
        <v>393</v>
      </c>
      <c r="V225" s="60" t="s">
        <v>1310</v>
      </c>
      <c r="W225" s="61" t="str">
        <f>IFERROR(IF(U225="Ativo","Ativo",IF(U225="SKU excluído","Vencido",VLOOKUP(C225,Encerramentos!B:G,6,0))),"")</f>
        <v>Ativo</v>
      </c>
    </row>
    <row r="226" hidden="1">
      <c r="A226" s="49" t="s">
        <v>231</v>
      </c>
      <c r="B226" s="33" t="str">
        <f t="shared" si="12"/>
        <v/>
      </c>
      <c r="C226" s="34" t="s">
        <v>1194</v>
      </c>
      <c r="D226" s="35" t="s">
        <v>1235</v>
      </c>
      <c r="E226" s="35" t="s">
        <v>1236</v>
      </c>
      <c r="F226" s="36" t="s">
        <v>1195</v>
      </c>
      <c r="G226" s="37" t="s">
        <v>917</v>
      </c>
      <c r="H226" s="38" t="s">
        <v>98</v>
      </c>
      <c r="I226" s="38" t="s">
        <v>1264</v>
      </c>
      <c r="J226" s="91" t="s">
        <v>1315</v>
      </c>
      <c r="K226" s="58">
        <v>45792.0</v>
      </c>
      <c r="L226" s="38" t="s">
        <v>862</v>
      </c>
      <c r="M226" s="45" t="s">
        <v>1239</v>
      </c>
      <c r="N226" s="66">
        <v>46190.0</v>
      </c>
      <c r="O226" s="50">
        <f t="shared" si="25"/>
        <v>46100</v>
      </c>
      <c r="P226" s="35" t="s">
        <v>1308</v>
      </c>
      <c r="Q226" s="35" t="s">
        <v>1309</v>
      </c>
      <c r="R226" s="35" t="s">
        <v>286</v>
      </c>
      <c r="S226" s="45" t="b">
        <v>1</v>
      </c>
      <c r="T226" s="43">
        <f>IFERROR(__xludf.DUMMYFUNCTION("IFERROR(VLOOKUP(C226,IMPORTRANGE(""https://docs.google.com/spreadsheets/d/1RmEXtNg60OGvqZjyMxiYNPJ6S_kcz01v57qrHugDWVc/edit#gid=0"",""Chegadas!E:AQ""),19,0),"""")"),45327.0)</f>
        <v>45327</v>
      </c>
      <c r="U226" s="88" t="s">
        <v>393</v>
      </c>
      <c r="V226" s="60" t="s">
        <v>1310</v>
      </c>
      <c r="W226" s="61" t="str">
        <f>IFERROR(IF(U226="Ativo","Ativo",IF(U226="SKU excluído","Vencido",VLOOKUP(C226,Encerramentos!B:G,6,0))),"")</f>
        <v>Ativo</v>
      </c>
    </row>
    <row r="227" hidden="1">
      <c r="A227" s="49" t="s">
        <v>231</v>
      </c>
      <c r="B227" s="33" t="str">
        <f t="shared" si="12"/>
        <v/>
      </c>
      <c r="C227" s="34" t="s">
        <v>1316</v>
      </c>
      <c r="D227" s="35" t="s">
        <v>1277</v>
      </c>
      <c r="E227" s="35" t="s">
        <v>1317</v>
      </c>
      <c r="F227" s="36" t="s">
        <v>1318</v>
      </c>
      <c r="G227" s="37" t="s">
        <v>387</v>
      </c>
      <c r="H227" s="38" t="s">
        <v>1027</v>
      </c>
      <c r="I227" s="38" t="s">
        <v>1319</v>
      </c>
      <c r="J227" s="91" t="s">
        <v>1320</v>
      </c>
      <c r="K227" s="58">
        <v>45860.0</v>
      </c>
      <c r="L227" s="38" t="s">
        <v>862</v>
      </c>
      <c r="M227" s="45" t="s">
        <v>1020</v>
      </c>
      <c r="N227" s="50">
        <v>46214.0</v>
      </c>
      <c r="O227" s="50">
        <f t="shared" si="25"/>
        <v>46124</v>
      </c>
      <c r="P227" s="35" t="s">
        <v>1321</v>
      </c>
      <c r="Q227" s="35" t="s">
        <v>1322</v>
      </c>
      <c r="R227" s="35" t="s">
        <v>286</v>
      </c>
      <c r="S227" s="45" t="b">
        <v>1</v>
      </c>
      <c r="T227" s="43">
        <f>IFERROR(__xludf.DUMMYFUNCTION("IFERROR(VLOOKUP(C227,IMPORTRANGE(""https://docs.google.com/spreadsheets/d/1RmEXtNg60OGvqZjyMxiYNPJ6S_kcz01v57qrHugDWVc/edit#gid=0"",""Chegadas!E:AQ""),19,0),"""")"),45635.0)</f>
        <v>45635</v>
      </c>
      <c r="U227" s="88" t="s">
        <v>393</v>
      </c>
      <c r="V227" s="60" t="s">
        <v>1323</v>
      </c>
      <c r="W227" s="61" t="str">
        <f>IFERROR(IF(U227="Ativo","Ativo",IF(U227="SKU excluído","Vencido",VLOOKUP(C227,Encerramentos!B:G,6,0))),"")</f>
        <v>Ativo</v>
      </c>
    </row>
    <row r="228" hidden="1">
      <c r="A228" s="49" t="s">
        <v>231</v>
      </c>
      <c r="B228" s="33" t="str">
        <f t="shared" si="12"/>
        <v/>
      </c>
      <c r="C228" s="34" t="s">
        <v>1324</v>
      </c>
      <c r="D228" s="35" t="s">
        <v>1277</v>
      </c>
      <c r="E228" s="35" t="s">
        <v>1317</v>
      </c>
      <c r="F228" s="36" t="s">
        <v>1325</v>
      </c>
      <c r="G228" s="37" t="s">
        <v>387</v>
      </c>
      <c r="H228" s="38" t="s">
        <v>1027</v>
      </c>
      <c r="I228" s="38" t="s">
        <v>1162</v>
      </c>
      <c r="J228" s="91" t="s">
        <v>1326</v>
      </c>
      <c r="K228" s="58">
        <v>45860.0</v>
      </c>
      <c r="L228" s="38" t="s">
        <v>862</v>
      </c>
      <c r="M228" s="45" t="s">
        <v>1020</v>
      </c>
      <c r="N228" s="50">
        <v>46214.0</v>
      </c>
      <c r="O228" s="50">
        <f t="shared" si="25"/>
        <v>46124</v>
      </c>
      <c r="P228" s="35" t="s">
        <v>1321</v>
      </c>
      <c r="Q228" s="35" t="s">
        <v>1322</v>
      </c>
      <c r="R228" s="35" t="s">
        <v>286</v>
      </c>
      <c r="S228" s="45" t="b">
        <v>1</v>
      </c>
      <c r="T228" s="43">
        <f>IFERROR(__xludf.DUMMYFUNCTION("IFERROR(VLOOKUP(C228,IMPORTRANGE(""https://docs.google.com/spreadsheets/d/1RmEXtNg60OGvqZjyMxiYNPJ6S_kcz01v57qrHugDWVc/edit#gid=0"",""Chegadas!E:AQ""),19,0),"""")"),45635.0)</f>
        <v>45635</v>
      </c>
      <c r="U228" s="88" t="s">
        <v>393</v>
      </c>
      <c r="V228" s="60" t="s">
        <v>1323</v>
      </c>
      <c r="W228" s="61" t="str">
        <f>IFERROR(IF(U228="Ativo","Ativo",IF(U228="SKU excluído","Vencido",VLOOKUP(C228,Encerramentos!B:G,6,0))),"")</f>
        <v>Ativo</v>
      </c>
    </row>
    <row r="229" ht="38.25" hidden="1" customHeight="1">
      <c r="A229" s="49" t="s">
        <v>231</v>
      </c>
      <c r="B229" s="33" t="str">
        <f t="shared" si="12"/>
        <v/>
      </c>
      <c r="C229" s="34" t="s">
        <v>1327</v>
      </c>
      <c r="D229" s="35" t="s">
        <v>1328</v>
      </c>
      <c r="E229" s="35" t="s">
        <v>1329</v>
      </c>
      <c r="F229" s="36" t="s">
        <v>1330</v>
      </c>
      <c r="G229" s="37" t="s">
        <v>273</v>
      </c>
      <c r="H229" s="38" t="s">
        <v>431</v>
      </c>
      <c r="I229" s="38" t="s">
        <v>1331</v>
      </c>
      <c r="J229" s="91" t="s">
        <v>1332</v>
      </c>
      <c r="K229" s="58">
        <v>45841.0</v>
      </c>
      <c r="L229" s="38" t="s">
        <v>265</v>
      </c>
      <c r="M229" s="38" t="s">
        <v>1333</v>
      </c>
      <c r="N229" s="50">
        <v>45911.0</v>
      </c>
      <c r="O229" s="50">
        <f t="shared" si="25"/>
        <v>45821</v>
      </c>
      <c r="P229" s="35" t="s">
        <v>1334</v>
      </c>
      <c r="Q229" s="83"/>
      <c r="R229" s="35" t="s">
        <v>286</v>
      </c>
      <c r="S229" s="45" t="b">
        <v>1</v>
      </c>
      <c r="T229" s="43">
        <f>IFERROR(__xludf.DUMMYFUNCTION("IFERROR(VLOOKUP(C229,IMPORTRANGE(""https://docs.google.com/spreadsheets/d/1RmEXtNg60OGvqZjyMxiYNPJ6S_kcz01v57qrHugDWVc/edit#gid=0"",""Chegadas!E:AQ""),19,0),"""")"),45667.0)</f>
        <v>45667</v>
      </c>
      <c r="U229" s="88" t="s">
        <v>242</v>
      </c>
      <c r="V229" s="60" t="s">
        <v>1335</v>
      </c>
      <c r="W229" s="61">
        <f>IFERROR(IF(U229="Ativo","Ativo",IF(U229="SKU excluído","Vencido",VLOOKUP(C229,Encerramentos!B:G,6,0))),"")</f>
        <v>46564</v>
      </c>
    </row>
    <row r="230" hidden="1">
      <c r="A230" s="49" t="s">
        <v>231</v>
      </c>
      <c r="B230" s="33" t="str">
        <f t="shared" si="12"/>
        <v/>
      </c>
      <c r="C230" s="34" t="s">
        <v>1336</v>
      </c>
      <c r="D230" s="35" t="s">
        <v>1277</v>
      </c>
      <c r="E230" s="35" t="s">
        <v>1144</v>
      </c>
      <c r="F230" s="36" t="s">
        <v>1337</v>
      </c>
      <c r="G230" s="37" t="s">
        <v>273</v>
      </c>
      <c r="H230" s="38" t="s">
        <v>236</v>
      </c>
      <c r="I230" s="38" t="s">
        <v>1331</v>
      </c>
      <c r="J230" s="91" t="s">
        <v>1338</v>
      </c>
      <c r="K230" s="58">
        <v>45510.0</v>
      </c>
      <c r="L230" s="38" t="s">
        <v>239</v>
      </c>
      <c r="M230" s="45" t="s">
        <v>1339</v>
      </c>
      <c r="N230" s="50">
        <v>46227.0</v>
      </c>
      <c r="O230" s="50">
        <f t="shared" si="25"/>
        <v>46137</v>
      </c>
      <c r="P230" s="35" t="s">
        <v>1340</v>
      </c>
      <c r="Q230" s="35" t="s">
        <v>1341</v>
      </c>
      <c r="R230" s="35" t="s">
        <v>533</v>
      </c>
      <c r="S230" s="45" t="b">
        <v>1</v>
      </c>
      <c r="T230" s="43">
        <f>IFERROR(__xludf.DUMMYFUNCTION("IFERROR(VLOOKUP(C230,IMPORTRANGE(""https://docs.google.com/spreadsheets/d/1RmEXtNg60OGvqZjyMxiYNPJ6S_kcz01v57qrHugDWVc/edit#gid=0"",""Chegadas!E:AQ""),19,0),"""")"),45635.0)</f>
        <v>45635</v>
      </c>
      <c r="U230" s="88" t="s">
        <v>393</v>
      </c>
      <c r="V230" s="84" t="s">
        <v>1342</v>
      </c>
      <c r="W230" s="61" t="str">
        <f>IFERROR(IF(U230="Ativo","Ativo",IF(U230="SKU excluído","Vencido",VLOOKUP(C230,Encerramentos!B:G,6,0))),"")</f>
        <v>Ativo</v>
      </c>
    </row>
    <row r="231" hidden="1">
      <c r="A231" s="49" t="s">
        <v>231</v>
      </c>
      <c r="B231" s="33" t="str">
        <f t="shared" si="12"/>
        <v/>
      </c>
      <c r="C231" s="34" t="s">
        <v>1343</v>
      </c>
      <c r="D231" s="35" t="s">
        <v>1277</v>
      </c>
      <c r="E231" s="35" t="s">
        <v>1144</v>
      </c>
      <c r="F231" s="36" t="s">
        <v>1344</v>
      </c>
      <c r="G231" s="37" t="s">
        <v>273</v>
      </c>
      <c r="H231" s="38" t="s">
        <v>236</v>
      </c>
      <c r="I231" s="38" t="s">
        <v>1162</v>
      </c>
      <c r="J231" s="91" t="s">
        <v>1338</v>
      </c>
      <c r="K231" s="58">
        <v>45510.0</v>
      </c>
      <c r="L231" s="38" t="s">
        <v>239</v>
      </c>
      <c r="M231" s="45" t="s">
        <v>1339</v>
      </c>
      <c r="N231" s="50">
        <v>46227.0</v>
      </c>
      <c r="O231" s="50">
        <f t="shared" si="25"/>
        <v>46137</v>
      </c>
      <c r="P231" s="35" t="s">
        <v>1340</v>
      </c>
      <c r="Q231" s="35" t="s">
        <v>1341</v>
      </c>
      <c r="R231" s="35" t="s">
        <v>533</v>
      </c>
      <c r="S231" s="45" t="b">
        <v>1</v>
      </c>
      <c r="T231" s="43">
        <f>IFERROR(__xludf.DUMMYFUNCTION("IFERROR(VLOOKUP(C231,IMPORTRANGE(""https://docs.google.com/spreadsheets/d/1RmEXtNg60OGvqZjyMxiYNPJ6S_kcz01v57qrHugDWVc/edit#gid=0"",""Chegadas!E:AQ""),19,0),"""")"),45635.0)</f>
        <v>45635</v>
      </c>
      <c r="U231" s="88" t="s">
        <v>393</v>
      </c>
      <c r="V231" s="84" t="s">
        <v>1345</v>
      </c>
      <c r="W231" s="61" t="str">
        <f>IFERROR(IF(U231="Ativo","Ativo",IF(U231="SKU excluído","Vencido",VLOOKUP(C231,Encerramentos!B:G,6,0))),"")</f>
        <v>Ativo</v>
      </c>
    </row>
    <row r="232" hidden="1">
      <c r="A232" s="49" t="s">
        <v>231</v>
      </c>
      <c r="B232" s="33" t="str">
        <f t="shared" si="12"/>
        <v/>
      </c>
      <c r="C232" s="34" t="s">
        <v>1346</v>
      </c>
      <c r="D232" s="35" t="s">
        <v>1277</v>
      </c>
      <c r="E232" s="35" t="s">
        <v>1144</v>
      </c>
      <c r="F232" s="36" t="s">
        <v>1347</v>
      </c>
      <c r="G232" s="37" t="s">
        <v>273</v>
      </c>
      <c r="H232" s="38" t="s">
        <v>236</v>
      </c>
      <c r="I232" s="38" t="s">
        <v>1162</v>
      </c>
      <c r="J232" s="91" t="s">
        <v>1338</v>
      </c>
      <c r="K232" s="58">
        <v>45510.0</v>
      </c>
      <c r="L232" s="38" t="s">
        <v>239</v>
      </c>
      <c r="M232" s="45" t="s">
        <v>1339</v>
      </c>
      <c r="N232" s="50">
        <v>46227.0</v>
      </c>
      <c r="O232" s="50">
        <f t="shared" si="25"/>
        <v>46137</v>
      </c>
      <c r="P232" s="35" t="s">
        <v>1340</v>
      </c>
      <c r="Q232" s="35" t="s">
        <v>1341</v>
      </c>
      <c r="R232" s="35" t="s">
        <v>533</v>
      </c>
      <c r="S232" s="45" t="b">
        <v>1</v>
      </c>
      <c r="T232" s="43">
        <f>IFERROR(__xludf.DUMMYFUNCTION("IFERROR(VLOOKUP(C232,IMPORTRANGE(""https://docs.google.com/spreadsheets/d/1RmEXtNg60OGvqZjyMxiYNPJ6S_kcz01v57qrHugDWVc/edit#gid=0"",""Chegadas!E:AQ""),19,0),"""")"),45635.0)</f>
        <v>45635</v>
      </c>
      <c r="U232" s="88" t="s">
        <v>393</v>
      </c>
      <c r="V232" s="84" t="s">
        <v>1348</v>
      </c>
      <c r="W232" s="61" t="str">
        <f>IFERROR(IF(U232="Ativo","Ativo",IF(U232="SKU excluído","Vencido",VLOOKUP(C232,Encerramentos!B:G,6,0))),"")</f>
        <v>Ativo</v>
      </c>
    </row>
    <row r="233" hidden="1">
      <c r="A233" s="49" t="s">
        <v>231</v>
      </c>
      <c r="B233" s="33" t="str">
        <f t="shared" si="12"/>
        <v/>
      </c>
      <c r="C233" s="34" t="s">
        <v>1349</v>
      </c>
      <c r="D233" s="35" t="s">
        <v>1277</v>
      </c>
      <c r="E233" s="35" t="s">
        <v>1144</v>
      </c>
      <c r="F233" s="36" t="s">
        <v>1350</v>
      </c>
      <c r="G233" s="37" t="s">
        <v>273</v>
      </c>
      <c r="H233" s="38" t="s">
        <v>236</v>
      </c>
      <c r="I233" s="38" t="s">
        <v>1162</v>
      </c>
      <c r="J233" s="91" t="s">
        <v>1338</v>
      </c>
      <c r="K233" s="58">
        <v>45510.0</v>
      </c>
      <c r="L233" s="38" t="s">
        <v>239</v>
      </c>
      <c r="M233" s="45" t="s">
        <v>1339</v>
      </c>
      <c r="N233" s="50">
        <v>46227.0</v>
      </c>
      <c r="O233" s="50">
        <f t="shared" si="25"/>
        <v>46137</v>
      </c>
      <c r="P233" s="35" t="s">
        <v>1340</v>
      </c>
      <c r="Q233" s="35" t="s">
        <v>1341</v>
      </c>
      <c r="R233" s="35" t="s">
        <v>533</v>
      </c>
      <c r="S233" s="45" t="b">
        <v>1</v>
      </c>
      <c r="T233" s="43">
        <f>IFERROR(__xludf.DUMMYFUNCTION("IFERROR(VLOOKUP(C233,IMPORTRANGE(""https://docs.google.com/spreadsheets/d/1RmEXtNg60OGvqZjyMxiYNPJ6S_kcz01v57qrHugDWVc/edit#gid=0"",""Chegadas!E:AQ""),19,0),"""")"),45635.0)</f>
        <v>45635</v>
      </c>
      <c r="U233" s="88" t="s">
        <v>393</v>
      </c>
      <c r="V233" s="84" t="s">
        <v>1351</v>
      </c>
      <c r="W233" s="61" t="str">
        <f>IFERROR(IF(U233="Ativo","Ativo",IF(U233="SKU excluído","Vencido",VLOOKUP(C233,Encerramentos!B:G,6,0))),"")</f>
        <v>Ativo</v>
      </c>
    </row>
    <row r="234" hidden="1">
      <c r="A234" s="49" t="s">
        <v>231</v>
      </c>
      <c r="B234" s="33" t="str">
        <f t="shared" si="12"/>
        <v/>
      </c>
      <c r="C234" s="34" t="s">
        <v>1352</v>
      </c>
      <c r="D234" s="35" t="s">
        <v>1277</v>
      </c>
      <c r="E234" s="35" t="s">
        <v>1144</v>
      </c>
      <c r="F234" s="36" t="s">
        <v>1353</v>
      </c>
      <c r="G234" s="37" t="s">
        <v>273</v>
      </c>
      <c r="H234" s="38" t="s">
        <v>236</v>
      </c>
      <c r="I234" s="38" t="s">
        <v>1162</v>
      </c>
      <c r="J234" s="91" t="s">
        <v>1338</v>
      </c>
      <c r="K234" s="58">
        <v>45510.0</v>
      </c>
      <c r="L234" s="38" t="s">
        <v>239</v>
      </c>
      <c r="M234" s="45" t="s">
        <v>1339</v>
      </c>
      <c r="N234" s="50">
        <v>46227.0</v>
      </c>
      <c r="O234" s="50">
        <f t="shared" si="25"/>
        <v>46137</v>
      </c>
      <c r="P234" s="35" t="s">
        <v>1340</v>
      </c>
      <c r="Q234" s="35" t="s">
        <v>1341</v>
      </c>
      <c r="R234" s="35" t="s">
        <v>533</v>
      </c>
      <c r="S234" s="45" t="b">
        <v>1</v>
      </c>
      <c r="T234" s="43">
        <f>IFERROR(__xludf.DUMMYFUNCTION("IFERROR(VLOOKUP(C234,IMPORTRANGE(""https://docs.google.com/spreadsheets/d/1RmEXtNg60OGvqZjyMxiYNPJ6S_kcz01v57qrHugDWVc/edit#gid=0"",""Chegadas!E:AQ""),19,0),"""")"),45635.0)</f>
        <v>45635</v>
      </c>
      <c r="U234" s="88" t="s">
        <v>393</v>
      </c>
      <c r="V234" s="84" t="s">
        <v>1354</v>
      </c>
      <c r="W234" s="61" t="str">
        <f>IFERROR(IF(U234="Ativo","Ativo",IF(U234="SKU excluído","Vencido",VLOOKUP(C234,Encerramentos!B:G,6,0))),"")</f>
        <v>Ativo</v>
      </c>
    </row>
    <row r="235" hidden="1">
      <c r="A235" s="49" t="s">
        <v>231</v>
      </c>
      <c r="B235" s="33" t="str">
        <f t="shared" si="12"/>
        <v/>
      </c>
      <c r="C235" s="34" t="s">
        <v>1355</v>
      </c>
      <c r="D235" s="35" t="s">
        <v>1277</v>
      </c>
      <c r="E235" s="35" t="s">
        <v>421</v>
      </c>
      <c r="F235" s="36" t="s">
        <v>1356</v>
      </c>
      <c r="G235" s="37" t="s">
        <v>273</v>
      </c>
      <c r="H235" s="38" t="s">
        <v>236</v>
      </c>
      <c r="I235" s="38" t="s">
        <v>1162</v>
      </c>
      <c r="J235" s="91" t="s">
        <v>1357</v>
      </c>
      <c r="K235" s="58">
        <v>45728.0</v>
      </c>
      <c r="L235" s="38" t="s">
        <v>239</v>
      </c>
      <c r="M235" s="45" t="s">
        <v>891</v>
      </c>
      <c r="N235" s="66">
        <v>46468.0</v>
      </c>
      <c r="O235" s="50">
        <f t="shared" si="25"/>
        <v>46378</v>
      </c>
      <c r="P235" s="83" t="s">
        <v>892</v>
      </c>
      <c r="Q235" s="35" t="s">
        <v>425</v>
      </c>
      <c r="R235" s="35" t="s">
        <v>533</v>
      </c>
      <c r="S235" s="45" t="b">
        <v>1</v>
      </c>
      <c r="T235" s="43">
        <f>IFERROR(__xludf.DUMMYFUNCTION("IFERROR(VLOOKUP(C235,IMPORTRANGE(""https://docs.google.com/spreadsheets/d/1RmEXtNg60OGvqZjyMxiYNPJ6S_kcz01v57qrHugDWVc/edit#gid=0"",""Chegadas!E:AQ""),19,0),"""")"),45630.0)</f>
        <v>45630</v>
      </c>
      <c r="U235" s="88" t="s">
        <v>393</v>
      </c>
      <c r="V235" s="84" t="s">
        <v>1358</v>
      </c>
      <c r="W235" s="61" t="str">
        <f>IFERROR(IF(U235="Ativo","Ativo",IF(U235="SKU excluído","Vencido",VLOOKUP(C235,Encerramentos!B:G,6,0))),"")</f>
        <v>Ativo</v>
      </c>
    </row>
    <row r="236">
      <c r="A236" s="49" t="s">
        <v>231</v>
      </c>
      <c r="B236" s="33" t="str">
        <f t="shared" si="12"/>
        <v/>
      </c>
      <c r="C236" s="34" t="s">
        <v>1359</v>
      </c>
      <c r="D236" s="35" t="s">
        <v>1277</v>
      </c>
      <c r="E236" s="35" t="s">
        <v>1317</v>
      </c>
      <c r="F236" s="36" t="s">
        <v>1360</v>
      </c>
      <c r="G236" s="37" t="s">
        <v>387</v>
      </c>
      <c r="H236" s="38" t="s">
        <v>1027</v>
      </c>
      <c r="I236" s="38" t="s">
        <v>1162</v>
      </c>
      <c r="J236" s="91" t="s">
        <v>1361</v>
      </c>
      <c r="K236" s="58">
        <v>45770.0</v>
      </c>
      <c r="L236" s="38" t="s">
        <v>862</v>
      </c>
      <c r="M236" s="63" t="s">
        <v>1020</v>
      </c>
      <c r="N236" s="66">
        <v>46179.0</v>
      </c>
      <c r="O236" s="50">
        <f t="shared" si="25"/>
        <v>46089</v>
      </c>
      <c r="P236" s="37" t="s">
        <v>1044</v>
      </c>
      <c r="Q236" s="35" t="s">
        <v>1045</v>
      </c>
      <c r="R236" s="35" t="s">
        <v>286</v>
      </c>
      <c r="S236" s="45" t="b">
        <v>1</v>
      </c>
      <c r="T236" s="43">
        <f>IFERROR(__xludf.DUMMYFUNCTION("IFERROR(VLOOKUP(C236,IMPORTRANGE(""https://docs.google.com/spreadsheets/d/1RmEXtNg60OGvqZjyMxiYNPJ6S_kcz01v57qrHugDWVc/edit#gid=0"",""Chegadas!E:AQ""),19,0),"""")"),45635.0)</f>
        <v>45635</v>
      </c>
      <c r="U236" s="88" t="s">
        <v>393</v>
      </c>
      <c r="V236" s="60" t="s">
        <v>1362</v>
      </c>
      <c r="W236" s="61" t="str">
        <f>IFERROR(IF(U236="Ativo","Ativo",IF(U236="SKU excluído","Vencido",VLOOKUP(C236,Encerramentos!B:G,6,0))),"")</f>
        <v>Ativo</v>
      </c>
    </row>
    <row r="237">
      <c r="A237" s="49" t="s">
        <v>231</v>
      </c>
      <c r="B237" s="33" t="str">
        <f t="shared" si="12"/>
        <v/>
      </c>
      <c r="C237" s="34" t="s">
        <v>1363</v>
      </c>
      <c r="D237" s="35" t="s">
        <v>1277</v>
      </c>
      <c r="E237" s="35" t="s">
        <v>1317</v>
      </c>
      <c r="F237" s="36" t="s">
        <v>1364</v>
      </c>
      <c r="G237" s="37" t="s">
        <v>387</v>
      </c>
      <c r="H237" s="38" t="s">
        <v>1027</v>
      </c>
      <c r="I237" s="38" t="s">
        <v>1162</v>
      </c>
      <c r="J237" s="91" t="s">
        <v>1365</v>
      </c>
      <c r="K237" s="58">
        <v>45770.0</v>
      </c>
      <c r="L237" s="38" t="s">
        <v>862</v>
      </c>
      <c r="M237" s="63" t="s">
        <v>1020</v>
      </c>
      <c r="N237" s="66">
        <v>46179.0</v>
      </c>
      <c r="O237" s="50">
        <f t="shared" si="25"/>
        <v>46089</v>
      </c>
      <c r="P237" s="37" t="s">
        <v>1044</v>
      </c>
      <c r="Q237" s="35" t="s">
        <v>1045</v>
      </c>
      <c r="R237" s="35" t="s">
        <v>286</v>
      </c>
      <c r="S237" s="45" t="b">
        <v>1</v>
      </c>
      <c r="T237" s="43">
        <f>IFERROR(__xludf.DUMMYFUNCTION("IFERROR(VLOOKUP(C237,IMPORTRANGE(""https://docs.google.com/spreadsheets/d/1RmEXtNg60OGvqZjyMxiYNPJ6S_kcz01v57qrHugDWVc/edit#gid=0"",""Chegadas!E:AQ""),19,0),"""")"),45584.0)</f>
        <v>45584</v>
      </c>
      <c r="U237" s="88" t="s">
        <v>393</v>
      </c>
      <c r="V237" s="60" t="s">
        <v>1362</v>
      </c>
      <c r="W237" s="61" t="str">
        <f>IFERROR(IF(U237="Ativo","Ativo",IF(U237="SKU excluído","Vencido",VLOOKUP(C237,Encerramentos!B:G,6,0))),"")</f>
        <v>Ativo</v>
      </c>
    </row>
    <row r="238">
      <c r="A238" s="49" t="s">
        <v>231</v>
      </c>
      <c r="B238" s="33" t="str">
        <f t="shared" si="12"/>
        <v/>
      </c>
      <c r="C238" s="34" t="s">
        <v>1366</v>
      </c>
      <c r="D238" s="35" t="s">
        <v>1277</v>
      </c>
      <c r="E238" s="35" t="s">
        <v>1317</v>
      </c>
      <c r="F238" s="36" t="s">
        <v>1367</v>
      </c>
      <c r="G238" s="37" t="s">
        <v>387</v>
      </c>
      <c r="H238" s="38" t="s">
        <v>1027</v>
      </c>
      <c r="I238" s="38" t="s">
        <v>1162</v>
      </c>
      <c r="J238" s="91" t="s">
        <v>1368</v>
      </c>
      <c r="K238" s="58">
        <v>45770.0</v>
      </c>
      <c r="L238" s="38" t="s">
        <v>862</v>
      </c>
      <c r="M238" s="63" t="s">
        <v>1020</v>
      </c>
      <c r="N238" s="66">
        <v>46179.0</v>
      </c>
      <c r="O238" s="50">
        <f t="shared" si="25"/>
        <v>46089</v>
      </c>
      <c r="P238" s="37" t="s">
        <v>1044</v>
      </c>
      <c r="Q238" s="35" t="s">
        <v>1045</v>
      </c>
      <c r="R238" s="35" t="s">
        <v>286</v>
      </c>
      <c r="S238" s="45" t="b">
        <v>1</v>
      </c>
      <c r="T238" s="43">
        <f>IFERROR(__xludf.DUMMYFUNCTION("IFERROR(VLOOKUP(C238,IMPORTRANGE(""https://docs.google.com/spreadsheets/d/1RmEXtNg60OGvqZjyMxiYNPJ6S_kcz01v57qrHugDWVc/edit#gid=0"",""Chegadas!E:AQ""),19,0),"""")"),45635.0)</f>
        <v>45635</v>
      </c>
      <c r="U238" s="88" t="s">
        <v>393</v>
      </c>
      <c r="V238" s="60" t="s">
        <v>1362</v>
      </c>
      <c r="W238" s="61" t="str">
        <f>IFERROR(IF(U238="Ativo","Ativo",IF(U238="SKU excluído","Vencido",VLOOKUP(C238,Encerramentos!B:G,6,0))),"")</f>
        <v>Ativo</v>
      </c>
    </row>
    <row r="239">
      <c r="A239" s="49" t="s">
        <v>231</v>
      </c>
      <c r="B239" s="33" t="str">
        <f t="shared" si="12"/>
        <v/>
      </c>
      <c r="C239" s="34" t="s">
        <v>1369</v>
      </c>
      <c r="D239" s="35" t="s">
        <v>1277</v>
      </c>
      <c r="E239" s="35" t="s">
        <v>1317</v>
      </c>
      <c r="F239" s="36" t="s">
        <v>1370</v>
      </c>
      <c r="G239" s="37" t="s">
        <v>387</v>
      </c>
      <c r="H239" s="38" t="s">
        <v>1027</v>
      </c>
      <c r="I239" s="38" t="s">
        <v>1162</v>
      </c>
      <c r="J239" s="91" t="s">
        <v>1371</v>
      </c>
      <c r="K239" s="58">
        <v>45770.0</v>
      </c>
      <c r="L239" s="38" t="s">
        <v>862</v>
      </c>
      <c r="M239" s="63" t="s">
        <v>1020</v>
      </c>
      <c r="N239" s="66">
        <v>46179.0</v>
      </c>
      <c r="O239" s="50">
        <f t="shared" si="25"/>
        <v>46089</v>
      </c>
      <c r="P239" s="37" t="s">
        <v>1044</v>
      </c>
      <c r="Q239" s="35" t="s">
        <v>1045</v>
      </c>
      <c r="R239" s="35" t="s">
        <v>286</v>
      </c>
      <c r="S239" s="45" t="b">
        <v>1</v>
      </c>
      <c r="T239" s="43">
        <f>IFERROR(__xludf.DUMMYFUNCTION("IFERROR(VLOOKUP(C239,IMPORTRANGE(""https://docs.google.com/spreadsheets/d/1RmEXtNg60OGvqZjyMxiYNPJ6S_kcz01v57qrHugDWVc/edit#gid=0"",""Chegadas!E:AQ""),19,0),"""")"),45635.0)</f>
        <v>45635</v>
      </c>
      <c r="U239" s="88" t="s">
        <v>393</v>
      </c>
      <c r="V239" s="60" t="s">
        <v>1362</v>
      </c>
      <c r="W239" s="61" t="str">
        <f>IFERROR(IF(U239="Ativo","Ativo",IF(U239="SKU excluído","Vencido",VLOOKUP(C239,Encerramentos!B:G,6,0))),"")</f>
        <v>Ativo</v>
      </c>
    </row>
    <row r="240">
      <c r="A240" s="49" t="s">
        <v>231</v>
      </c>
      <c r="B240" s="33" t="str">
        <f t="shared" si="12"/>
        <v/>
      </c>
      <c r="C240" s="34" t="s">
        <v>1372</v>
      </c>
      <c r="D240" s="35" t="s">
        <v>1277</v>
      </c>
      <c r="E240" s="35" t="s">
        <v>1317</v>
      </c>
      <c r="F240" s="36" t="s">
        <v>1373</v>
      </c>
      <c r="G240" s="37" t="s">
        <v>387</v>
      </c>
      <c r="H240" s="38" t="s">
        <v>1027</v>
      </c>
      <c r="I240" s="38" t="s">
        <v>1162</v>
      </c>
      <c r="J240" s="91" t="s">
        <v>1374</v>
      </c>
      <c r="K240" s="58">
        <v>45770.0</v>
      </c>
      <c r="L240" s="38" t="s">
        <v>862</v>
      </c>
      <c r="M240" s="63" t="s">
        <v>1020</v>
      </c>
      <c r="N240" s="66">
        <v>46167.0</v>
      </c>
      <c r="O240" s="50">
        <f t="shared" si="25"/>
        <v>46077</v>
      </c>
      <c r="P240" s="37" t="s">
        <v>1064</v>
      </c>
      <c r="Q240" s="35" t="s">
        <v>1065</v>
      </c>
      <c r="R240" s="35" t="s">
        <v>286</v>
      </c>
      <c r="S240" s="45" t="b">
        <v>1</v>
      </c>
      <c r="T240" s="43">
        <f>IFERROR(__xludf.DUMMYFUNCTION("IFERROR(VLOOKUP(C240,IMPORTRANGE(""https://docs.google.com/spreadsheets/d/1RmEXtNg60OGvqZjyMxiYNPJ6S_kcz01v57qrHugDWVc/edit#gid=0"",""Chegadas!E:AQ""),19,0),"""")"),45584.0)</f>
        <v>45584</v>
      </c>
      <c r="U240" s="88" t="s">
        <v>393</v>
      </c>
      <c r="V240" s="60" t="s">
        <v>1375</v>
      </c>
      <c r="W240" s="61" t="str">
        <f>IFERROR(IF(U240="Ativo","Ativo",IF(U240="SKU excluído","Vencido",VLOOKUP(C240,Encerramentos!B:G,6,0))),"")</f>
        <v>Ativo</v>
      </c>
    </row>
    <row r="241">
      <c r="A241" s="49" t="s">
        <v>231</v>
      </c>
      <c r="B241" s="33" t="str">
        <f t="shared" si="12"/>
        <v/>
      </c>
      <c r="C241" s="34" t="s">
        <v>1376</v>
      </c>
      <c r="D241" s="35" t="s">
        <v>1277</v>
      </c>
      <c r="E241" s="35" t="s">
        <v>1317</v>
      </c>
      <c r="F241" s="36" t="s">
        <v>1377</v>
      </c>
      <c r="G241" s="37" t="s">
        <v>387</v>
      </c>
      <c r="H241" s="38" t="s">
        <v>1027</v>
      </c>
      <c r="I241" s="38" t="s">
        <v>1162</v>
      </c>
      <c r="J241" s="91" t="s">
        <v>1378</v>
      </c>
      <c r="K241" s="58">
        <v>45770.0</v>
      </c>
      <c r="L241" s="38" t="s">
        <v>862</v>
      </c>
      <c r="M241" s="63" t="s">
        <v>1020</v>
      </c>
      <c r="N241" s="66">
        <v>46167.0</v>
      </c>
      <c r="O241" s="50">
        <f t="shared" si="25"/>
        <v>46077</v>
      </c>
      <c r="P241" s="37" t="s">
        <v>1064</v>
      </c>
      <c r="Q241" s="35" t="s">
        <v>1065</v>
      </c>
      <c r="R241" s="35" t="s">
        <v>286</v>
      </c>
      <c r="S241" s="45" t="b">
        <v>1</v>
      </c>
      <c r="T241" s="43">
        <f>IFERROR(__xludf.DUMMYFUNCTION("IFERROR(VLOOKUP(C241,IMPORTRANGE(""https://docs.google.com/spreadsheets/d/1RmEXtNg60OGvqZjyMxiYNPJ6S_kcz01v57qrHugDWVc/edit#gid=0"",""Chegadas!E:AQ""),19,0),"""")"),45584.0)</f>
        <v>45584</v>
      </c>
      <c r="U241" s="88" t="s">
        <v>393</v>
      </c>
      <c r="V241" s="60" t="s">
        <v>1375</v>
      </c>
      <c r="W241" s="61" t="str">
        <f>IFERROR(IF(U241="Ativo","Ativo",IF(U241="SKU excluído","Vencido",VLOOKUP(C241,Encerramentos!B:G,6,0))),"")</f>
        <v>Ativo</v>
      </c>
    </row>
    <row r="242" hidden="1">
      <c r="A242" s="49" t="s">
        <v>231</v>
      </c>
      <c r="B242" s="33" t="str">
        <f t="shared" si="12"/>
        <v/>
      </c>
      <c r="C242" s="34" t="s">
        <v>1379</v>
      </c>
      <c r="D242" s="35" t="s">
        <v>1328</v>
      </c>
      <c r="E242" s="35" t="s">
        <v>1236</v>
      </c>
      <c r="F242" s="36" t="s">
        <v>1380</v>
      </c>
      <c r="G242" s="37" t="s">
        <v>917</v>
      </c>
      <c r="H242" s="38" t="s">
        <v>98</v>
      </c>
      <c r="I242" s="38" t="s">
        <v>1162</v>
      </c>
      <c r="J242" s="91" t="s">
        <v>1381</v>
      </c>
      <c r="K242" s="58">
        <v>45750.0</v>
      </c>
      <c r="L242" s="38" t="s">
        <v>862</v>
      </c>
      <c r="M242" s="45" t="s">
        <v>1239</v>
      </c>
      <c r="N242" s="66">
        <v>46133.0</v>
      </c>
      <c r="O242" s="50">
        <f t="shared" si="25"/>
        <v>46043</v>
      </c>
      <c r="P242" s="35" t="s">
        <v>1240</v>
      </c>
      <c r="Q242" s="35" t="s">
        <v>1241</v>
      </c>
      <c r="R242" s="35" t="s">
        <v>286</v>
      </c>
      <c r="S242" s="45" t="b">
        <v>1</v>
      </c>
      <c r="T242" s="43">
        <f>IFERROR(__xludf.DUMMYFUNCTION("IFERROR(VLOOKUP(C242,IMPORTRANGE(""https://docs.google.com/spreadsheets/d/1RmEXtNg60OGvqZjyMxiYNPJ6S_kcz01v57qrHugDWVc/edit#gid=0"",""Chegadas!E:AQ""),19,0),"""")"),45709.0)</f>
        <v>45709</v>
      </c>
      <c r="U242" s="88" t="s">
        <v>393</v>
      </c>
      <c r="V242" s="60" t="s">
        <v>1242</v>
      </c>
      <c r="W242" s="61" t="str">
        <f>IFERROR(IF(U242="Ativo","Ativo",IF(U242="SKU excluído","Vencido",VLOOKUP(C242,Encerramentos!B:G,6,0))),"")</f>
        <v>Ativo</v>
      </c>
    </row>
    <row r="243" hidden="1">
      <c r="A243" s="49" t="s">
        <v>231</v>
      </c>
      <c r="B243" s="33" t="str">
        <f t="shared" si="12"/>
        <v/>
      </c>
      <c r="C243" s="34" t="s">
        <v>1382</v>
      </c>
      <c r="D243" s="35" t="s">
        <v>1328</v>
      </c>
      <c r="E243" s="35" t="s">
        <v>1236</v>
      </c>
      <c r="F243" s="36" t="s">
        <v>1383</v>
      </c>
      <c r="G243" s="37" t="s">
        <v>917</v>
      </c>
      <c r="H243" s="38" t="s">
        <v>98</v>
      </c>
      <c r="I243" s="38" t="s">
        <v>1162</v>
      </c>
      <c r="J243" s="91" t="s">
        <v>1384</v>
      </c>
      <c r="K243" s="58">
        <v>45750.0</v>
      </c>
      <c r="L243" s="38" t="s">
        <v>862</v>
      </c>
      <c r="M243" s="45" t="s">
        <v>1239</v>
      </c>
      <c r="N243" s="66">
        <v>46133.0</v>
      </c>
      <c r="O243" s="50">
        <f t="shared" si="25"/>
        <v>46043</v>
      </c>
      <c r="P243" s="35" t="s">
        <v>1240</v>
      </c>
      <c r="Q243" s="35" t="s">
        <v>1241</v>
      </c>
      <c r="R243" s="35" t="s">
        <v>286</v>
      </c>
      <c r="S243" s="45" t="b">
        <v>1</v>
      </c>
      <c r="T243" s="43">
        <f>IFERROR(__xludf.DUMMYFUNCTION("IFERROR(VLOOKUP(C243,IMPORTRANGE(""https://docs.google.com/spreadsheets/d/1RmEXtNg60OGvqZjyMxiYNPJ6S_kcz01v57qrHugDWVc/edit#gid=0"",""Chegadas!E:AQ""),19,0),"""")"),45709.0)</f>
        <v>45709</v>
      </c>
      <c r="U243" s="88" t="s">
        <v>393</v>
      </c>
      <c r="V243" s="60" t="s">
        <v>1242</v>
      </c>
      <c r="W243" s="61" t="str">
        <f>IFERROR(IF(U243="Ativo","Ativo",IF(U243="SKU excluído","Vencido",VLOOKUP(C243,Encerramentos!B:G,6,0))),"")</f>
        <v>Ativo</v>
      </c>
    </row>
    <row r="244" hidden="1">
      <c r="A244" s="49" t="s">
        <v>231</v>
      </c>
      <c r="B244" s="33" t="str">
        <f t="shared" si="12"/>
        <v/>
      </c>
      <c r="C244" s="34" t="s">
        <v>1385</v>
      </c>
      <c r="D244" s="35" t="s">
        <v>1328</v>
      </c>
      <c r="E244" s="35" t="s">
        <v>1236</v>
      </c>
      <c r="F244" s="36" t="s">
        <v>1386</v>
      </c>
      <c r="G244" s="37" t="s">
        <v>917</v>
      </c>
      <c r="H244" s="38" t="s">
        <v>98</v>
      </c>
      <c r="I244" s="38" t="s">
        <v>1162</v>
      </c>
      <c r="J244" s="91" t="s">
        <v>1387</v>
      </c>
      <c r="K244" s="58">
        <v>45750.0</v>
      </c>
      <c r="L244" s="38" t="s">
        <v>862</v>
      </c>
      <c r="M244" s="45" t="s">
        <v>1239</v>
      </c>
      <c r="N244" s="66">
        <v>46133.0</v>
      </c>
      <c r="O244" s="50">
        <f t="shared" si="25"/>
        <v>46043</v>
      </c>
      <c r="P244" s="35" t="s">
        <v>1240</v>
      </c>
      <c r="Q244" s="35" t="s">
        <v>1241</v>
      </c>
      <c r="R244" s="35" t="s">
        <v>286</v>
      </c>
      <c r="S244" s="45" t="b">
        <v>1</v>
      </c>
      <c r="T244" s="43">
        <f>IFERROR(__xludf.DUMMYFUNCTION("IFERROR(VLOOKUP(C244,IMPORTRANGE(""https://docs.google.com/spreadsheets/d/1RmEXtNg60OGvqZjyMxiYNPJ6S_kcz01v57qrHugDWVc/edit#gid=0"",""Chegadas!E:AQ""),19,0),"""")"),45709.0)</f>
        <v>45709</v>
      </c>
      <c r="U244" s="88" t="s">
        <v>393</v>
      </c>
      <c r="V244" s="60" t="s">
        <v>1242</v>
      </c>
      <c r="W244" s="61" t="str">
        <f>IFERROR(IF(U244="Ativo","Ativo",IF(U244="SKU excluído","Vencido",VLOOKUP(C244,Encerramentos!B:G,6,0))),"")</f>
        <v>Ativo</v>
      </c>
    </row>
    <row r="245" hidden="1">
      <c r="A245" s="49" t="s">
        <v>231</v>
      </c>
      <c r="B245" s="33" t="str">
        <f t="shared" si="12"/>
        <v/>
      </c>
      <c r="C245" s="34" t="s">
        <v>1388</v>
      </c>
      <c r="D245" s="35" t="s">
        <v>1328</v>
      </c>
      <c r="E245" s="35" t="s">
        <v>1236</v>
      </c>
      <c r="F245" s="36" t="s">
        <v>1389</v>
      </c>
      <c r="G245" s="37" t="s">
        <v>917</v>
      </c>
      <c r="H245" s="38" t="s">
        <v>98</v>
      </c>
      <c r="I245" s="38" t="s">
        <v>1162</v>
      </c>
      <c r="J245" s="91" t="s">
        <v>1390</v>
      </c>
      <c r="K245" s="58">
        <v>45750.0</v>
      </c>
      <c r="L245" s="38" t="s">
        <v>862</v>
      </c>
      <c r="M245" s="45" t="s">
        <v>1239</v>
      </c>
      <c r="N245" s="66">
        <v>46133.0</v>
      </c>
      <c r="O245" s="50">
        <f t="shared" si="25"/>
        <v>46043</v>
      </c>
      <c r="P245" s="35" t="s">
        <v>1240</v>
      </c>
      <c r="Q245" s="35" t="s">
        <v>1241</v>
      </c>
      <c r="R245" s="35" t="s">
        <v>286</v>
      </c>
      <c r="S245" s="45" t="b">
        <v>1</v>
      </c>
      <c r="T245" s="43">
        <f>IFERROR(__xludf.DUMMYFUNCTION("IFERROR(VLOOKUP(C245,IMPORTRANGE(""https://docs.google.com/spreadsheets/d/1RmEXtNg60OGvqZjyMxiYNPJ6S_kcz01v57qrHugDWVc/edit#gid=0"",""Chegadas!E:AQ""),19,0),"""")"),45709.0)</f>
        <v>45709</v>
      </c>
      <c r="U245" s="88" t="s">
        <v>393</v>
      </c>
      <c r="V245" s="60" t="s">
        <v>1242</v>
      </c>
      <c r="W245" s="61" t="str">
        <f>IFERROR(IF(U245="Ativo","Ativo",IF(U245="SKU excluído","Vencido",VLOOKUP(C245,Encerramentos!B:G,6,0))),"")</f>
        <v>Ativo</v>
      </c>
    </row>
    <row r="246" hidden="1">
      <c r="A246" s="49" t="s">
        <v>231</v>
      </c>
      <c r="B246" s="33" t="str">
        <f t="shared" si="12"/>
        <v/>
      </c>
      <c r="C246" s="34" t="s">
        <v>1391</v>
      </c>
      <c r="D246" s="35" t="s">
        <v>1328</v>
      </c>
      <c r="E246" s="35" t="s">
        <v>1236</v>
      </c>
      <c r="F246" s="36" t="s">
        <v>1392</v>
      </c>
      <c r="G246" s="37" t="s">
        <v>917</v>
      </c>
      <c r="H246" s="38" t="s">
        <v>98</v>
      </c>
      <c r="I246" s="38" t="s">
        <v>1264</v>
      </c>
      <c r="J246" s="91" t="s">
        <v>1393</v>
      </c>
      <c r="K246" s="58">
        <v>45750.0</v>
      </c>
      <c r="L246" s="38" t="s">
        <v>862</v>
      </c>
      <c r="M246" s="45" t="s">
        <v>1239</v>
      </c>
      <c r="N246" s="66">
        <v>46133.0</v>
      </c>
      <c r="O246" s="50">
        <f t="shared" si="25"/>
        <v>46043</v>
      </c>
      <c r="P246" s="35" t="s">
        <v>1240</v>
      </c>
      <c r="Q246" s="35" t="s">
        <v>1241</v>
      </c>
      <c r="R246" s="35" t="s">
        <v>286</v>
      </c>
      <c r="S246" s="45" t="b">
        <v>1</v>
      </c>
      <c r="T246" s="43">
        <f>IFERROR(__xludf.DUMMYFUNCTION("IFERROR(VLOOKUP(C246,IMPORTRANGE(""https://docs.google.com/spreadsheets/d/1RmEXtNg60OGvqZjyMxiYNPJ6S_kcz01v57qrHugDWVc/edit#gid=0"",""Chegadas!E:AQ""),19,0),"""")"),45709.0)</f>
        <v>45709</v>
      </c>
      <c r="U246" s="88" t="s">
        <v>393</v>
      </c>
      <c r="V246" s="60" t="s">
        <v>1242</v>
      </c>
      <c r="W246" s="61" t="str">
        <f>IFERROR(IF(U246="Ativo","Ativo",IF(U246="SKU excluído","Vencido",VLOOKUP(C246,Encerramentos!B:G,6,0))),"")</f>
        <v>Ativo</v>
      </c>
    </row>
    <row r="247" hidden="1">
      <c r="A247" s="49" t="s">
        <v>231</v>
      </c>
      <c r="B247" s="33" t="str">
        <f t="shared" si="12"/>
        <v/>
      </c>
      <c r="C247" s="34" t="s">
        <v>1394</v>
      </c>
      <c r="D247" s="35" t="s">
        <v>1328</v>
      </c>
      <c r="E247" s="35" t="s">
        <v>1236</v>
      </c>
      <c r="F247" s="36" t="s">
        <v>1395</v>
      </c>
      <c r="G247" s="37" t="s">
        <v>917</v>
      </c>
      <c r="H247" s="38" t="s">
        <v>98</v>
      </c>
      <c r="I247" s="38" t="s">
        <v>1162</v>
      </c>
      <c r="J247" s="91" t="s">
        <v>1396</v>
      </c>
      <c r="K247" s="58">
        <v>45750.0</v>
      </c>
      <c r="L247" s="38" t="s">
        <v>862</v>
      </c>
      <c r="M247" s="45" t="s">
        <v>1239</v>
      </c>
      <c r="N247" s="66">
        <v>46133.0</v>
      </c>
      <c r="O247" s="50">
        <f t="shared" si="25"/>
        <v>46043</v>
      </c>
      <c r="P247" s="35" t="s">
        <v>1240</v>
      </c>
      <c r="Q247" s="35" t="s">
        <v>1241</v>
      </c>
      <c r="R247" s="35" t="s">
        <v>286</v>
      </c>
      <c r="S247" s="45" t="b">
        <v>1</v>
      </c>
      <c r="T247" s="43">
        <f>IFERROR(__xludf.DUMMYFUNCTION("IFERROR(VLOOKUP(C247,IMPORTRANGE(""https://docs.google.com/spreadsheets/d/1RmEXtNg60OGvqZjyMxiYNPJ6S_kcz01v57qrHugDWVc/edit#gid=0"",""Chegadas!E:AQ""),19,0),"""")"),45709.0)</f>
        <v>45709</v>
      </c>
      <c r="U247" s="88" t="s">
        <v>393</v>
      </c>
      <c r="V247" s="60" t="s">
        <v>1242</v>
      </c>
      <c r="W247" s="61" t="str">
        <f>IFERROR(IF(U247="Ativo","Ativo",IF(U247="SKU excluído","Vencido",VLOOKUP(C247,Encerramentos!B:G,6,0))),"")</f>
        <v>Ativo</v>
      </c>
    </row>
    <row r="248" hidden="1">
      <c r="A248" s="49" t="s">
        <v>231</v>
      </c>
      <c r="B248" s="33" t="str">
        <f t="shared" si="12"/>
        <v/>
      </c>
      <c r="C248" s="34" t="s">
        <v>1397</v>
      </c>
      <c r="D248" s="35" t="s">
        <v>1328</v>
      </c>
      <c r="E248" s="35" t="s">
        <v>1236</v>
      </c>
      <c r="F248" s="36" t="s">
        <v>1398</v>
      </c>
      <c r="G248" s="37" t="s">
        <v>917</v>
      </c>
      <c r="H248" s="38" t="s">
        <v>98</v>
      </c>
      <c r="I248" s="38" t="s">
        <v>1162</v>
      </c>
      <c r="J248" s="91" t="s">
        <v>1399</v>
      </c>
      <c r="K248" s="58">
        <v>45750.0</v>
      </c>
      <c r="L248" s="38" t="s">
        <v>862</v>
      </c>
      <c r="M248" s="45" t="s">
        <v>1239</v>
      </c>
      <c r="N248" s="66">
        <v>46133.0</v>
      </c>
      <c r="O248" s="50">
        <f t="shared" si="25"/>
        <v>46043</v>
      </c>
      <c r="P248" s="35" t="s">
        <v>1240</v>
      </c>
      <c r="Q248" s="35" t="s">
        <v>1241</v>
      </c>
      <c r="R248" s="35" t="s">
        <v>286</v>
      </c>
      <c r="S248" s="45" t="b">
        <v>1</v>
      </c>
      <c r="T248" s="43">
        <f>IFERROR(__xludf.DUMMYFUNCTION("IFERROR(VLOOKUP(C248,IMPORTRANGE(""https://docs.google.com/spreadsheets/d/1RmEXtNg60OGvqZjyMxiYNPJ6S_kcz01v57qrHugDWVc/edit#gid=0"",""Chegadas!E:AQ""),19,0),"""")"),45709.0)</f>
        <v>45709</v>
      </c>
      <c r="U248" s="88" t="s">
        <v>393</v>
      </c>
      <c r="V248" s="60" t="s">
        <v>1242</v>
      </c>
      <c r="W248" s="61" t="str">
        <f>IFERROR(IF(U248="Ativo","Ativo",IF(U248="SKU excluído","Vencido",VLOOKUP(C248,Encerramentos!B:G,6,0))),"")</f>
        <v>Ativo</v>
      </c>
    </row>
    <row r="249" hidden="1">
      <c r="A249" s="49" t="s">
        <v>231</v>
      </c>
      <c r="B249" s="33" t="str">
        <f t="shared" si="12"/>
        <v/>
      </c>
      <c r="C249" s="34" t="s">
        <v>1400</v>
      </c>
      <c r="D249" s="35" t="s">
        <v>1328</v>
      </c>
      <c r="E249" s="35" t="s">
        <v>1236</v>
      </c>
      <c r="F249" s="36" t="s">
        <v>1401</v>
      </c>
      <c r="G249" s="37" t="s">
        <v>917</v>
      </c>
      <c r="H249" s="38" t="s">
        <v>98</v>
      </c>
      <c r="I249" s="38" t="s">
        <v>1162</v>
      </c>
      <c r="J249" s="93" t="s">
        <v>1402</v>
      </c>
      <c r="K249" s="58">
        <v>45792.0</v>
      </c>
      <c r="L249" s="38" t="s">
        <v>862</v>
      </c>
      <c r="M249" s="45" t="s">
        <v>1239</v>
      </c>
      <c r="N249" s="66">
        <v>46190.0</v>
      </c>
      <c r="O249" s="50">
        <f t="shared" si="25"/>
        <v>46100</v>
      </c>
      <c r="P249" s="35" t="s">
        <v>1308</v>
      </c>
      <c r="Q249" s="35" t="s">
        <v>1309</v>
      </c>
      <c r="R249" s="35" t="s">
        <v>286</v>
      </c>
      <c r="S249" s="45" t="b">
        <v>1</v>
      </c>
      <c r="T249" s="43">
        <f>IFERROR(__xludf.DUMMYFUNCTION("IFERROR(VLOOKUP(C249,IMPORTRANGE(""https://docs.google.com/spreadsheets/d/1RmEXtNg60OGvqZjyMxiYNPJ6S_kcz01v57qrHugDWVc/edit#gid=0"",""Chegadas!E:AQ""),19,0),"""")"),45709.0)</f>
        <v>45709</v>
      </c>
      <c r="U249" s="88" t="s">
        <v>393</v>
      </c>
      <c r="V249" s="60" t="s">
        <v>1310</v>
      </c>
      <c r="W249" s="61" t="str">
        <f>IFERROR(IF(U249="Ativo","Ativo",IF(U249="SKU excluído","Vencido",VLOOKUP(C249,Encerramentos!B:G,6,0))),"")</f>
        <v>Ativo</v>
      </c>
    </row>
    <row r="250" hidden="1">
      <c r="A250" s="49" t="s">
        <v>231</v>
      </c>
      <c r="B250" s="33" t="str">
        <f t="shared" si="12"/>
        <v/>
      </c>
      <c r="C250" s="34" t="s">
        <v>1403</v>
      </c>
      <c r="D250" s="35" t="s">
        <v>1328</v>
      </c>
      <c r="E250" s="35" t="s">
        <v>1236</v>
      </c>
      <c r="F250" s="36" t="s">
        <v>1404</v>
      </c>
      <c r="G250" s="37" t="s">
        <v>917</v>
      </c>
      <c r="H250" s="38" t="s">
        <v>98</v>
      </c>
      <c r="I250" s="38" t="s">
        <v>1162</v>
      </c>
      <c r="J250" s="93" t="s">
        <v>1405</v>
      </c>
      <c r="K250" s="58">
        <v>45792.0</v>
      </c>
      <c r="L250" s="38" t="s">
        <v>862</v>
      </c>
      <c r="M250" s="45" t="s">
        <v>1239</v>
      </c>
      <c r="N250" s="66">
        <v>46190.0</v>
      </c>
      <c r="O250" s="50">
        <f t="shared" si="25"/>
        <v>46100</v>
      </c>
      <c r="P250" s="35" t="s">
        <v>1308</v>
      </c>
      <c r="Q250" s="35" t="s">
        <v>1309</v>
      </c>
      <c r="R250" s="35" t="s">
        <v>286</v>
      </c>
      <c r="S250" s="45" t="b">
        <v>1</v>
      </c>
      <c r="T250" s="43">
        <f>IFERROR(__xludf.DUMMYFUNCTION("IFERROR(VLOOKUP(C250,IMPORTRANGE(""https://docs.google.com/spreadsheets/d/1RmEXtNg60OGvqZjyMxiYNPJ6S_kcz01v57qrHugDWVc/edit#gid=0"",""Chegadas!E:AQ""),19,0),"""")"),45709.0)</f>
        <v>45709</v>
      </c>
      <c r="U250" s="88" t="s">
        <v>393</v>
      </c>
      <c r="V250" s="60" t="s">
        <v>1310</v>
      </c>
      <c r="W250" s="61" t="str">
        <f>IFERROR(IF(U250="Ativo","Ativo",IF(U250="SKU excluído","Vencido",VLOOKUP(C250,Encerramentos!B:G,6,0))),"")</f>
        <v>Ativo</v>
      </c>
    </row>
    <row r="251" hidden="1">
      <c r="A251" s="49" t="s">
        <v>231</v>
      </c>
      <c r="B251" s="33" t="str">
        <f t="shared" si="12"/>
        <v/>
      </c>
      <c r="C251" s="34" t="s">
        <v>1406</v>
      </c>
      <c r="D251" s="35" t="s">
        <v>1328</v>
      </c>
      <c r="E251" s="35" t="s">
        <v>1236</v>
      </c>
      <c r="F251" s="36" t="s">
        <v>1407</v>
      </c>
      <c r="G251" s="37" t="s">
        <v>917</v>
      </c>
      <c r="H251" s="38" t="s">
        <v>98</v>
      </c>
      <c r="I251" s="38" t="s">
        <v>1162</v>
      </c>
      <c r="J251" s="93" t="s">
        <v>1408</v>
      </c>
      <c r="K251" s="58">
        <v>45792.0</v>
      </c>
      <c r="L251" s="38" t="s">
        <v>862</v>
      </c>
      <c r="M251" s="45" t="s">
        <v>1239</v>
      </c>
      <c r="N251" s="66">
        <v>46190.0</v>
      </c>
      <c r="O251" s="50">
        <f t="shared" si="25"/>
        <v>46100</v>
      </c>
      <c r="P251" s="35" t="s">
        <v>1308</v>
      </c>
      <c r="Q251" s="35" t="s">
        <v>1309</v>
      </c>
      <c r="R251" s="35" t="s">
        <v>286</v>
      </c>
      <c r="S251" s="45" t="b">
        <v>1</v>
      </c>
      <c r="T251" s="43">
        <f>IFERROR(__xludf.DUMMYFUNCTION("IFERROR(VLOOKUP(C251,IMPORTRANGE(""https://docs.google.com/spreadsheets/d/1RmEXtNg60OGvqZjyMxiYNPJ6S_kcz01v57qrHugDWVc/edit#gid=0"",""Chegadas!E:AQ""),19,0),"""")"),45709.0)</f>
        <v>45709</v>
      </c>
      <c r="U251" s="88" t="s">
        <v>393</v>
      </c>
      <c r="V251" s="60" t="s">
        <v>1310</v>
      </c>
      <c r="W251" s="61" t="str">
        <f>IFERROR(IF(U251="Ativo","Ativo",IF(U251="SKU excluído","Vencido",VLOOKUP(C251,Encerramentos!B:G,6,0))),"")</f>
        <v>Ativo</v>
      </c>
    </row>
    <row r="252" hidden="1">
      <c r="A252" s="49" t="s">
        <v>231</v>
      </c>
      <c r="B252" s="33" t="str">
        <f t="shared" si="12"/>
        <v/>
      </c>
      <c r="C252" s="34" t="s">
        <v>1409</v>
      </c>
      <c r="D252" s="35" t="s">
        <v>1328</v>
      </c>
      <c r="E252" s="35" t="s">
        <v>1236</v>
      </c>
      <c r="F252" s="36" t="s">
        <v>1410</v>
      </c>
      <c r="G252" s="37" t="s">
        <v>917</v>
      </c>
      <c r="H252" s="38" t="s">
        <v>98</v>
      </c>
      <c r="I252" s="38" t="s">
        <v>1162</v>
      </c>
      <c r="J252" s="93" t="s">
        <v>1411</v>
      </c>
      <c r="K252" s="58">
        <v>45792.0</v>
      </c>
      <c r="L252" s="38" t="s">
        <v>862</v>
      </c>
      <c r="M252" s="45" t="s">
        <v>1239</v>
      </c>
      <c r="N252" s="66">
        <v>46190.0</v>
      </c>
      <c r="O252" s="50">
        <f t="shared" si="25"/>
        <v>46100</v>
      </c>
      <c r="P252" s="35" t="s">
        <v>1308</v>
      </c>
      <c r="Q252" s="35" t="s">
        <v>1309</v>
      </c>
      <c r="R252" s="35" t="s">
        <v>286</v>
      </c>
      <c r="S252" s="45" t="b">
        <v>1</v>
      </c>
      <c r="T252" s="43">
        <f>IFERROR(__xludf.DUMMYFUNCTION("IFERROR(VLOOKUP(C252,IMPORTRANGE(""https://docs.google.com/spreadsheets/d/1RmEXtNg60OGvqZjyMxiYNPJ6S_kcz01v57qrHugDWVc/edit#gid=0"",""Chegadas!E:AQ""),19,0),"""")"),45709.0)</f>
        <v>45709</v>
      </c>
      <c r="U252" s="88" t="s">
        <v>393</v>
      </c>
      <c r="V252" s="60" t="s">
        <v>1310</v>
      </c>
      <c r="W252" s="61" t="str">
        <f>IFERROR(IF(U252="Ativo","Ativo",IF(U252="SKU excluído","Vencido",VLOOKUP(C252,Encerramentos!B:G,6,0))),"")</f>
        <v>Ativo</v>
      </c>
    </row>
    <row r="253" hidden="1">
      <c r="A253" s="49" t="s">
        <v>231</v>
      </c>
      <c r="B253" s="33" t="str">
        <f t="shared" si="12"/>
        <v/>
      </c>
      <c r="C253" s="34" t="s">
        <v>1412</v>
      </c>
      <c r="D253" s="35" t="s">
        <v>1328</v>
      </c>
      <c r="E253" s="35" t="s">
        <v>1236</v>
      </c>
      <c r="F253" s="36" t="s">
        <v>1413</v>
      </c>
      <c r="G253" s="37" t="s">
        <v>917</v>
      </c>
      <c r="H253" s="38" t="s">
        <v>98</v>
      </c>
      <c r="I253" s="38" t="s">
        <v>1162</v>
      </c>
      <c r="J253" s="93" t="s">
        <v>1414</v>
      </c>
      <c r="K253" s="58">
        <v>45792.0</v>
      </c>
      <c r="L253" s="38" t="s">
        <v>862</v>
      </c>
      <c r="M253" s="45" t="s">
        <v>1239</v>
      </c>
      <c r="N253" s="66">
        <v>46190.0</v>
      </c>
      <c r="O253" s="50">
        <f t="shared" si="25"/>
        <v>46100</v>
      </c>
      <c r="P253" s="35" t="s">
        <v>1308</v>
      </c>
      <c r="Q253" s="35" t="s">
        <v>1309</v>
      </c>
      <c r="R253" s="35" t="s">
        <v>286</v>
      </c>
      <c r="S253" s="45" t="b">
        <v>1</v>
      </c>
      <c r="T253" s="43">
        <f>IFERROR(__xludf.DUMMYFUNCTION("IFERROR(VLOOKUP(C253,IMPORTRANGE(""https://docs.google.com/spreadsheets/d/1RmEXtNg60OGvqZjyMxiYNPJ6S_kcz01v57qrHugDWVc/edit#gid=0"",""Chegadas!E:AQ""),19,0),"""")"),45709.0)</f>
        <v>45709</v>
      </c>
      <c r="U253" s="88" t="s">
        <v>393</v>
      </c>
      <c r="V253" s="60" t="s">
        <v>1310</v>
      </c>
      <c r="W253" s="61" t="str">
        <f>IFERROR(IF(U253="Ativo","Ativo",IF(U253="SKU excluído","Vencido",VLOOKUP(C253,Encerramentos!B:G,6,0))),"")</f>
        <v>Ativo</v>
      </c>
    </row>
    <row r="254" hidden="1">
      <c r="A254" s="49" t="s">
        <v>231</v>
      </c>
      <c r="B254" s="33" t="str">
        <f t="shared" si="12"/>
        <v/>
      </c>
      <c r="C254" s="34" t="s">
        <v>1415</v>
      </c>
      <c r="D254" s="35" t="s">
        <v>1328</v>
      </c>
      <c r="E254" s="35" t="s">
        <v>1236</v>
      </c>
      <c r="F254" s="36" t="s">
        <v>1416</v>
      </c>
      <c r="G254" s="37" t="s">
        <v>917</v>
      </c>
      <c r="H254" s="38" t="s">
        <v>98</v>
      </c>
      <c r="I254" s="38" t="s">
        <v>1162</v>
      </c>
      <c r="J254" s="93" t="s">
        <v>1417</v>
      </c>
      <c r="K254" s="58">
        <v>45792.0</v>
      </c>
      <c r="L254" s="38" t="s">
        <v>862</v>
      </c>
      <c r="M254" s="45" t="s">
        <v>1239</v>
      </c>
      <c r="N254" s="66">
        <v>46190.0</v>
      </c>
      <c r="O254" s="50">
        <f t="shared" si="25"/>
        <v>46100</v>
      </c>
      <c r="P254" s="35" t="s">
        <v>1308</v>
      </c>
      <c r="Q254" s="35" t="s">
        <v>1309</v>
      </c>
      <c r="R254" s="35" t="s">
        <v>286</v>
      </c>
      <c r="S254" s="45" t="b">
        <v>1</v>
      </c>
      <c r="T254" s="43">
        <f>IFERROR(__xludf.DUMMYFUNCTION("IFERROR(VLOOKUP(C254,IMPORTRANGE(""https://docs.google.com/spreadsheets/d/1RmEXtNg60OGvqZjyMxiYNPJ6S_kcz01v57qrHugDWVc/edit#gid=0"",""Chegadas!E:AQ""),19,0),"""")"),45709.0)</f>
        <v>45709</v>
      </c>
      <c r="U254" s="88" t="s">
        <v>393</v>
      </c>
      <c r="V254" s="60" t="s">
        <v>1310</v>
      </c>
      <c r="W254" s="61" t="str">
        <f>IFERROR(IF(U254="Ativo","Ativo",IF(U254="SKU excluído","Vencido",VLOOKUP(C254,Encerramentos!B:G,6,0))),"")</f>
        <v>Ativo</v>
      </c>
    </row>
    <row r="255" hidden="1">
      <c r="A255" s="49" t="s">
        <v>231</v>
      </c>
      <c r="B255" s="33" t="str">
        <f t="shared" si="12"/>
        <v/>
      </c>
      <c r="C255" s="34" t="s">
        <v>1418</v>
      </c>
      <c r="D255" s="35" t="s">
        <v>1328</v>
      </c>
      <c r="E255" s="35" t="s">
        <v>1236</v>
      </c>
      <c r="F255" s="36" t="s">
        <v>1419</v>
      </c>
      <c r="G255" s="37" t="s">
        <v>917</v>
      </c>
      <c r="H255" s="38" t="s">
        <v>98</v>
      </c>
      <c r="I255" s="38" t="s">
        <v>1162</v>
      </c>
      <c r="J255" s="93" t="s">
        <v>1420</v>
      </c>
      <c r="K255" s="58">
        <v>45792.0</v>
      </c>
      <c r="L255" s="38" t="s">
        <v>862</v>
      </c>
      <c r="M255" s="45" t="s">
        <v>1239</v>
      </c>
      <c r="N255" s="66">
        <v>46190.0</v>
      </c>
      <c r="O255" s="50">
        <f t="shared" si="25"/>
        <v>46100</v>
      </c>
      <c r="P255" s="35" t="s">
        <v>1308</v>
      </c>
      <c r="Q255" s="35" t="s">
        <v>1309</v>
      </c>
      <c r="R255" s="35" t="s">
        <v>286</v>
      </c>
      <c r="S255" s="45" t="b">
        <v>1</v>
      </c>
      <c r="T255" s="43">
        <f>IFERROR(__xludf.DUMMYFUNCTION("IFERROR(VLOOKUP(C255,IMPORTRANGE(""https://docs.google.com/spreadsheets/d/1RmEXtNg60OGvqZjyMxiYNPJ6S_kcz01v57qrHugDWVc/edit#gid=0"",""Chegadas!E:AQ""),19,0),"""")"),45709.0)</f>
        <v>45709</v>
      </c>
      <c r="U255" s="88" t="s">
        <v>393</v>
      </c>
      <c r="V255" s="60" t="s">
        <v>1310</v>
      </c>
      <c r="W255" s="61" t="str">
        <f>IFERROR(IF(U255="Ativo","Ativo",IF(U255="SKU excluído","Vencido",VLOOKUP(C255,Encerramentos!B:G,6,0))),"")</f>
        <v>Ativo</v>
      </c>
    </row>
    <row r="256" hidden="1">
      <c r="A256" s="49" t="s">
        <v>231</v>
      </c>
      <c r="B256" s="33" t="str">
        <f t="shared" si="12"/>
        <v/>
      </c>
      <c r="C256" s="34" t="s">
        <v>1421</v>
      </c>
      <c r="D256" s="35" t="s">
        <v>1328</v>
      </c>
      <c r="E256" s="35" t="s">
        <v>1236</v>
      </c>
      <c r="F256" s="36" t="s">
        <v>1422</v>
      </c>
      <c r="G256" s="37" t="s">
        <v>917</v>
      </c>
      <c r="H256" s="38" t="s">
        <v>98</v>
      </c>
      <c r="I256" s="38" t="s">
        <v>1162</v>
      </c>
      <c r="J256" s="93" t="s">
        <v>1423</v>
      </c>
      <c r="K256" s="58">
        <v>45593.0</v>
      </c>
      <c r="L256" s="38" t="s">
        <v>862</v>
      </c>
      <c r="M256" s="45" t="s">
        <v>1239</v>
      </c>
      <c r="N256" s="66">
        <v>45825.0</v>
      </c>
      <c r="O256" s="50">
        <f t="shared" si="25"/>
        <v>45735</v>
      </c>
      <c r="P256" s="35" t="s">
        <v>1308</v>
      </c>
      <c r="Q256" s="35" t="s">
        <v>1309</v>
      </c>
      <c r="R256" s="35" t="s">
        <v>286</v>
      </c>
      <c r="S256" s="45" t="b">
        <v>1</v>
      </c>
      <c r="T256" s="43" t="str">
        <f>IFERROR(__xludf.DUMMYFUNCTION("IFERROR(VLOOKUP(C256,IMPORTRANGE(""https://docs.google.com/spreadsheets/d/1RmEXtNg60OGvqZjyMxiYNPJ6S_kcz01v57qrHugDWVc/edit#gid=0"",""Chegadas!E:AQ""),19,0),"""")"),"")</f>
        <v/>
      </c>
      <c r="U256" s="88" t="s">
        <v>930</v>
      </c>
      <c r="V256" s="60" t="s">
        <v>1310</v>
      </c>
      <c r="W256" s="61" t="str">
        <f>IFERROR(IF(U256="Ativo","Ativo",IF(U256="SKU excluído","Vencido",VLOOKUP(C256,Encerramentos!B:G,6,0))),"")</f>
        <v>Vencido</v>
      </c>
    </row>
    <row r="257" hidden="1">
      <c r="A257" s="49" t="s">
        <v>231</v>
      </c>
      <c r="B257" s="33" t="str">
        <f t="shared" si="12"/>
        <v/>
      </c>
      <c r="C257" s="34" t="s">
        <v>1424</v>
      </c>
      <c r="D257" s="35" t="s">
        <v>1425</v>
      </c>
      <c r="E257" s="35" t="s">
        <v>1236</v>
      </c>
      <c r="F257" s="36" t="s">
        <v>1426</v>
      </c>
      <c r="G257" s="37" t="s">
        <v>917</v>
      </c>
      <c r="H257" s="38" t="s">
        <v>98</v>
      </c>
      <c r="I257" s="38" t="s">
        <v>1162</v>
      </c>
      <c r="J257" s="91" t="s">
        <v>1427</v>
      </c>
      <c r="K257" s="58">
        <v>45792.0</v>
      </c>
      <c r="L257" s="38" t="s">
        <v>862</v>
      </c>
      <c r="M257" s="45" t="s">
        <v>1239</v>
      </c>
      <c r="N257" s="66">
        <v>46190.0</v>
      </c>
      <c r="O257" s="50">
        <f t="shared" si="25"/>
        <v>46100</v>
      </c>
      <c r="P257" s="35" t="s">
        <v>1308</v>
      </c>
      <c r="Q257" s="35" t="s">
        <v>1309</v>
      </c>
      <c r="R257" s="35" t="s">
        <v>286</v>
      </c>
      <c r="S257" s="45" t="b">
        <v>1</v>
      </c>
      <c r="T257" s="43">
        <f>IFERROR(__xludf.DUMMYFUNCTION("IFERROR(VLOOKUP(C257,IMPORTRANGE(""https://docs.google.com/spreadsheets/d/1RmEXtNg60OGvqZjyMxiYNPJ6S_kcz01v57qrHugDWVc/edit#gid=0"",""Chegadas!E:AQ""),19,0),"""")"),45737.0)</f>
        <v>45737</v>
      </c>
      <c r="U257" s="88" t="s">
        <v>393</v>
      </c>
      <c r="V257" s="60" t="s">
        <v>1310</v>
      </c>
      <c r="W257" s="61" t="str">
        <f>IFERROR(IF(U257="Ativo","Ativo",IF(U257="SKU excluído","Vencido",VLOOKUP(C257,Encerramentos!B:G,6,0))),"")</f>
        <v>Ativo</v>
      </c>
    </row>
    <row r="258" hidden="1">
      <c r="A258" s="49" t="s">
        <v>231</v>
      </c>
      <c r="B258" s="33" t="str">
        <f t="shared" si="12"/>
        <v/>
      </c>
      <c r="C258" s="34" t="s">
        <v>1428</v>
      </c>
      <c r="D258" s="35" t="s">
        <v>1425</v>
      </c>
      <c r="E258" s="35" t="s">
        <v>1236</v>
      </c>
      <c r="F258" s="36" t="s">
        <v>1429</v>
      </c>
      <c r="G258" s="37" t="s">
        <v>917</v>
      </c>
      <c r="H258" s="38" t="s">
        <v>98</v>
      </c>
      <c r="I258" s="38" t="s">
        <v>1162</v>
      </c>
      <c r="J258" s="91" t="s">
        <v>1430</v>
      </c>
      <c r="K258" s="58">
        <v>45792.0</v>
      </c>
      <c r="L258" s="38" t="s">
        <v>862</v>
      </c>
      <c r="M258" s="45" t="s">
        <v>1239</v>
      </c>
      <c r="N258" s="66">
        <v>46190.0</v>
      </c>
      <c r="O258" s="50">
        <f t="shared" si="25"/>
        <v>46100</v>
      </c>
      <c r="P258" s="35" t="s">
        <v>1308</v>
      </c>
      <c r="Q258" s="35" t="s">
        <v>1309</v>
      </c>
      <c r="R258" s="35" t="s">
        <v>286</v>
      </c>
      <c r="S258" s="45" t="b">
        <v>1</v>
      </c>
      <c r="T258" s="43">
        <f>IFERROR(__xludf.DUMMYFUNCTION("IFERROR(VLOOKUP(C258,IMPORTRANGE(""https://docs.google.com/spreadsheets/d/1RmEXtNg60OGvqZjyMxiYNPJ6S_kcz01v57qrHugDWVc/edit#gid=0"",""Chegadas!E:AQ""),19,0),"""")"),45737.0)</f>
        <v>45737</v>
      </c>
      <c r="U258" s="88" t="s">
        <v>393</v>
      </c>
      <c r="V258" s="60" t="s">
        <v>1310</v>
      </c>
      <c r="W258" s="61" t="str">
        <f>IFERROR(IF(U258="Ativo","Ativo",IF(U258="SKU excluído","Vencido",VLOOKUP(C258,Encerramentos!B:G,6,0))),"")</f>
        <v>Ativo</v>
      </c>
    </row>
    <row r="259" hidden="1">
      <c r="A259" s="49" t="s">
        <v>231</v>
      </c>
      <c r="B259" s="33" t="str">
        <f t="shared" si="12"/>
        <v/>
      </c>
      <c r="C259" s="34" t="s">
        <v>1431</v>
      </c>
      <c r="D259" s="35" t="s">
        <v>1425</v>
      </c>
      <c r="E259" s="35" t="s">
        <v>1236</v>
      </c>
      <c r="F259" s="36" t="s">
        <v>1432</v>
      </c>
      <c r="G259" s="37" t="s">
        <v>917</v>
      </c>
      <c r="H259" s="38" t="s">
        <v>98</v>
      </c>
      <c r="I259" s="38" t="s">
        <v>1264</v>
      </c>
      <c r="J259" s="91" t="s">
        <v>1433</v>
      </c>
      <c r="K259" s="58">
        <v>45911.0</v>
      </c>
      <c r="L259" s="38" t="s">
        <v>862</v>
      </c>
      <c r="M259" s="45" t="s">
        <v>1239</v>
      </c>
      <c r="N259" s="66">
        <v>45994.0</v>
      </c>
      <c r="O259" s="50">
        <f t="shared" si="25"/>
        <v>45904</v>
      </c>
      <c r="P259" s="35" t="s">
        <v>1434</v>
      </c>
      <c r="Q259" s="35" t="s">
        <v>1435</v>
      </c>
      <c r="R259" s="35" t="s">
        <v>286</v>
      </c>
      <c r="S259" s="45" t="b">
        <v>1</v>
      </c>
      <c r="T259" s="43" t="str">
        <f>IFERROR(__xludf.DUMMYFUNCTION("IFERROR(VLOOKUP(C259,IMPORTRANGE(""https://docs.google.com/spreadsheets/d/1RmEXtNg60OGvqZjyMxiYNPJ6S_kcz01v57qrHugDWVc/edit#gid=0"",""Chegadas!E:AQ""),19,0),"""")"),"")</f>
        <v/>
      </c>
      <c r="U259" s="88" t="s">
        <v>242</v>
      </c>
      <c r="V259" s="60" t="s">
        <v>1436</v>
      </c>
      <c r="W259" s="61" t="str">
        <f>IFERROR(IF(U259="Ativo","Ativo",IF(U259="SKU excluído","Vencido",VLOOKUP(C259,Encerramentos!B:G,6,0))),"")</f>
        <v/>
      </c>
    </row>
    <row r="260" hidden="1">
      <c r="A260" s="49" t="s">
        <v>231</v>
      </c>
      <c r="B260" s="33" t="str">
        <f t="shared" si="12"/>
        <v/>
      </c>
      <c r="C260" s="34" t="s">
        <v>1437</v>
      </c>
      <c r="D260" s="35" t="s">
        <v>1438</v>
      </c>
      <c r="E260" s="35" t="s">
        <v>1236</v>
      </c>
      <c r="F260" s="45" t="s">
        <v>1439</v>
      </c>
      <c r="G260" s="37" t="s">
        <v>917</v>
      </c>
      <c r="H260" s="38" t="s">
        <v>98</v>
      </c>
      <c r="I260" s="38" t="s">
        <v>1162</v>
      </c>
      <c r="J260" s="91" t="s">
        <v>1440</v>
      </c>
      <c r="K260" s="58">
        <v>45813.0</v>
      </c>
      <c r="L260" s="38" t="s">
        <v>862</v>
      </c>
      <c r="M260" s="45" t="s">
        <v>1239</v>
      </c>
      <c r="N260" s="66">
        <v>46190.0</v>
      </c>
      <c r="O260" s="50">
        <f t="shared" si="25"/>
        <v>46100</v>
      </c>
      <c r="P260" s="35" t="s">
        <v>1308</v>
      </c>
      <c r="Q260" s="35" t="s">
        <v>1309</v>
      </c>
      <c r="R260" s="35" t="s">
        <v>286</v>
      </c>
      <c r="S260" s="45" t="b">
        <v>1</v>
      </c>
      <c r="T260" s="43">
        <f>IFERROR(__xludf.DUMMYFUNCTION("IFERROR(VLOOKUP(C260,IMPORTRANGE(""https://docs.google.com/spreadsheets/d/1RmEXtNg60OGvqZjyMxiYNPJ6S_kcz01v57qrHugDWVc/edit#gid=0"",""Chegadas!E:AQ""),19,0),"""")"),45960.0)</f>
        <v>45960</v>
      </c>
      <c r="U260" s="88" t="s">
        <v>393</v>
      </c>
      <c r="V260" s="60" t="s">
        <v>1310</v>
      </c>
      <c r="W260" s="61" t="str">
        <f>IFERROR(IF(U260="Ativo","Ativo",IF(U260="SKU excluído","Vencido",VLOOKUP(C260,Encerramentos!B:G,6,0))),"")</f>
        <v>Ativo</v>
      </c>
    </row>
    <row r="261" hidden="1">
      <c r="A261" s="49" t="s">
        <v>231</v>
      </c>
      <c r="B261" s="33" t="str">
        <f t="shared" si="12"/>
        <v/>
      </c>
      <c r="C261" s="34" t="s">
        <v>1441</v>
      </c>
      <c r="D261" s="35" t="s">
        <v>1438</v>
      </c>
      <c r="E261" s="35" t="s">
        <v>1236</v>
      </c>
      <c r="F261" s="45" t="s">
        <v>1442</v>
      </c>
      <c r="G261" s="37" t="s">
        <v>917</v>
      </c>
      <c r="H261" s="38" t="s">
        <v>98</v>
      </c>
      <c r="I261" s="38" t="s">
        <v>1162</v>
      </c>
      <c r="J261" s="91" t="s">
        <v>1443</v>
      </c>
      <c r="K261" s="58">
        <v>45812.0</v>
      </c>
      <c r="L261" s="38" t="s">
        <v>862</v>
      </c>
      <c r="M261" s="45" t="s">
        <v>1239</v>
      </c>
      <c r="N261" s="66">
        <v>46133.0</v>
      </c>
      <c r="O261" s="50">
        <f t="shared" si="25"/>
        <v>46043</v>
      </c>
      <c r="P261" s="35" t="s">
        <v>1240</v>
      </c>
      <c r="Q261" s="35" t="s">
        <v>1241</v>
      </c>
      <c r="R261" s="35" t="s">
        <v>286</v>
      </c>
      <c r="S261" s="45" t="b">
        <v>1</v>
      </c>
      <c r="T261" s="43">
        <f>IFERROR(__xludf.DUMMYFUNCTION("IFERROR(VLOOKUP(C261,IMPORTRANGE(""https://docs.google.com/spreadsheets/d/1RmEXtNg60OGvqZjyMxiYNPJ6S_kcz01v57qrHugDWVc/edit#gid=0"",""Chegadas!E:AQ""),19,0),"""")"),45960.0)</f>
        <v>45960</v>
      </c>
      <c r="U261" s="88" t="s">
        <v>393</v>
      </c>
      <c r="V261" s="60" t="s">
        <v>1242</v>
      </c>
      <c r="W261" s="61" t="str">
        <f>IFERROR(IF(U261="Ativo","Ativo",IF(U261="SKU excluído","Vencido",VLOOKUP(C261,Encerramentos!B:G,6,0))),"")</f>
        <v>Ativo</v>
      </c>
    </row>
    <row r="262" hidden="1">
      <c r="A262" s="49" t="s">
        <v>231</v>
      </c>
      <c r="B262" s="33" t="str">
        <f t="shared" si="12"/>
        <v/>
      </c>
      <c r="C262" s="34" t="s">
        <v>1444</v>
      </c>
      <c r="D262" s="83" t="s">
        <v>1438</v>
      </c>
      <c r="E262" s="35" t="s">
        <v>1317</v>
      </c>
      <c r="F262" s="42" t="s">
        <v>1445</v>
      </c>
      <c r="G262" s="37" t="s">
        <v>387</v>
      </c>
      <c r="H262" s="38" t="s">
        <v>1027</v>
      </c>
      <c r="I262" s="38" t="s">
        <v>1319</v>
      </c>
      <c r="J262" s="91" t="s">
        <v>1446</v>
      </c>
      <c r="K262" s="58">
        <v>45901.0</v>
      </c>
      <c r="L262" s="38" t="s">
        <v>862</v>
      </c>
      <c r="M262" s="63" t="s">
        <v>1020</v>
      </c>
      <c r="N262" s="50">
        <v>46258.0</v>
      </c>
      <c r="O262" s="50">
        <f t="shared" si="25"/>
        <v>46168</v>
      </c>
      <c r="P262" s="35" t="s">
        <v>1447</v>
      </c>
      <c r="Q262" s="35" t="s">
        <v>1448</v>
      </c>
      <c r="R262" s="35" t="s">
        <v>286</v>
      </c>
      <c r="S262" s="45" t="b">
        <v>1</v>
      </c>
      <c r="T262" s="43">
        <f>IFERROR(__xludf.DUMMYFUNCTION("IFERROR(VLOOKUP(C262,IMPORTRANGE(""https://docs.google.com/spreadsheets/d/1RmEXtNg60OGvqZjyMxiYNPJ6S_kcz01v57qrHugDWVc/edit#gid=0"",""Chegadas!E:AQ""),19,0),"""")"),45994.0)</f>
        <v>45994</v>
      </c>
      <c r="U262" s="88" t="s">
        <v>393</v>
      </c>
      <c r="V262" s="60" t="s">
        <v>1449</v>
      </c>
      <c r="W262" s="61" t="str">
        <f>IFERROR(IF(U262="Ativo","Ativo",IF(U262="SKU excluído","Vencido",VLOOKUP(C262,Encerramentos!B:G,6,0))),"")</f>
        <v>Ativo</v>
      </c>
    </row>
    <row r="263" hidden="1">
      <c r="A263" s="49" t="s">
        <v>231</v>
      </c>
      <c r="B263" s="33" t="str">
        <f t="shared" si="12"/>
        <v/>
      </c>
      <c r="C263" s="34" t="s">
        <v>1450</v>
      </c>
      <c r="D263" s="83" t="s">
        <v>1438</v>
      </c>
      <c r="E263" s="35" t="s">
        <v>1317</v>
      </c>
      <c r="F263" s="42" t="s">
        <v>1451</v>
      </c>
      <c r="G263" s="37" t="s">
        <v>387</v>
      </c>
      <c r="H263" s="38" t="s">
        <v>1027</v>
      </c>
      <c r="I263" s="38" t="s">
        <v>1162</v>
      </c>
      <c r="J263" s="91" t="s">
        <v>1446</v>
      </c>
      <c r="K263" s="58">
        <v>45901.0</v>
      </c>
      <c r="L263" s="38" t="s">
        <v>862</v>
      </c>
      <c r="M263" s="63" t="s">
        <v>1020</v>
      </c>
      <c r="N263" s="50">
        <v>46258.0</v>
      </c>
      <c r="O263" s="50">
        <f t="shared" si="25"/>
        <v>46168</v>
      </c>
      <c r="P263" s="35" t="s">
        <v>1447</v>
      </c>
      <c r="Q263" s="35" t="s">
        <v>1448</v>
      </c>
      <c r="R263" s="35" t="s">
        <v>286</v>
      </c>
      <c r="S263" s="45" t="b">
        <v>1</v>
      </c>
      <c r="T263" s="43">
        <f>IFERROR(__xludf.DUMMYFUNCTION("IFERROR(VLOOKUP(C263,IMPORTRANGE(""https://docs.google.com/spreadsheets/d/1RmEXtNg60OGvqZjyMxiYNPJ6S_kcz01v57qrHugDWVc/edit#gid=0"",""Chegadas!E:AQ""),19,0),"""")"),45994.0)</f>
        <v>45994</v>
      </c>
      <c r="U263" s="88" t="s">
        <v>393</v>
      </c>
      <c r="V263" s="60" t="s">
        <v>1449</v>
      </c>
      <c r="W263" s="61" t="str">
        <f>IFERROR(IF(U263="Ativo","Ativo",IF(U263="SKU excluído","Vencido",VLOOKUP(C263,Encerramentos!B:G,6,0))),"")</f>
        <v>Ativo</v>
      </c>
    </row>
    <row r="264" hidden="1">
      <c r="A264" s="49" t="s">
        <v>231</v>
      </c>
      <c r="B264" s="33" t="str">
        <f t="shared" si="12"/>
        <v/>
      </c>
      <c r="C264" s="34" t="s">
        <v>1452</v>
      </c>
      <c r="D264" s="83" t="s">
        <v>1438</v>
      </c>
      <c r="E264" s="35" t="s">
        <v>1317</v>
      </c>
      <c r="F264" s="42" t="s">
        <v>1453</v>
      </c>
      <c r="G264" s="37" t="s">
        <v>387</v>
      </c>
      <c r="H264" s="38" t="s">
        <v>1027</v>
      </c>
      <c r="I264" s="38" t="s">
        <v>1319</v>
      </c>
      <c r="J264" s="91" t="s">
        <v>1446</v>
      </c>
      <c r="K264" s="58">
        <v>45901.0</v>
      </c>
      <c r="L264" s="38" t="s">
        <v>862</v>
      </c>
      <c r="M264" s="63" t="s">
        <v>1020</v>
      </c>
      <c r="N264" s="50">
        <v>46258.0</v>
      </c>
      <c r="O264" s="50">
        <f t="shared" si="25"/>
        <v>46168</v>
      </c>
      <c r="P264" s="35" t="s">
        <v>1447</v>
      </c>
      <c r="Q264" s="35" t="s">
        <v>1448</v>
      </c>
      <c r="R264" s="35" t="s">
        <v>286</v>
      </c>
      <c r="S264" s="45" t="b">
        <v>1</v>
      </c>
      <c r="T264" s="43">
        <f>IFERROR(__xludf.DUMMYFUNCTION("IFERROR(VLOOKUP(C264,IMPORTRANGE(""https://docs.google.com/spreadsheets/d/1RmEXtNg60OGvqZjyMxiYNPJ6S_kcz01v57qrHugDWVc/edit#gid=0"",""Chegadas!E:AQ""),19,0),"""")"),46001.0)</f>
        <v>46001</v>
      </c>
      <c r="U264" s="88" t="s">
        <v>393</v>
      </c>
      <c r="V264" s="60" t="s">
        <v>1449</v>
      </c>
      <c r="W264" s="61" t="str">
        <f>IFERROR(IF(U264="Ativo","Ativo",IF(U264="SKU excluído","Vencido",VLOOKUP(C264,Encerramentos!B:G,6,0))),"")</f>
        <v>Ativo</v>
      </c>
    </row>
    <row r="265" hidden="1">
      <c r="A265" s="49" t="s">
        <v>231</v>
      </c>
      <c r="B265" s="33" t="str">
        <f t="shared" si="12"/>
        <v/>
      </c>
      <c r="C265" s="34" t="s">
        <v>1454</v>
      </c>
      <c r="D265" s="83" t="s">
        <v>1438</v>
      </c>
      <c r="E265" s="35" t="s">
        <v>1317</v>
      </c>
      <c r="F265" s="42" t="s">
        <v>1455</v>
      </c>
      <c r="G265" s="37" t="s">
        <v>387</v>
      </c>
      <c r="H265" s="38" t="s">
        <v>1027</v>
      </c>
      <c r="I265" s="38" t="s">
        <v>1162</v>
      </c>
      <c r="J265" s="91" t="s">
        <v>1456</v>
      </c>
      <c r="K265" s="58">
        <v>45957.0</v>
      </c>
      <c r="L265" s="38" t="s">
        <v>862</v>
      </c>
      <c r="M265" s="63" t="s">
        <v>1020</v>
      </c>
      <c r="N265" s="50">
        <v>46258.0</v>
      </c>
      <c r="O265" s="50">
        <f t="shared" si="25"/>
        <v>46168</v>
      </c>
      <c r="P265" s="35" t="s">
        <v>1447</v>
      </c>
      <c r="Q265" s="35" t="s">
        <v>1448</v>
      </c>
      <c r="R265" s="35" t="s">
        <v>286</v>
      </c>
      <c r="S265" s="45" t="b">
        <v>1</v>
      </c>
      <c r="T265" s="43" t="str">
        <f>IFERROR(__xludf.DUMMYFUNCTION("IFERROR(VLOOKUP(C265,IMPORTRANGE(""https://docs.google.com/spreadsheets/d/1RmEXtNg60OGvqZjyMxiYNPJ6S_kcz01v57qrHugDWVc/edit#gid=0"",""Chegadas!E:AQ""),19,0),"""")"),"")</f>
        <v/>
      </c>
      <c r="U265" s="88" t="s">
        <v>930</v>
      </c>
      <c r="V265" s="60" t="s">
        <v>1449</v>
      </c>
      <c r="W265" s="61" t="str">
        <f>IFERROR(IF(U265="Ativo","Ativo",IF(U265="SKU excluído","Vencido",VLOOKUP(C265,Encerramentos!B:G,6,0))),"")</f>
        <v>Vencido</v>
      </c>
    </row>
    <row r="266" hidden="1">
      <c r="A266" s="49" t="s">
        <v>231</v>
      </c>
      <c r="B266" s="33" t="str">
        <f t="shared" si="12"/>
        <v/>
      </c>
      <c r="C266" s="34" t="s">
        <v>1457</v>
      </c>
      <c r="D266" s="83" t="s">
        <v>1438</v>
      </c>
      <c r="E266" s="35" t="s">
        <v>1317</v>
      </c>
      <c r="F266" s="42" t="s">
        <v>1458</v>
      </c>
      <c r="G266" s="37" t="s">
        <v>387</v>
      </c>
      <c r="H266" s="38" t="s">
        <v>1027</v>
      </c>
      <c r="I266" s="38" t="s">
        <v>1162</v>
      </c>
      <c r="J266" s="91" t="s">
        <v>1446</v>
      </c>
      <c r="K266" s="58">
        <v>45901.0</v>
      </c>
      <c r="L266" s="38" t="s">
        <v>862</v>
      </c>
      <c r="M266" s="63" t="s">
        <v>1020</v>
      </c>
      <c r="N266" s="50">
        <v>46258.0</v>
      </c>
      <c r="O266" s="50">
        <f t="shared" si="25"/>
        <v>46168</v>
      </c>
      <c r="P266" s="35" t="s">
        <v>1459</v>
      </c>
      <c r="Q266" s="35" t="s">
        <v>1460</v>
      </c>
      <c r="R266" s="35" t="s">
        <v>286</v>
      </c>
      <c r="S266" s="45" t="b">
        <v>1</v>
      </c>
      <c r="T266" s="43">
        <f>IFERROR(__xludf.DUMMYFUNCTION("IFERROR(VLOOKUP(C266,IMPORTRANGE(""https://docs.google.com/spreadsheets/d/1RmEXtNg60OGvqZjyMxiYNPJ6S_kcz01v57qrHugDWVc/edit#gid=0"",""Chegadas!E:AQ""),19,0),"""")"),45994.0)</f>
        <v>45994</v>
      </c>
      <c r="U266" s="88" t="s">
        <v>393</v>
      </c>
      <c r="V266" s="60" t="s">
        <v>1461</v>
      </c>
      <c r="W266" s="61" t="str">
        <f>IFERROR(IF(U266="Ativo","Ativo",IF(U266="SKU excluído","Vencido",VLOOKUP(C266,Encerramentos!B:G,6,0))),"")</f>
        <v>Ativo</v>
      </c>
    </row>
    <row r="267" hidden="1">
      <c r="A267" s="49" t="s">
        <v>231</v>
      </c>
      <c r="B267" s="33" t="str">
        <f t="shared" si="12"/>
        <v/>
      </c>
      <c r="C267" s="34" t="s">
        <v>1462</v>
      </c>
      <c r="D267" s="83" t="s">
        <v>1438</v>
      </c>
      <c r="E267" s="35" t="s">
        <v>1317</v>
      </c>
      <c r="F267" s="42" t="s">
        <v>1463</v>
      </c>
      <c r="G267" s="37" t="s">
        <v>387</v>
      </c>
      <c r="H267" s="38" t="s">
        <v>1027</v>
      </c>
      <c r="I267" s="38" t="s">
        <v>1162</v>
      </c>
      <c r="J267" s="91" t="s">
        <v>1446</v>
      </c>
      <c r="K267" s="58">
        <v>45901.0</v>
      </c>
      <c r="L267" s="38" t="s">
        <v>862</v>
      </c>
      <c r="M267" s="63" t="s">
        <v>1020</v>
      </c>
      <c r="N267" s="50">
        <v>46258.0</v>
      </c>
      <c r="O267" s="50">
        <f t="shared" si="25"/>
        <v>46168</v>
      </c>
      <c r="P267" s="35" t="s">
        <v>1459</v>
      </c>
      <c r="Q267" s="35" t="s">
        <v>1460</v>
      </c>
      <c r="R267" s="35" t="s">
        <v>286</v>
      </c>
      <c r="S267" s="45" t="b">
        <v>1</v>
      </c>
      <c r="T267" s="43">
        <f>IFERROR(__xludf.DUMMYFUNCTION("IFERROR(VLOOKUP(C267,IMPORTRANGE(""https://docs.google.com/spreadsheets/d/1RmEXtNg60OGvqZjyMxiYNPJ6S_kcz01v57qrHugDWVc/edit#gid=0"",""Chegadas!E:AQ""),19,0),"""")"),45994.0)</f>
        <v>45994</v>
      </c>
      <c r="U267" s="88" t="s">
        <v>393</v>
      </c>
      <c r="V267" s="60" t="s">
        <v>1461</v>
      </c>
      <c r="W267" s="61" t="str">
        <f>IFERROR(IF(U267="Ativo","Ativo",IF(U267="SKU excluído","Vencido",VLOOKUP(C267,Encerramentos!B:G,6,0))),"")</f>
        <v>Ativo</v>
      </c>
    </row>
    <row r="268" hidden="1">
      <c r="A268" s="49" t="s">
        <v>231</v>
      </c>
      <c r="B268" s="33" t="str">
        <f t="shared" si="12"/>
        <v/>
      </c>
      <c r="C268" s="34" t="s">
        <v>1464</v>
      </c>
      <c r="D268" s="83" t="s">
        <v>1438</v>
      </c>
      <c r="E268" s="35" t="s">
        <v>1317</v>
      </c>
      <c r="F268" s="42" t="s">
        <v>1465</v>
      </c>
      <c r="G268" s="37" t="s">
        <v>387</v>
      </c>
      <c r="H268" s="38" t="s">
        <v>1027</v>
      </c>
      <c r="I268" s="38" t="s">
        <v>1319</v>
      </c>
      <c r="J268" s="91" t="s">
        <v>1446</v>
      </c>
      <c r="K268" s="58">
        <v>45901.0</v>
      </c>
      <c r="L268" s="38" t="s">
        <v>862</v>
      </c>
      <c r="M268" s="63" t="s">
        <v>1020</v>
      </c>
      <c r="N268" s="50">
        <v>46258.0</v>
      </c>
      <c r="O268" s="50">
        <f t="shared" si="25"/>
        <v>46168</v>
      </c>
      <c r="P268" s="35" t="s">
        <v>1459</v>
      </c>
      <c r="Q268" s="35" t="s">
        <v>1460</v>
      </c>
      <c r="R268" s="35" t="s">
        <v>286</v>
      </c>
      <c r="S268" s="45" t="b">
        <v>1</v>
      </c>
      <c r="T268" s="43">
        <f>IFERROR(__xludf.DUMMYFUNCTION("IFERROR(VLOOKUP(C268,IMPORTRANGE(""https://docs.google.com/spreadsheets/d/1RmEXtNg60OGvqZjyMxiYNPJ6S_kcz01v57qrHugDWVc/edit#gid=0"",""Chegadas!E:AQ""),19,0),"""")"),45994.0)</f>
        <v>45994</v>
      </c>
      <c r="U268" s="88" t="s">
        <v>393</v>
      </c>
      <c r="V268" s="60" t="s">
        <v>1461</v>
      </c>
      <c r="W268" s="61" t="str">
        <f>IFERROR(IF(U268="Ativo","Ativo",IF(U268="SKU excluído","Vencido",VLOOKUP(C268,Encerramentos!B:G,6,0))),"")</f>
        <v>Ativo</v>
      </c>
    </row>
    <row r="269" hidden="1">
      <c r="A269" s="49" t="s">
        <v>231</v>
      </c>
      <c r="B269" s="33" t="str">
        <f t="shared" si="12"/>
        <v/>
      </c>
      <c r="C269" s="34" t="s">
        <v>1466</v>
      </c>
      <c r="D269" s="83" t="s">
        <v>1438</v>
      </c>
      <c r="E269" s="35" t="s">
        <v>1317</v>
      </c>
      <c r="F269" s="42" t="s">
        <v>1467</v>
      </c>
      <c r="G269" s="37" t="s">
        <v>387</v>
      </c>
      <c r="H269" s="38" t="s">
        <v>1027</v>
      </c>
      <c r="I269" s="38" t="s">
        <v>1162</v>
      </c>
      <c r="J269" s="91" t="s">
        <v>1446</v>
      </c>
      <c r="K269" s="58">
        <v>45901.0</v>
      </c>
      <c r="L269" s="38" t="s">
        <v>862</v>
      </c>
      <c r="M269" s="63" t="s">
        <v>1020</v>
      </c>
      <c r="N269" s="50">
        <v>46258.0</v>
      </c>
      <c r="O269" s="50">
        <f t="shared" si="25"/>
        <v>46168</v>
      </c>
      <c r="P269" s="35" t="s">
        <v>1447</v>
      </c>
      <c r="Q269" s="35" t="s">
        <v>1448</v>
      </c>
      <c r="R269" s="35" t="s">
        <v>286</v>
      </c>
      <c r="S269" s="45" t="b">
        <v>1</v>
      </c>
      <c r="T269" s="43">
        <f>IFERROR(__xludf.DUMMYFUNCTION("IFERROR(VLOOKUP(C269,IMPORTRANGE(""https://docs.google.com/spreadsheets/d/1RmEXtNg60OGvqZjyMxiYNPJ6S_kcz01v57qrHugDWVc/edit#gid=0"",""Chegadas!E:AQ""),19,0),"""")"),46001.0)</f>
        <v>46001</v>
      </c>
      <c r="U269" s="88" t="s">
        <v>393</v>
      </c>
      <c r="V269" s="60" t="s">
        <v>1449</v>
      </c>
      <c r="W269" s="61" t="str">
        <f>IFERROR(IF(U269="Ativo","Ativo",IF(U269="SKU excluído","Vencido",VLOOKUP(C269,Encerramentos!B:G,6,0))),"")</f>
        <v>Ativo</v>
      </c>
    </row>
    <row r="270" hidden="1">
      <c r="A270" s="49" t="s">
        <v>231</v>
      </c>
      <c r="B270" s="33" t="str">
        <f t="shared" si="12"/>
        <v/>
      </c>
      <c r="C270" s="34" t="s">
        <v>1468</v>
      </c>
      <c r="D270" s="83" t="s">
        <v>1438</v>
      </c>
      <c r="E270" s="35" t="s">
        <v>1317</v>
      </c>
      <c r="F270" s="42" t="s">
        <v>1469</v>
      </c>
      <c r="G270" s="37" t="s">
        <v>387</v>
      </c>
      <c r="H270" s="38" t="s">
        <v>1027</v>
      </c>
      <c r="I270" s="38" t="s">
        <v>1162</v>
      </c>
      <c r="J270" s="91" t="s">
        <v>1446</v>
      </c>
      <c r="K270" s="58">
        <v>45901.0</v>
      </c>
      <c r="L270" s="38" t="s">
        <v>862</v>
      </c>
      <c r="M270" s="63" t="s">
        <v>1020</v>
      </c>
      <c r="N270" s="50">
        <v>46258.0</v>
      </c>
      <c r="O270" s="50">
        <f t="shared" si="25"/>
        <v>46168</v>
      </c>
      <c r="P270" s="35" t="s">
        <v>1447</v>
      </c>
      <c r="Q270" s="35" t="s">
        <v>1448</v>
      </c>
      <c r="R270" s="35" t="s">
        <v>286</v>
      </c>
      <c r="S270" s="45" t="b">
        <v>1</v>
      </c>
      <c r="T270" s="43">
        <f>IFERROR(__xludf.DUMMYFUNCTION("IFERROR(VLOOKUP(C270,IMPORTRANGE(""https://docs.google.com/spreadsheets/d/1RmEXtNg60OGvqZjyMxiYNPJ6S_kcz01v57qrHugDWVc/edit#gid=0"",""Chegadas!E:AQ""),19,0),"""")"),46001.0)</f>
        <v>46001</v>
      </c>
      <c r="U270" s="88" t="s">
        <v>393</v>
      </c>
      <c r="V270" s="60" t="s">
        <v>1449</v>
      </c>
      <c r="W270" s="61" t="str">
        <f>IFERROR(IF(U270="Ativo","Ativo",IF(U270="SKU excluído","Vencido",VLOOKUP(C270,Encerramentos!B:G,6,0))),"")</f>
        <v>Ativo</v>
      </c>
    </row>
    <row r="271" hidden="1">
      <c r="A271" s="49" t="s">
        <v>231</v>
      </c>
      <c r="B271" s="33" t="str">
        <f t="shared" si="12"/>
        <v/>
      </c>
      <c r="C271" s="34" t="s">
        <v>1470</v>
      </c>
      <c r="D271" s="83" t="s">
        <v>1438</v>
      </c>
      <c r="E271" s="35" t="s">
        <v>1317</v>
      </c>
      <c r="F271" s="42" t="s">
        <v>1471</v>
      </c>
      <c r="G271" s="37" t="s">
        <v>387</v>
      </c>
      <c r="H271" s="38" t="s">
        <v>1027</v>
      </c>
      <c r="I271" s="38" t="s">
        <v>1162</v>
      </c>
      <c r="J271" s="91" t="s">
        <v>1446</v>
      </c>
      <c r="K271" s="58">
        <v>45901.0</v>
      </c>
      <c r="L271" s="38" t="s">
        <v>862</v>
      </c>
      <c r="M271" s="63" t="s">
        <v>1020</v>
      </c>
      <c r="N271" s="50">
        <v>46258.0</v>
      </c>
      <c r="O271" s="50">
        <f t="shared" si="25"/>
        <v>46168</v>
      </c>
      <c r="P271" s="35" t="s">
        <v>1447</v>
      </c>
      <c r="Q271" s="35" t="s">
        <v>1448</v>
      </c>
      <c r="R271" s="35" t="s">
        <v>286</v>
      </c>
      <c r="S271" s="45" t="b">
        <v>1</v>
      </c>
      <c r="T271" s="43">
        <f>IFERROR(__xludf.DUMMYFUNCTION("IFERROR(VLOOKUP(C271,IMPORTRANGE(""https://docs.google.com/spreadsheets/d/1RmEXtNg60OGvqZjyMxiYNPJ6S_kcz01v57qrHugDWVc/edit#gid=0"",""Chegadas!E:AQ""),19,0),"""")"),46001.0)</f>
        <v>46001</v>
      </c>
      <c r="U271" s="88" t="s">
        <v>393</v>
      </c>
      <c r="V271" s="60" t="s">
        <v>1449</v>
      </c>
      <c r="W271" s="61" t="str">
        <f>IFERROR(IF(U271="Ativo","Ativo",IF(U271="SKU excluído","Vencido",VLOOKUP(C271,Encerramentos!B:G,6,0))),"")</f>
        <v>Ativo</v>
      </c>
    </row>
    <row r="272" hidden="1">
      <c r="A272" s="49" t="s">
        <v>231</v>
      </c>
      <c r="B272" s="33" t="str">
        <f t="shared" si="12"/>
        <v/>
      </c>
      <c r="C272" s="34" t="s">
        <v>1472</v>
      </c>
      <c r="D272" s="83" t="s">
        <v>1438</v>
      </c>
      <c r="E272" s="35" t="s">
        <v>1317</v>
      </c>
      <c r="F272" s="42" t="s">
        <v>1473</v>
      </c>
      <c r="G272" s="37" t="s">
        <v>387</v>
      </c>
      <c r="H272" s="38" t="s">
        <v>1027</v>
      </c>
      <c r="I272" s="38" t="s">
        <v>1162</v>
      </c>
      <c r="J272" s="91" t="s">
        <v>1446</v>
      </c>
      <c r="K272" s="58">
        <v>45901.0</v>
      </c>
      <c r="L272" s="38" t="s">
        <v>862</v>
      </c>
      <c r="M272" s="63" t="s">
        <v>1020</v>
      </c>
      <c r="N272" s="50">
        <v>46258.0</v>
      </c>
      <c r="O272" s="50">
        <f t="shared" si="25"/>
        <v>46168</v>
      </c>
      <c r="P272" s="35" t="s">
        <v>1447</v>
      </c>
      <c r="Q272" s="35" t="s">
        <v>1448</v>
      </c>
      <c r="R272" s="35" t="s">
        <v>286</v>
      </c>
      <c r="S272" s="45" t="b">
        <v>1</v>
      </c>
      <c r="T272" s="43">
        <f>IFERROR(__xludf.DUMMYFUNCTION("IFERROR(VLOOKUP(C272,IMPORTRANGE(""https://docs.google.com/spreadsheets/d/1RmEXtNg60OGvqZjyMxiYNPJ6S_kcz01v57qrHugDWVc/edit#gid=0"",""Chegadas!E:AQ""),19,0),"""")"),46001.0)</f>
        <v>46001</v>
      </c>
      <c r="U272" s="88" t="s">
        <v>393</v>
      </c>
      <c r="V272" s="60" t="s">
        <v>1449</v>
      </c>
      <c r="W272" s="61" t="str">
        <f>IFERROR(IF(U272="Ativo","Ativo",IF(U272="SKU excluído","Vencido",VLOOKUP(C272,Encerramentos!B:G,6,0))),"")</f>
        <v>Ativo</v>
      </c>
    </row>
    <row r="273" hidden="1">
      <c r="A273" s="49" t="s">
        <v>231</v>
      </c>
      <c r="B273" s="33" t="str">
        <f t="shared" si="12"/>
        <v/>
      </c>
      <c r="C273" s="34" t="s">
        <v>1474</v>
      </c>
      <c r="D273" s="83" t="s">
        <v>1438</v>
      </c>
      <c r="E273" s="35" t="s">
        <v>1317</v>
      </c>
      <c r="F273" s="42" t="s">
        <v>1475</v>
      </c>
      <c r="G273" s="37" t="s">
        <v>387</v>
      </c>
      <c r="H273" s="38" t="s">
        <v>1027</v>
      </c>
      <c r="I273" s="38" t="s">
        <v>1162</v>
      </c>
      <c r="J273" s="91" t="s">
        <v>1446</v>
      </c>
      <c r="K273" s="58">
        <v>45901.0</v>
      </c>
      <c r="L273" s="38" t="s">
        <v>862</v>
      </c>
      <c r="M273" s="63" t="s">
        <v>1020</v>
      </c>
      <c r="N273" s="50">
        <v>46258.0</v>
      </c>
      <c r="O273" s="50">
        <f t="shared" si="25"/>
        <v>46168</v>
      </c>
      <c r="P273" s="35" t="s">
        <v>1447</v>
      </c>
      <c r="Q273" s="35" t="s">
        <v>1448</v>
      </c>
      <c r="R273" s="35" t="s">
        <v>286</v>
      </c>
      <c r="S273" s="45" t="b">
        <v>1</v>
      </c>
      <c r="T273" s="43">
        <f>IFERROR(__xludf.DUMMYFUNCTION("IFERROR(VLOOKUP(C273,IMPORTRANGE(""https://docs.google.com/spreadsheets/d/1RmEXtNg60OGvqZjyMxiYNPJ6S_kcz01v57qrHugDWVc/edit#gid=0"",""Chegadas!E:AQ""),19,0),"""")"),46001.0)</f>
        <v>46001</v>
      </c>
      <c r="U273" s="88" t="s">
        <v>393</v>
      </c>
      <c r="V273" s="60" t="s">
        <v>1449</v>
      </c>
      <c r="W273" s="61" t="str">
        <f>IFERROR(IF(U273="Ativo","Ativo",IF(U273="SKU excluído","Vencido",VLOOKUP(C273,Encerramentos!B:G,6,0))),"")</f>
        <v>Ativo</v>
      </c>
    </row>
    <row r="274" hidden="1">
      <c r="A274" s="49" t="s">
        <v>231</v>
      </c>
      <c r="B274" s="33" t="str">
        <f t="shared" si="12"/>
        <v/>
      </c>
      <c r="C274" s="34" t="s">
        <v>1476</v>
      </c>
      <c r="D274" s="83" t="s">
        <v>1438</v>
      </c>
      <c r="E274" s="35" t="s">
        <v>1317</v>
      </c>
      <c r="F274" s="42" t="s">
        <v>1477</v>
      </c>
      <c r="G274" s="37" t="s">
        <v>387</v>
      </c>
      <c r="H274" s="38" t="s">
        <v>1027</v>
      </c>
      <c r="I274" s="38" t="s">
        <v>1162</v>
      </c>
      <c r="J274" s="91" t="s">
        <v>1446</v>
      </c>
      <c r="K274" s="58">
        <v>45901.0</v>
      </c>
      <c r="L274" s="38" t="s">
        <v>862</v>
      </c>
      <c r="M274" s="63" t="s">
        <v>1020</v>
      </c>
      <c r="N274" s="50">
        <v>46258.0</v>
      </c>
      <c r="O274" s="50">
        <f t="shared" si="25"/>
        <v>46168</v>
      </c>
      <c r="P274" s="35" t="s">
        <v>1447</v>
      </c>
      <c r="Q274" s="35" t="s">
        <v>1448</v>
      </c>
      <c r="R274" s="35" t="s">
        <v>286</v>
      </c>
      <c r="S274" s="45" t="b">
        <v>1</v>
      </c>
      <c r="T274" s="43">
        <f>IFERROR(__xludf.DUMMYFUNCTION("IFERROR(VLOOKUP(C274,IMPORTRANGE(""https://docs.google.com/spreadsheets/d/1RmEXtNg60OGvqZjyMxiYNPJ6S_kcz01v57qrHugDWVc/edit#gid=0"",""Chegadas!E:AQ""),19,0),"""")"),46001.0)</f>
        <v>46001</v>
      </c>
      <c r="U274" s="88" t="s">
        <v>393</v>
      </c>
      <c r="V274" s="60" t="s">
        <v>1449</v>
      </c>
      <c r="W274" s="61" t="str">
        <f>IFERROR(IF(U274="Ativo","Ativo",IF(U274="SKU excluído","Vencido",VLOOKUP(C274,Encerramentos!B:G,6,0))),"")</f>
        <v>Ativo</v>
      </c>
    </row>
    <row r="275" hidden="1">
      <c r="A275" s="49" t="s">
        <v>231</v>
      </c>
      <c r="B275" s="33" t="str">
        <f t="shared" si="12"/>
        <v/>
      </c>
      <c r="C275" s="34" t="s">
        <v>1478</v>
      </c>
      <c r="D275" s="83" t="s">
        <v>1438</v>
      </c>
      <c r="E275" s="35" t="s">
        <v>1317</v>
      </c>
      <c r="F275" s="42" t="s">
        <v>1479</v>
      </c>
      <c r="G275" s="37" t="s">
        <v>387</v>
      </c>
      <c r="H275" s="38" t="s">
        <v>1027</v>
      </c>
      <c r="I275" s="38" t="s">
        <v>1162</v>
      </c>
      <c r="J275" s="91" t="s">
        <v>1480</v>
      </c>
      <c r="K275" s="58">
        <v>45901.0</v>
      </c>
      <c r="L275" s="38" t="s">
        <v>862</v>
      </c>
      <c r="M275" s="63" t="s">
        <v>1020</v>
      </c>
      <c r="N275" s="50">
        <v>46258.0</v>
      </c>
      <c r="O275" s="50">
        <f t="shared" si="25"/>
        <v>46168</v>
      </c>
      <c r="P275" s="35" t="s">
        <v>1447</v>
      </c>
      <c r="Q275" s="35" t="s">
        <v>1448</v>
      </c>
      <c r="R275" s="35" t="s">
        <v>286</v>
      </c>
      <c r="S275" s="45" t="b">
        <v>1</v>
      </c>
      <c r="T275" s="43" t="str">
        <f>IFERROR(__xludf.DUMMYFUNCTION("IFERROR(VLOOKUP(C275,IMPORTRANGE(""https://docs.google.com/spreadsheets/d/1RmEXtNg60OGvqZjyMxiYNPJ6S_kcz01v57qrHugDWVc/edit#gid=0"",""Chegadas!E:AQ""),19,0),"""")"),"")</f>
        <v/>
      </c>
      <c r="U275" s="88" t="s">
        <v>930</v>
      </c>
      <c r="V275" s="60" t="s">
        <v>1449</v>
      </c>
      <c r="W275" s="61" t="str">
        <f>IFERROR(IF(U275="Ativo","Ativo",IF(U275="SKU excluído","Vencido",VLOOKUP(C275,Encerramentos!B:G,6,0))),"")</f>
        <v>Vencido</v>
      </c>
    </row>
    <row r="276" hidden="1">
      <c r="A276" s="49" t="s">
        <v>231</v>
      </c>
      <c r="B276" s="33" t="str">
        <f t="shared" si="12"/>
        <v/>
      </c>
      <c r="C276" s="34" t="s">
        <v>1481</v>
      </c>
      <c r="D276" s="83" t="s">
        <v>1438</v>
      </c>
      <c r="E276" s="35" t="s">
        <v>1317</v>
      </c>
      <c r="F276" s="42" t="s">
        <v>1482</v>
      </c>
      <c r="G276" s="37" t="s">
        <v>387</v>
      </c>
      <c r="H276" s="38" t="s">
        <v>1027</v>
      </c>
      <c r="I276" s="38" t="s">
        <v>1162</v>
      </c>
      <c r="J276" s="91" t="s">
        <v>1483</v>
      </c>
      <c r="K276" s="58">
        <v>45901.0</v>
      </c>
      <c r="L276" s="38" t="s">
        <v>862</v>
      </c>
      <c r="M276" s="63" t="s">
        <v>1020</v>
      </c>
      <c r="N276" s="50">
        <v>46258.0</v>
      </c>
      <c r="O276" s="50">
        <f t="shared" si="25"/>
        <v>46168</v>
      </c>
      <c r="P276" s="35" t="s">
        <v>1447</v>
      </c>
      <c r="Q276" s="35" t="s">
        <v>1448</v>
      </c>
      <c r="R276" s="35" t="s">
        <v>286</v>
      </c>
      <c r="S276" s="45" t="b">
        <v>1</v>
      </c>
      <c r="T276" s="43" t="str">
        <f>IFERROR(__xludf.DUMMYFUNCTION("IFERROR(VLOOKUP(C276,IMPORTRANGE(""https://docs.google.com/spreadsheets/d/1RmEXtNg60OGvqZjyMxiYNPJ6S_kcz01v57qrHugDWVc/edit#gid=0"",""Chegadas!E:AQ""),19,0),"""")"),"")</f>
        <v/>
      </c>
      <c r="U276" s="88" t="s">
        <v>930</v>
      </c>
      <c r="V276" s="60" t="s">
        <v>1449</v>
      </c>
      <c r="W276" s="61" t="str">
        <f>IFERROR(IF(U276="Ativo","Ativo",IF(U276="SKU excluído","Vencido",VLOOKUP(C276,Encerramentos!B:G,6,0))),"")</f>
        <v>Vencido</v>
      </c>
    </row>
    <row r="277" hidden="1">
      <c r="A277" s="49" t="s">
        <v>231</v>
      </c>
      <c r="B277" s="33" t="str">
        <f t="shared" si="12"/>
        <v/>
      </c>
      <c r="C277" s="34" t="s">
        <v>1484</v>
      </c>
      <c r="D277" s="83" t="s">
        <v>1438</v>
      </c>
      <c r="E277" s="35" t="s">
        <v>1317</v>
      </c>
      <c r="F277" s="45" t="s">
        <v>1485</v>
      </c>
      <c r="G277" s="37" t="s">
        <v>387</v>
      </c>
      <c r="H277" s="38" t="s">
        <v>1027</v>
      </c>
      <c r="I277" s="38" t="s">
        <v>1162</v>
      </c>
      <c r="J277" s="91" t="s">
        <v>1486</v>
      </c>
      <c r="K277" s="58">
        <v>45957.0</v>
      </c>
      <c r="L277" s="38" t="s">
        <v>862</v>
      </c>
      <c r="M277" s="63" t="s">
        <v>1020</v>
      </c>
      <c r="N277" s="50">
        <v>46258.0</v>
      </c>
      <c r="O277" s="50">
        <f t="shared" si="25"/>
        <v>46168</v>
      </c>
      <c r="P277" s="35" t="s">
        <v>1447</v>
      </c>
      <c r="Q277" s="35" t="s">
        <v>1448</v>
      </c>
      <c r="R277" s="35" t="s">
        <v>286</v>
      </c>
      <c r="S277" s="45" t="b">
        <v>1</v>
      </c>
      <c r="T277" s="43">
        <f>IFERROR(__xludf.DUMMYFUNCTION("IFERROR(VLOOKUP(C277,IMPORTRANGE(""https://docs.google.com/spreadsheets/d/1RmEXtNg60OGvqZjyMxiYNPJ6S_kcz01v57qrHugDWVc/edit#gid=0"",""Chegadas!E:AQ""),19,0),"""")"),45994.0)</f>
        <v>45994</v>
      </c>
      <c r="U277" s="88" t="s">
        <v>393</v>
      </c>
      <c r="V277" s="60" t="s">
        <v>1449</v>
      </c>
      <c r="W277" s="61" t="str">
        <f>IFERROR(IF(U277="Ativo","Ativo",IF(U277="SKU excluído","Vencido",VLOOKUP(C277,Encerramentos!B:G,6,0))),"")</f>
        <v>Ativo</v>
      </c>
    </row>
    <row r="278" hidden="1">
      <c r="A278" s="49" t="s">
        <v>231</v>
      </c>
      <c r="B278" s="33" t="str">
        <f t="shared" si="12"/>
        <v/>
      </c>
      <c r="C278" s="34" t="s">
        <v>1487</v>
      </c>
      <c r="D278" s="83" t="s">
        <v>1438</v>
      </c>
      <c r="E278" s="35" t="s">
        <v>1317</v>
      </c>
      <c r="F278" s="42" t="s">
        <v>1488</v>
      </c>
      <c r="G278" s="37" t="s">
        <v>387</v>
      </c>
      <c r="H278" s="38" t="s">
        <v>1027</v>
      </c>
      <c r="I278" s="38" t="s">
        <v>1162</v>
      </c>
      <c r="J278" s="91" t="s">
        <v>1446</v>
      </c>
      <c r="K278" s="58">
        <v>45901.0</v>
      </c>
      <c r="L278" s="38" t="s">
        <v>862</v>
      </c>
      <c r="M278" s="63" t="s">
        <v>1020</v>
      </c>
      <c r="N278" s="50">
        <v>46258.0</v>
      </c>
      <c r="O278" s="50">
        <f t="shared" si="25"/>
        <v>46168</v>
      </c>
      <c r="P278" s="35" t="s">
        <v>1489</v>
      </c>
      <c r="Q278" s="35" t="s">
        <v>1490</v>
      </c>
      <c r="R278" s="35" t="s">
        <v>286</v>
      </c>
      <c r="S278" s="45" t="b">
        <v>1</v>
      </c>
      <c r="T278" s="43">
        <f>IFERROR(__xludf.DUMMYFUNCTION("IFERROR(VLOOKUP(C278,IMPORTRANGE(""https://docs.google.com/spreadsheets/d/1RmEXtNg60OGvqZjyMxiYNPJ6S_kcz01v57qrHugDWVc/edit#gid=0"",""Chegadas!E:AQ""),19,0),"""")"),45994.0)</f>
        <v>45994</v>
      </c>
      <c r="U278" s="88" t="s">
        <v>393</v>
      </c>
      <c r="V278" s="60" t="s">
        <v>1491</v>
      </c>
      <c r="W278" s="61" t="str">
        <f>IFERROR(IF(U278="Ativo","Ativo",IF(U278="SKU excluído","Vencido",VLOOKUP(C278,Encerramentos!B:G,6,0))),"")</f>
        <v>Ativo</v>
      </c>
    </row>
    <row r="279" hidden="1">
      <c r="A279" s="49" t="s">
        <v>231</v>
      </c>
      <c r="B279" s="33" t="str">
        <f t="shared" si="12"/>
        <v/>
      </c>
      <c r="C279" s="34" t="s">
        <v>1492</v>
      </c>
      <c r="D279" s="83" t="s">
        <v>1438</v>
      </c>
      <c r="E279" s="35" t="s">
        <v>1317</v>
      </c>
      <c r="F279" s="42" t="s">
        <v>1493</v>
      </c>
      <c r="G279" s="37" t="s">
        <v>387</v>
      </c>
      <c r="H279" s="38" t="s">
        <v>1027</v>
      </c>
      <c r="I279" s="38" t="s">
        <v>1162</v>
      </c>
      <c r="J279" s="91" t="s">
        <v>1446</v>
      </c>
      <c r="K279" s="58">
        <v>45901.0</v>
      </c>
      <c r="L279" s="38" t="s">
        <v>862</v>
      </c>
      <c r="M279" s="63" t="s">
        <v>1020</v>
      </c>
      <c r="N279" s="50">
        <v>46258.0</v>
      </c>
      <c r="O279" s="50">
        <f t="shared" si="25"/>
        <v>46168</v>
      </c>
      <c r="P279" s="35" t="s">
        <v>1489</v>
      </c>
      <c r="Q279" s="35" t="s">
        <v>1490</v>
      </c>
      <c r="R279" s="35" t="s">
        <v>286</v>
      </c>
      <c r="S279" s="45" t="b">
        <v>1</v>
      </c>
      <c r="T279" s="43">
        <f>IFERROR(__xludf.DUMMYFUNCTION("IFERROR(VLOOKUP(C279,IMPORTRANGE(""https://docs.google.com/spreadsheets/d/1RmEXtNg60OGvqZjyMxiYNPJ6S_kcz01v57qrHugDWVc/edit#gid=0"",""Chegadas!E:AQ""),19,0),"""")"),45994.0)</f>
        <v>45994</v>
      </c>
      <c r="U279" s="88" t="s">
        <v>393</v>
      </c>
      <c r="V279" s="60" t="s">
        <v>1491</v>
      </c>
      <c r="W279" s="61" t="str">
        <f>IFERROR(IF(U279="Ativo","Ativo",IF(U279="SKU excluído","Vencido",VLOOKUP(C279,Encerramentos!B:G,6,0))),"")</f>
        <v>Ativo</v>
      </c>
    </row>
    <row r="280" hidden="1">
      <c r="A280" s="49" t="s">
        <v>231</v>
      </c>
      <c r="B280" s="33" t="str">
        <f t="shared" si="12"/>
        <v/>
      </c>
      <c r="C280" s="34" t="s">
        <v>1494</v>
      </c>
      <c r="D280" s="83" t="s">
        <v>1438</v>
      </c>
      <c r="E280" s="35" t="s">
        <v>1317</v>
      </c>
      <c r="F280" s="42" t="s">
        <v>1495</v>
      </c>
      <c r="G280" s="37" t="s">
        <v>387</v>
      </c>
      <c r="H280" s="38" t="s">
        <v>1027</v>
      </c>
      <c r="I280" s="38" t="s">
        <v>1162</v>
      </c>
      <c r="J280" s="91" t="s">
        <v>1446</v>
      </c>
      <c r="K280" s="58">
        <v>45901.0</v>
      </c>
      <c r="L280" s="38" t="s">
        <v>862</v>
      </c>
      <c r="M280" s="63" t="s">
        <v>1020</v>
      </c>
      <c r="N280" s="50">
        <v>46258.0</v>
      </c>
      <c r="O280" s="50">
        <f t="shared" si="25"/>
        <v>46168</v>
      </c>
      <c r="P280" s="35" t="s">
        <v>1489</v>
      </c>
      <c r="Q280" s="35" t="s">
        <v>1490</v>
      </c>
      <c r="R280" s="35" t="s">
        <v>286</v>
      </c>
      <c r="S280" s="45" t="b">
        <v>1</v>
      </c>
      <c r="T280" s="43">
        <f>IFERROR(__xludf.DUMMYFUNCTION("IFERROR(VLOOKUP(C280,IMPORTRANGE(""https://docs.google.com/spreadsheets/d/1RmEXtNg60OGvqZjyMxiYNPJ6S_kcz01v57qrHugDWVc/edit#gid=0"",""Chegadas!E:AQ""),19,0),"""")"),45994.0)</f>
        <v>45994</v>
      </c>
      <c r="U280" s="88" t="s">
        <v>393</v>
      </c>
      <c r="V280" s="60" t="s">
        <v>1491</v>
      </c>
      <c r="W280" s="61" t="str">
        <f>IFERROR(IF(U280="Ativo","Ativo",IF(U280="SKU excluído","Vencido",VLOOKUP(C280,Encerramentos!B:G,6,0))),"")</f>
        <v>Ativo</v>
      </c>
    </row>
    <row r="281" hidden="1">
      <c r="A281" s="49" t="s">
        <v>231</v>
      </c>
      <c r="B281" s="33" t="str">
        <f t="shared" si="12"/>
        <v/>
      </c>
      <c r="C281" s="34" t="s">
        <v>1496</v>
      </c>
      <c r="D281" s="83" t="s">
        <v>1438</v>
      </c>
      <c r="E281" s="35" t="s">
        <v>1317</v>
      </c>
      <c r="F281" s="42" t="s">
        <v>1497</v>
      </c>
      <c r="G281" s="37" t="s">
        <v>387</v>
      </c>
      <c r="H281" s="38" t="s">
        <v>1027</v>
      </c>
      <c r="I281" s="38" t="s">
        <v>1162</v>
      </c>
      <c r="J281" s="91" t="s">
        <v>1446</v>
      </c>
      <c r="K281" s="58">
        <v>45901.0</v>
      </c>
      <c r="L281" s="38" t="s">
        <v>862</v>
      </c>
      <c r="M281" s="63" t="s">
        <v>1020</v>
      </c>
      <c r="N281" s="50">
        <v>46258.0</v>
      </c>
      <c r="O281" s="50">
        <f t="shared" si="25"/>
        <v>46168</v>
      </c>
      <c r="P281" s="35" t="s">
        <v>1489</v>
      </c>
      <c r="Q281" s="35" t="s">
        <v>1490</v>
      </c>
      <c r="R281" s="35" t="s">
        <v>286</v>
      </c>
      <c r="S281" s="45" t="b">
        <v>1</v>
      </c>
      <c r="T281" s="43">
        <f>IFERROR(__xludf.DUMMYFUNCTION("IFERROR(VLOOKUP(C281,IMPORTRANGE(""https://docs.google.com/spreadsheets/d/1RmEXtNg60OGvqZjyMxiYNPJ6S_kcz01v57qrHugDWVc/edit#gid=0"",""Chegadas!E:AQ""),19,0),"""")"),45994.0)</f>
        <v>45994</v>
      </c>
      <c r="U281" s="88" t="s">
        <v>393</v>
      </c>
      <c r="V281" s="60" t="s">
        <v>1491</v>
      </c>
      <c r="W281" s="61" t="str">
        <f>IFERROR(IF(U281="Ativo","Ativo",IF(U281="SKU excluído","Vencido",VLOOKUP(C281,Encerramentos!B:G,6,0))),"")</f>
        <v>Ativo</v>
      </c>
    </row>
    <row r="282" hidden="1">
      <c r="A282" s="49" t="s">
        <v>231</v>
      </c>
      <c r="B282" s="33" t="str">
        <f t="shared" si="12"/>
        <v/>
      </c>
      <c r="C282" s="34" t="s">
        <v>1498</v>
      </c>
      <c r="D282" s="83" t="s">
        <v>1438</v>
      </c>
      <c r="E282" s="35" t="s">
        <v>1317</v>
      </c>
      <c r="F282" s="42" t="s">
        <v>1499</v>
      </c>
      <c r="G282" s="37" t="s">
        <v>387</v>
      </c>
      <c r="H282" s="38" t="s">
        <v>1027</v>
      </c>
      <c r="I282" s="38" t="s">
        <v>1319</v>
      </c>
      <c r="J282" s="91" t="s">
        <v>1446</v>
      </c>
      <c r="K282" s="58">
        <v>45901.0</v>
      </c>
      <c r="L282" s="38" t="s">
        <v>862</v>
      </c>
      <c r="M282" s="63" t="s">
        <v>1020</v>
      </c>
      <c r="N282" s="50">
        <v>46258.0</v>
      </c>
      <c r="O282" s="50">
        <f t="shared" si="25"/>
        <v>46168</v>
      </c>
      <c r="P282" s="35" t="s">
        <v>1489</v>
      </c>
      <c r="Q282" s="35" t="s">
        <v>1490</v>
      </c>
      <c r="R282" s="35" t="s">
        <v>286</v>
      </c>
      <c r="S282" s="45" t="b">
        <v>1</v>
      </c>
      <c r="T282" s="43">
        <f>IFERROR(__xludf.DUMMYFUNCTION("IFERROR(VLOOKUP(C282,IMPORTRANGE(""https://docs.google.com/spreadsheets/d/1RmEXtNg60OGvqZjyMxiYNPJ6S_kcz01v57qrHugDWVc/edit#gid=0"",""Chegadas!E:AQ""),19,0),"""")"),45994.0)</f>
        <v>45994</v>
      </c>
      <c r="U282" s="88" t="s">
        <v>393</v>
      </c>
      <c r="V282" s="60" t="s">
        <v>1491</v>
      </c>
      <c r="W282" s="61" t="str">
        <f>IFERROR(IF(U282="Ativo","Ativo",IF(U282="SKU excluído","Vencido",VLOOKUP(C282,Encerramentos!B:G,6,0))),"")</f>
        <v>Ativo</v>
      </c>
    </row>
    <row r="283" hidden="1">
      <c r="A283" s="49" t="s">
        <v>231</v>
      </c>
      <c r="B283" s="33" t="str">
        <f t="shared" si="12"/>
        <v/>
      </c>
      <c r="C283" s="34" t="s">
        <v>1500</v>
      </c>
      <c r="D283" s="83" t="s">
        <v>1438</v>
      </c>
      <c r="E283" s="35" t="s">
        <v>1317</v>
      </c>
      <c r="F283" s="42" t="s">
        <v>1501</v>
      </c>
      <c r="G283" s="37" t="s">
        <v>387</v>
      </c>
      <c r="H283" s="38" t="s">
        <v>1027</v>
      </c>
      <c r="I283" s="38" t="s">
        <v>1162</v>
      </c>
      <c r="J283" s="91" t="s">
        <v>1446</v>
      </c>
      <c r="K283" s="58">
        <v>45901.0</v>
      </c>
      <c r="L283" s="38" t="s">
        <v>862</v>
      </c>
      <c r="M283" s="63" t="s">
        <v>1020</v>
      </c>
      <c r="N283" s="50">
        <v>46258.0</v>
      </c>
      <c r="O283" s="50">
        <f t="shared" si="25"/>
        <v>46168</v>
      </c>
      <c r="P283" s="35" t="s">
        <v>1489</v>
      </c>
      <c r="Q283" s="35" t="s">
        <v>1490</v>
      </c>
      <c r="R283" s="35" t="s">
        <v>286</v>
      </c>
      <c r="S283" s="45" t="b">
        <v>1</v>
      </c>
      <c r="T283" s="43">
        <f>IFERROR(__xludf.DUMMYFUNCTION("IFERROR(VLOOKUP(C283,IMPORTRANGE(""https://docs.google.com/spreadsheets/d/1RmEXtNg60OGvqZjyMxiYNPJ6S_kcz01v57qrHugDWVc/edit#gid=0"",""Chegadas!E:AQ""),19,0),"""")"),45994.0)</f>
        <v>45994</v>
      </c>
      <c r="U283" s="88" t="s">
        <v>393</v>
      </c>
      <c r="V283" s="60" t="s">
        <v>1491</v>
      </c>
      <c r="W283" s="61" t="str">
        <f>IFERROR(IF(U283="Ativo","Ativo",IF(U283="SKU excluído","Vencido",VLOOKUP(C283,Encerramentos!B:G,6,0))),"")</f>
        <v>Ativo</v>
      </c>
    </row>
    <row r="284" hidden="1">
      <c r="A284" s="49" t="s">
        <v>231</v>
      </c>
      <c r="B284" s="33" t="str">
        <f t="shared" si="12"/>
        <v/>
      </c>
      <c r="C284" s="34" t="s">
        <v>1502</v>
      </c>
      <c r="D284" s="83" t="s">
        <v>1438</v>
      </c>
      <c r="E284" s="35" t="s">
        <v>1317</v>
      </c>
      <c r="F284" s="42" t="s">
        <v>1503</v>
      </c>
      <c r="G284" s="37" t="s">
        <v>387</v>
      </c>
      <c r="H284" s="38" t="s">
        <v>1027</v>
      </c>
      <c r="I284" s="38" t="s">
        <v>1162</v>
      </c>
      <c r="J284" s="91" t="s">
        <v>1446</v>
      </c>
      <c r="K284" s="58">
        <v>45901.0</v>
      </c>
      <c r="L284" s="38" t="s">
        <v>862</v>
      </c>
      <c r="M284" s="63" t="s">
        <v>1020</v>
      </c>
      <c r="N284" s="50">
        <v>46258.0</v>
      </c>
      <c r="O284" s="50">
        <f t="shared" si="25"/>
        <v>46168</v>
      </c>
      <c r="P284" s="35" t="s">
        <v>1447</v>
      </c>
      <c r="Q284" s="35" t="s">
        <v>1448</v>
      </c>
      <c r="R284" s="35" t="s">
        <v>286</v>
      </c>
      <c r="S284" s="45" t="b">
        <v>1</v>
      </c>
      <c r="T284" s="43">
        <f>IFERROR(__xludf.DUMMYFUNCTION("IFERROR(VLOOKUP(C284,IMPORTRANGE(""https://docs.google.com/spreadsheets/d/1RmEXtNg60OGvqZjyMxiYNPJ6S_kcz01v57qrHugDWVc/edit#gid=0"",""Chegadas!E:AQ""),19,0),"""")"),45994.0)</f>
        <v>45994</v>
      </c>
      <c r="U284" s="88" t="s">
        <v>393</v>
      </c>
      <c r="V284" s="60" t="s">
        <v>1449</v>
      </c>
      <c r="W284" s="61" t="str">
        <f>IFERROR(IF(U284="Ativo","Ativo",IF(U284="SKU excluído","Vencido",VLOOKUP(C284,Encerramentos!B:G,6,0))),"")</f>
        <v>Ativo</v>
      </c>
    </row>
    <row r="285" hidden="1">
      <c r="A285" s="49" t="s">
        <v>231</v>
      </c>
      <c r="B285" s="33" t="str">
        <f t="shared" si="12"/>
        <v/>
      </c>
      <c r="C285" s="34" t="s">
        <v>1504</v>
      </c>
      <c r="D285" s="83" t="s">
        <v>1438</v>
      </c>
      <c r="E285" s="35" t="s">
        <v>1317</v>
      </c>
      <c r="F285" s="42" t="s">
        <v>1505</v>
      </c>
      <c r="G285" s="37" t="s">
        <v>387</v>
      </c>
      <c r="H285" s="38" t="s">
        <v>1027</v>
      </c>
      <c r="I285" s="38" t="s">
        <v>1162</v>
      </c>
      <c r="J285" s="91" t="s">
        <v>1506</v>
      </c>
      <c r="K285" s="58">
        <v>45957.0</v>
      </c>
      <c r="L285" s="38" t="s">
        <v>862</v>
      </c>
      <c r="M285" s="63" t="s">
        <v>1020</v>
      </c>
      <c r="N285" s="50">
        <v>46258.0</v>
      </c>
      <c r="O285" s="50">
        <f t="shared" si="25"/>
        <v>46168</v>
      </c>
      <c r="P285" s="35" t="s">
        <v>1447</v>
      </c>
      <c r="Q285" s="35" t="s">
        <v>1448</v>
      </c>
      <c r="R285" s="35" t="s">
        <v>286</v>
      </c>
      <c r="S285" s="45" t="b">
        <v>1</v>
      </c>
      <c r="T285" s="43" t="str">
        <f>IFERROR(__xludf.DUMMYFUNCTION("IFERROR(VLOOKUP(C285,IMPORTRANGE(""https://docs.google.com/spreadsheets/d/1RmEXtNg60OGvqZjyMxiYNPJ6S_kcz01v57qrHugDWVc/edit#gid=0"",""Chegadas!E:AQ""),19,0),"""")"),"")</f>
        <v/>
      </c>
      <c r="U285" s="88" t="s">
        <v>930</v>
      </c>
      <c r="V285" s="60" t="s">
        <v>1449</v>
      </c>
      <c r="W285" s="61" t="str">
        <f>IFERROR(IF(U285="Ativo","Ativo",IF(U285="SKU excluído","Vencido",VLOOKUP(C285,Encerramentos!B:G,6,0))),"")</f>
        <v>Vencido</v>
      </c>
    </row>
    <row r="286" hidden="1">
      <c r="A286" s="49" t="s">
        <v>231</v>
      </c>
      <c r="B286" s="33" t="str">
        <f t="shared" si="12"/>
        <v/>
      </c>
      <c r="C286" s="34" t="s">
        <v>1507</v>
      </c>
      <c r="D286" s="83" t="s">
        <v>1438</v>
      </c>
      <c r="E286" s="35" t="s">
        <v>1317</v>
      </c>
      <c r="F286" s="42" t="s">
        <v>1508</v>
      </c>
      <c r="G286" s="37" t="s">
        <v>387</v>
      </c>
      <c r="H286" s="38" t="s">
        <v>1027</v>
      </c>
      <c r="I286" s="38" t="s">
        <v>1162</v>
      </c>
      <c r="J286" s="91" t="s">
        <v>1446</v>
      </c>
      <c r="K286" s="58">
        <v>45901.0</v>
      </c>
      <c r="L286" s="38" t="s">
        <v>862</v>
      </c>
      <c r="M286" s="63" t="s">
        <v>1020</v>
      </c>
      <c r="N286" s="50">
        <v>46258.0</v>
      </c>
      <c r="O286" s="50">
        <f t="shared" si="25"/>
        <v>46168</v>
      </c>
      <c r="P286" s="35" t="s">
        <v>1447</v>
      </c>
      <c r="Q286" s="35" t="s">
        <v>1448</v>
      </c>
      <c r="R286" s="35" t="s">
        <v>286</v>
      </c>
      <c r="S286" s="45" t="b">
        <v>1</v>
      </c>
      <c r="T286" s="43">
        <f>IFERROR(__xludf.DUMMYFUNCTION("IFERROR(VLOOKUP(C286,IMPORTRANGE(""https://docs.google.com/spreadsheets/d/1RmEXtNg60OGvqZjyMxiYNPJ6S_kcz01v57qrHugDWVc/edit#gid=0"",""Chegadas!E:AQ""),19,0),"""")"),45994.0)</f>
        <v>45994</v>
      </c>
      <c r="U286" s="88" t="s">
        <v>393</v>
      </c>
      <c r="V286" s="60" t="s">
        <v>1449</v>
      </c>
      <c r="W286" s="61" t="str">
        <f>IFERROR(IF(U286="Ativo","Ativo",IF(U286="SKU excluído","Vencido",VLOOKUP(C286,Encerramentos!B:G,6,0))),"")</f>
        <v>Ativo</v>
      </c>
    </row>
    <row r="287" hidden="1">
      <c r="A287" s="49" t="s">
        <v>231</v>
      </c>
      <c r="B287" s="33" t="str">
        <f t="shared" si="12"/>
        <v/>
      </c>
      <c r="C287" s="34" t="s">
        <v>1509</v>
      </c>
      <c r="D287" s="83" t="s">
        <v>1438</v>
      </c>
      <c r="E287" s="35" t="s">
        <v>1317</v>
      </c>
      <c r="F287" s="42" t="s">
        <v>1510</v>
      </c>
      <c r="G287" s="37" t="s">
        <v>387</v>
      </c>
      <c r="H287" s="38" t="s">
        <v>1027</v>
      </c>
      <c r="I287" s="38" t="s">
        <v>1162</v>
      </c>
      <c r="J287" s="91" t="s">
        <v>1446</v>
      </c>
      <c r="K287" s="58">
        <v>45901.0</v>
      </c>
      <c r="L287" s="38" t="s">
        <v>862</v>
      </c>
      <c r="M287" s="63" t="s">
        <v>1020</v>
      </c>
      <c r="N287" s="50">
        <v>46258.0</v>
      </c>
      <c r="O287" s="50">
        <f t="shared" si="25"/>
        <v>46168</v>
      </c>
      <c r="P287" s="35" t="s">
        <v>1447</v>
      </c>
      <c r="Q287" s="35" t="s">
        <v>1448</v>
      </c>
      <c r="R287" s="35" t="s">
        <v>286</v>
      </c>
      <c r="S287" s="45" t="b">
        <v>1</v>
      </c>
      <c r="T287" s="43">
        <f>IFERROR(__xludf.DUMMYFUNCTION("IFERROR(VLOOKUP(C287,IMPORTRANGE(""https://docs.google.com/spreadsheets/d/1RmEXtNg60OGvqZjyMxiYNPJ6S_kcz01v57qrHugDWVc/edit#gid=0"",""Chegadas!E:AQ""),19,0),"""")"),45994.0)</f>
        <v>45994</v>
      </c>
      <c r="U287" s="88" t="s">
        <v>393</v>
      </c>
      <c r="V287" s="60" t="s">
        <v>1449</v>
      </c>
      <c r="W287" s="61" t="str">
        <f>IFERROR(IF(U287="Ativo","Ativo",IF(U287="SKU excluído","Vencido",VLOOKUP(C287,Encerramentos!B:G,6,0))),"")</f>
        <v>Ativo</v>
      </c>
    </row>
    <row r="288" hidden="1">
      <c r="A288" s="49" t="s">
        <v>231</v>
      </c>
      <c r="B288" s="33" t="str">
        <f t="shared" si="12"/>
        <v/>
      </c>
      <c r="C288" s="34" t="s">
        <v>1511</v>
      </c>
      <c r="D288" s="83" t="s">
        <v>1438</v>
      </c>
      <c r="E288" s="35" t="s">
        <v>1317</v>
      </c>
      <c r="F288" s="42" t="s">
        <v>1512</v>
      </c>
      <c r="G288" s="37" t="s">
        <v>387</v>
      </c>
      <c r="H288" s="38" t="s">
        <v>1027</v>
      </c>
      <c r="I288" s="38" t="s">
        <v>1162</v>
      </c>
      <c r="J288" s="91" t="s">
        <v>1446</v>
      </c>
      <c r="K288" s="58">
        <v>45901.0</v>
      </c>
      <c r="L288" s="38" t="s">
        <v>862</v>
      </c>
      <c r="M288" s="63" t="s">
        <v>1020</v>
      </c>
      <c r="N288" s="50">
        <v>46258.0</v>
      </c>
      <c r="O288" s="50">
        <f t="shared" si="25"/>
        <v>46168</v>
      </c>
      <c r="P288" s="35" t="s">
        <v>1447</v>
      </c>
      <c r="Q288" s="35" t="s">
        <v>1448</v>
      </c>
      <c r="R288" s="35" t="s">
        <v>286</v>
      </c>
      <c r="S288" s="45" t="b">
        <v>1</v>
      </c>
      <c r="T288" s="43">
        <f>IFERROR(__xludf.DUMMYFUNCTION("IFERROR(VLOOKUP(C288,IMPORTRANGE(""https://docs.google.com/spreadsheets/d/1RmEXtNg60OGvqZjyMxiYNPJ6S_kcz01v57qrHugDWVc/edit#gid=0"",""Chegadas!E:AQ""),19,0),"""")"),46001.0)</f>
        <v>46001</v>
      </c>
      <c r="U288" s="88" t="s">
        <v>393</v>
      </c>
      <c r="V288" s="60" t="s">
        <v>1449</v>
      </c>
      <c r="W288" s="61" t="str">
        <f>IFERROR(IF(U288="Ativo","Ativo",IF(U288="SKU excluído","Vencido",VLOOKUP(C288,Encerramentos!B:G,6,0))),"")</f>
        <v>Ativo</v>
      </c>
    </row>
    <row r="289" hidden="1">
      <c r="A289" s="49" t="s">
        <v>231</v>
      </c>
      <c r="B289" s="33" t="str">
        <f t="shared" si="12"/>
        <v/>
      </c>
      <c r="C289" s="34" t="s">
        <v>1513</v>
      </c>
      <c r="D289" s="83" t="s">
        <v>1438</v>
      </c>
      <c r="E289" s="35" t="s">
        <v>1317</v>
      </c>
      <c r="F289" s="42" t="s">
        <v>1514</v>
      </c>
      <c r="G289" s="37" t="s">
        <v>387</v>
      </c>
      <c r="H289" s="38" t="s">
        <v>1027</v>
      </c>
      <c r="I289" s="38" t="s">
        <v>1162</v>
      </c>
      <c r="J289" s="91" t="s">
        <v>1446</v>
      </c>
      <c r="K289" s="58">
        <v>45901.0</v>
      </c>
      <c r="L289" s="38" t="s">
        <v>862</v>
      </c>
      <c r="M289" s="63" t="s">
        <v>1020</v>
      </c>
      <c r="N289" s="50">
        <v>46258.0</v>
      </c>
      <c r="O289" s="50">
        <f t="shared" si="25"/>
        <v>46168</v>
      </c>
      <c r="P289" s="35" t="s">
        <v>1447</v>
      </c>
      <c r="Q289" s="35" t="s">
        <v>1448</v>
      </c>
      <c r="R289" s="35" t="s">
        <v>286</v>
      </c>
      <c r="S289" s="45" t="b">
        <v>1</v>
      </c>
      <c r="T289" s="43">
        <f>IFERROR(__xludf.DUMMYFUNCTION("IFERROR(VLOOKUP(C289,IMPORTRANGE(""https://docs.google.com/spreadsheets/d/1RmEXtNg60OGvqZjyMxiYNPJ6S_kcz01v57qrHugDWVc/edit#gid=0"",""Chegadas!E:AQ""),19,0),"""")"),46001.0)</f>
        <v>46001</v>
      </c>
      <c r="U289" s="88" t="s">
        <v>393</v>
      </c>
      <c r="V289" s="60" t="s">
        <v>1449</v>
      </c>
      <c r="W289" s="61" t="str">
        <f>IFERROR(IF(U289="Ativo","Ativo",IF(U289="SKU excluído","Vencido",VLOOKUP(C289,Encerramentos!B:G,6,0))),"")</f>
        <v>Ativo</v>
      </c>
    </row>
    <row r="290" hidden="1">
      <c r="A290" s="49" t="s">
        <v>231</v>
      </c>
      <c r="B290" s="33" t="str">
        <f t="shared" si="12"/>
        <v/>
      </c>
      <c r="C290" s="34" t="s">
        <v>1515</v>
      </c>
      <c r="D290" s="83" t="s">
        <v>1438</v>
      </c>
      <c r="E290" s="35" t="s">
        <v>1317</v>
      </c>
      <c r="F290" s="42" t="s">
        <v>1516</v>
      </c>
      <c r="G290" s="37" t="s">
        <v>387</v>
      </c>
      <c r="H290" s="38" t="s">
        <v>1027</v>
      </c>
      <c r="I290" s="38" t="s">
        <v>1162</v>
      </c>
      <c r="J290" s="91" t="s">
        <v>1446</v>
      </c>
      <c r="K290" s="58">
        <v>45901.0</v>
      </c>
      <c r="L290" s="38" t="s">
        <v>862</v>
      </c>
      <c r="M290" s="63" t="s">
        <v>1020</v>
      </c>
      <c r="N290" s="50">
        <v>46258.0</v>
      </c>
      <c r="O290" s="50">
        <f t="shared" si="25"/>
        <v>46168</v>
      </c>
      <c r="P290" s="35" t="s">
        <v>1447</v>
      </c>
      <c r="Q290" s="35" t="s">
        <v>1448</v>
      </c>
      <c r="R290" s="35" t="s">
        <v>286</v>
      </c>
      <c r="S290" s="45" t="b">
        <v>1</v>
      </c>
      <c r="T290" s="43">
        <f>IFERROR(__xludf.DUMMYFUNCTION("IFERROR(VLOOKUP(C290,IMPORTRANGE(""https://docs.google.com/spreadsheets/d/1RmEXtNg60OGvqZjyMxiYNPJ6S_kcz01v57qrHugDWVc/edit#gid=0"",""Chegadas!E:AQ""),19,0),"""")"),46001.0)</f>
        <v>46001</v>
      </c>
      <c r="U290" s="88" t="s">
        <v>393</v>
      </c>
      <c r="V290" s="60" t="s">
        <v>1449</v>
      </c>
      <c r="W290" s="61" t="str">
        <f>IFERROR(IF(U290="Ativo","Ativo",IF(U290="SKU excluído","Vencido",VLOOKUP(C290,Encerramentos!B:G,6,0))),"")</f>
        <v>Ativo</v>
      </c>
    </row>
    <row r="291" hidden="1">
      <c r="A291" s="49" t="s">
        <v>231</v>
      </c>
      <c r="B291" s="33" t="str">
        <f t="shared" si="12"/>
        <v/>
      </c>
      <c r="C291" s="34" t="s">
        <v>1517</v>
      </c>
      <c r="D291" s="83" t="s">
        <v>1438</v>
      </c>
      <c r="E291" s="35" t="s">
        <v>1317</v>
      </c>
      <c r="F291" s="42" t="s">
        <v>1518</v>
      </c>
      <c r="G291" s="37" t="s">
        <v>387</v>
      </c>
      <c r="H291" s="38" t="s">
        <v>1027</v>
      </c>
      <c r="I291" s="38" t="s">
        <v>1319</v>
      </c>
      <c r="J291" s="91" t="s">
        <v>1446</v>
      </c>
      <c r="K291" s="58">
        <v>45901.0</v>
      </c>
      <c r="L291" s="38" t="s">
        <v>862</v>
      </c>
      <c r="M291" s="63" t="s">
        <v>1020</v>
      </c>
      <c r="N291" s="50">
        <v>46258.0</v>
      </c>
      <c r="O291" s="50">
        <f t="shared" si="25"/>
        <v>46168</v>
      </c>
      <c r="P291" s="35" t="s">
        <v>1519</v>
      </c>
      <c r="Q291" s="35" t="s">
        <v>1520</v>
      </c>
      <c r="R291" s="35" t="s">
        <v>286</v>
      </c>
      <c r="S291" s="45" t="b">
        <v>1</v>
      </c>
      <c r="T291" s="43">
        <f>IFERROR(__xludf.DUMMYFUNCTION("IFERROR(VLOOKUP(C291,IMPORTRANGE(""https://docs.google.com/spreadsheets/d/1RmEXtNg60OGvqZjyMxiYNPJ6S_kcz01v57qrHugDWVc/edit#gid=0"",""Chegadas!E:AQ""),19,0),"""")"),45994.0)</f>
        <v>45994</v>
      </c>
      <c r="U291" s="88" t="s">
        <v>393</v>
      </c>
      <c r="V291" s="60" t="s">
        <v>1521</v>
      </c>
      <c r="W291" s="61" t="str">
        <f>IFERROR(IF(U291="Ativo","Ativo",IF(U291="SKU excluído","Vencido",VLOOKUP(C291,Encerramentos!B:G,6,0))),"")</f>
        <v>Ativo</v>
      </c>
    </row>
    <row r="292" hidden="1">
      <c r="A292" s="49" t="s">
        <v>231</v>
      </c>
      <c r="B292" s="33" t="str">
        <f t="shared" si="12"/>
        <v/>
      </c>
      <c r="C292" s="34" t="s">
        <v>1522</v>
      </c>
      <c r="D292" s="83" t="s">
        <v>1438</v>
      </c>
      <c r="E292" s="35" t="s">
        <v>1317</v>
      </c>
      <c r="F292" s="42" t="s">
        <v>1523</v>
      </c>
      <c r="G292" s="37" t="s">
        <v>387</v>
      </c>
      <c r="H292" s="38" t="s">
        <v>1027</v>
      </c>
      <c r="I292" s="38" t="s">
        <v>1162</v>
      </c>
      <c r="J292" s="91" t="s">
        <v>1446</v>
      </c>
      <c r="K292" s="58">
        <v>45901.0</v>
      </c>
      <c r="L292" s="38" t="s">
        <v>862</v>
      </c>
      <c r="M292" s="63" t="s">
        <v>1020</v>
      </c>
      <c r="N292" s="50">
        <v>46258.0</v>
      </c>
      <c r="O292" s="50">
        <f t="shared" si="25"/>
        <v>46168</v>
      </c>
      <c r="P292" s="35" t="s">
        <v>1519</v>
      </c>
      <c r="Q292" s="35" t="s">
        <v>1520</v>
      </c>
      <c r="R292" s="35" t="s">
        <v>286</v>
      </c>
      <c r="S292" s="45" t="b">
        <v>1</v>
      </c>
      <c r="T292" s="43">
        <f>IFERROR(__xludf.DUMMYFUNCTION("IFERROR(VLOOKUP(C292,IMPORTRANGE(""https://docs.google.com/spreadsheets/d/1RmEXtNg60OGvqZjyMxiYNPJ6S_kcz01v57qrHugDWVc/edit#gid=0"",""Chegadas!E:AQ""),19,0),"""")"),45994.0)</f>
        <v>45994</v>
      </c>
      <c r="U292" s="88" t="s">
        <v>393</v>
      </c>
      <c r="V292" s="60" t="s">
        <v>1521</v>
      </c>
      <c r="W292" s="61" t="str">
        <f>IFERROR(IF(U292="Ativo","Ativo",IF(U292="SKU excluído","Vencido",VLOOKUP(C292,Encerramentos!B:G,6,0))),"")</f>
        <v>Ativo</v>
      </c>
    </row>
    <row r="293" hidden="1">
      <c r="A293" s="49" t="s">
        <v>231</v>
      </c>
      <c r="B293" s="33" t="str">
        <f t="shared" si="12"/>
        <v/>
      </c>
      <c r="C293" s="34" t="s">
        <v>1524</v>
      </c>
      <c r="D293" s="35" t="s">
        <v>1525</v>
      </c>
      <c r="E293" s="35" t="s">
        <v>385</v>
      </c>
      <c r="F293" s="94" t="s">
        <v>1526</v>
      </c>
      <c r="G293" s="37" t="s">
        <v>387</v>
      </c>
      <c r="H293" s="38" t="s">
        <v>1027</v>
      </c>
      <c r="I293" s="38" t="s">
        <v>1162</v>
      </c>
      <c r="J293" s="91" t="s">
        <v>1527</v>
      </c>
      <c r="K293" s="58">
        <v>45988.0</v>
      </c>
      <c r="L293" s="38" t="s">
        <v>862</v>
      </c>
      <c r="M293" s="63" t="s">
        <v>1020</v>
      </c>
      <c r="N293" s="50">
        <v>46258.0</v>
      </c>
      <c r="O293" s="50">
        <f t="shared" si="25"/>
        <v>46168</v>
      </c>
      <c r="P293" s="35" t="s">
        <v>1447</v>
      </c>
      <c r="Q293" s="35" t="s">
        <v>1448</v>
      </c>
      <c r="R293" s="35" t="s">
        <v>286</v>
      </c>
      <c r="S293" s="45" t="b">
        <v>1</v>
      </c>
      <c r="T293" s="43">
        <f>IFERROR(__xludf.DUMMYFUNCTION("IFERROR(VLOOKUP(C293,IMPORTRANGE(""https://docs.google.com/spreadsheets/d/1RmEXtNg60OGvqZjyMxiYNPJ6S_kcz01v57qrHugDWVc/edit#gid=0"",""Chegadas!E:AQ""),19,0),"""")"),46058.0)</f>
        <v>46058</v>
      </c>
      <c r="U293" s="88" t="s">
        <v>393</v>
      </c>
      <c r="V293" s="60" t="s">
        <v>1449</v>
      </c>
      <c r="W293" s="61" t="str">
        <f>IFERROR(IF(U293="Ativo","Ativo",IF(U293="SKU excluído","Vencido",VLOOKUP(C293,Encerramentos!B:G,6,0))),"")</f>
        <v>Ativo</v>
      </c>
    </row>
    <row r="294" hidden="1">
      <c r="A294" s="95"/>
      <c r="B294" s="95"/>
      <c r="C294" s="54"/>
      <c r="D294" s="83"/>
      <c r="E294" s="96"/>
      <c r="F294" s="42"/>
      <c r="G294" s="97"/>
      <c r="H294" s="96"/>
      <c r="I294" s="96"/>
      <c r="J294" s="98"/>
      <c r="K294" s="99"/>
      <c r="L294" s="96"/>
      <c r="M294" s="42"/>
      <c r="N294" s="42"/>
      <c r="O294" s="42"/>
      <c r="P294" s="83"/>
      <c r="Q294" s="83"/>
      <c r="R294" s="42"/>
      <c r="S294" s="42"/>
      <c r="T294" s="43" t="str">
        <f>IFERROR(__xludf.DUMMYFUNCTION("IFERROR(VLOOKUP(C294,IMPORTRANGE(""https://docs.google.com/spreadsheets/d/1RmEXtNg60OGvqZjyMxiYNPJ6S_kcz01v57qrHugDWVc/edit#gid=0"",""Chegadas!E:AQ""),19,0),"""")"),"")</f>
        <v/>
      </c>
      <c r="U294" s="100"/>
      <c r="V294" s="98"/>
      <c r="W294" s="98"/>
    </row>
    <row r="295" hidden="1">
      <c r="A295" s="95"/>
      <c r="B295" s="95"/>
      <c r="C295" s="54"/>
      <c r="D295" s="83"/>
      <c r="E295" s="96"/>
      <c r="F295" s="42"/>
      <c r="G295" s="97"/>
      <c r="H295" s="96"/>
      <c r="I295" s="96"/>
      <c r="J295" s="98"/>
      <c r="K295" s="99"/>
      <c r="L295" s="96"/>
      <c r="M295" s="42"/>
      <c r="N295" s="42"/>
      <c r="O295" s="42"/>
      <c r="P295" s="83"/>
      <c r="Q295" s="83"/>
      <c r="R295" s="42"/>
      <c r="S295" s="42"/>
      <c r="T295" s="43" t="str">
        <f>IFERROR(__xludf.DUMMYFUNCTION("IFERROR(VLOOKUP(C295,IMPORTRANGE(""https://docs.google.com/spreadsheets/d/1RmEXtNg60OGvqZjyMxiYNPJ6S_kcz01v57qrHugDWVc/edit#gid=0"",""Chegadas!E:AQ""),19,0),"""")"),"")</f>
        <v/>
      </c>
      <c r="U295" s="100"/>
      <c r="V295" s="98"/>
      <c r="W295" s="98"/>
    </row>
    <row r="296" hidden="1">
      <c r="A296" s="95"/>
      <c r="B296" s="95"/>
      <c r="C296" s="54"/>
      <c r="D296" s="83"/>
      <c r="E296" s="96"/>
      <c r="F296" s="42"/>
      <c r="G296" s="97"/>
      <c r="H296" s="96"/>
      <c r="I296" s="96"/>
      <c r="J296" s="98"/>
      <c r="K296" s="99"/>
      <c r="L296" s="96"/>
      <c r="M296" s="42"/>
      <c r="N296" s="42"/>
      <c r="O296" s="42"/>
      <c r="P296" s="83"/>
      <c r="Q296" s="83"/>
      <c r="R296" s="42"/>
      <c r="S296" s="42"/>
      <c r="T296" s="43" t="str">
        <f>IFERROR(__xludf.DUMMYFUNCTION("IFERROR(VLOOKUP(C296,IMPORTRANGE(""https://docs.google.com/spreadsheets/d/1RmEXtNg60OGvqZjyMxiYNPJ6S_kcz01v57qrHugDWVc/edit#gid=0"",""Chegadas!E:AQ""),19,0),"""")"),"")</f>
        <v/>
      </c>
      <c r="U296" s="100"/>
      <c r="V296" s="98"/>
      <c r="W296" s="98"/>
    </row>
    <row r="297" hidden="1">
      <c r="A297" s="95"/>
      <c r="B297" s="95"/>
      <c r="C297" s="54"/>
      <c r="D297" s="83"/>
      <c r="E297" s="96"/>
      <c r="F297" s="42"/>
      <c r="G297" s="97"/>
      <c r="H297" s="96"/>
      <c r="I297" s="96"/>
      <c r="J297" s="98"/>
      <c r="K297" s="99"/>
      <c r="L297" s="96"/>
      <c r="M297" s="42"/>
      <c r="N297" s="42"/>
      <c r="O297" s="42"/>
      <c r="P297" s="83"/>
      <c r="Q297" s="83"/>
      <c r="R297" s="42"/>
      <c r="S297" s="42"/>
      <c r="T297" s="43" t="str">
        <f>IFERROR(__xludf.DUMMYFUNCTION("IFERROR(VLOOKUP(C297,IMPORTRANGE(""https://docs.google.com/spreadsheets/d/1RmEXtNg60OGvqZjyMxiYNPJ6S_kcz01v57qrHugDWVc/edit#gid=0"",""Chegadas!E:AQ""),19,0),"""")"),"")</f>
        <v/>
      </c>
      <c r="U297" s="100"/>
      <c r="V297" s="98"/>
      <c r="W297" s="98"/>
    </row>
    <row r="298" hidden="1">
      <c r="A298" s="95"/>
      <c r="B298" s="95"/>
      <c r="C298" s="54"/>
      <c r="D298" s="83"/>
      <c r="E298" s="96"/>
      <c r="F298" s="42"/>
      <c r="G298" s="97"/>
      <c r="H298" s="96"/>
      <c r="I298" s="96"/>
      <c r="J298" s="98"/>
      <c r="K298" s="99"/>
      <c r="L298" s="96"/>
      <c r="M298" s="42"/>
      <c r="N298" s="42"/>
      <c r="O298" s="42"/>
      <c r="P298" s="83"/>
      <c r="Q298" s="83"/>
      <c r="R298" s="42"/>
      <c r="S298" s="42"/>
      <c r="T298" s="43" t="str">
        <f>IFERROR(__xludf.DUMMYFUNCTION("IFERROR(VLOOKUP(C298,IMPORTRANGE(""https://docs.google.com/spreadsheets/d/1RmEXtNg60OGvqZjyMxiYNPJ6S_kcz01v57qrHugDWVc/edit#gid=0"",""Chegadas!E:AQ""),19,0),"""")"),"")</f>
        <v/>
      </c>
      <c r="U298" s="100"/>
      <c r="V298" s="98"/>
      <c r="W298" s="98"/>
    </row>
    <row r="299" hidden="1">
      <c r="A299" s="95"/>
      <c r="B299" s="95"/>
      <c r="C299" s="54"/>
      <c r="D299" s="83"/>
      <c r="E299" s="96"/>
      <c r="F299" s="42"/>
      <c r="G299" s="97"/>
      <c r="H299" s="96"/>
      <c r="I299" s="96"/>
      <c r="J299" s="98"/>
      <c r="K299" s="99"/>
      <c r="L299" s="96"/>
      <c r="M299" s="42"/>
      <c r="N299" s="42"/>
      <c r="O299" s="42"/>
      <c r="P299" s="83"/>
      <c r="Q299" s="83"/>
      <c r="R299" s="42"/>
      <c r="S299" s="42"/>
      <c r="T299" s="43" t="str">
        <f>IFERROR(__xludf.DUMMYFUNCTION("IFERROR(VLOOKUP(C299,IMPORTRANGE(""https://docs.google.com/spreadsheets/d/1RmEXtNg60OGvqZjyMxiYNPJ6S_kcz01v57qrHugDWVc/edit#gid=0"",""Chegadas!E:AQ""),19,0),"""")"),"")</f>
        <v/>
      </c>
      <c r="U299" s="100"/>
      <c r="V299" s="98"/>
      <c r="W299" s="98"/>
    </row>
    <row r="300" hidden="1">
      <c r="A300" s="95"/>
      <c r="B300" s="95"/>
      <c r="C300" s="54"/>
      <c r="D300" s="83"/>
      <c r="E300" s="96"/>
      <c r="F300" s="42"/>
      <c r="G300" s="97"/>
      <c r="H300" s="96"/>
      <c r="I300" s="96"/>
      <c r="J300" s="98"/>
      <c r="K300" s="99"/>
      <c r="L300" s="96"/>
      <c r="M300" s="42"/>
      <c r="N300" s="42"/>
      <c r="O300" s="42"/>
      <c r="P300" s="83"/>
      <c r="Q300" s="83"/>
      <c r="R300" s="42"/>
      <c r="S300" s="42"/>
      <c r="T300" s="43" t="str">
        <f>IFERROR(__xludf.DUMMYFUNCTION("IFERROR(VLOOKUP(C300,IMPORTRANGE(""https://docs.google.com/spreadsheets/d/1RmEXtNg60OGvqZjyMxiYNPJ6S_kcz01v57qrHugDWVc/edit#gid=0"",""Chegadas!E:AQ""),19,0),"""")"),"")</f>
        <v/>
      </c>
      <c r="U300" s="100"/>
      <c r="V300" s="98"/>
      <c r="W300" s="98"/>
    </row>
    <row r="301" hidden="1">
      <c r="A301" s="95"/>
      <c r="B301" s="95"/>
      <c r="C301" s="54"/>
      <c r="D301" s="83"/>
      <c r="E301" s="96"/>
      <c r="F301" s="42"/>
      <c r="G301" s="97"/>
      <c r="H301" s="96"/>
      <c r="I301" s="96"/>
      <c r="J301" s="98"/>
      <c r="K301" s="99"/>
      <c r="L301" s="96"/>
      <c r="M301" s="42"/>
      <c r="N301" s="42"/>
      <c r="O301" s="42"/>
      <c r="P301" s="83"/>
      <c r="Q301" s="83"/>
      <c r="R301" s="42"/>
      <c r="S301" s="42"/>
      <c r="T301" s="43" t="str">
        <f>IFERROR(__xludf.DUMMYFUNCTION("IFERROR(VLOOKUP(C301,IMPORTRANGE(""https://docs.google.com/spreadsheets/d/1RmEXtNg60OGvqZjyMxiYNPJ6S_kcz01v57qrHugDWVc/edit#gid=0"",""Chegadas!E:AQ""),19,0),"""")"),"")</f>
        <v/>
      </c>
      <c r="U301" s="100"/>
      <c r="V301" s="98"/>
      <c r="W301" s="98"/>
    </row>
    <row r="302" hidden="1">
      <c r="A302" s="95"/>
      <c r="B302" s="95"/>
      <c r="C302" s="54"/>
      <c r="D302" s="83"/>
      <c r="E302" s="96"/>
      <c r="F302" s="42"/>
      <c r="G302" s="97"/>
      <c r="H302" s="96"/>
      <c r="I302" s="96"/>
      <c r="J302" s="98"/>
      <c r="K302" s="99"/>
      <c r="L302" s="96"/>
      <c r="M302" s="42"/>
      <c r="N302" s="42"/>
      <c r="O302" s="42"/>
      <c r="P302" s="83"/>
      <c r="Q302" s="83"/>
      <c r="R302" s="42"/>
      <c r="S302" s="42"/>
      <c r="T302" s="43" t="str">
        <f>IFERROR(__xludf.DUMMYFUNCTION("IFERROR(VLOOKUP(C302,IMPORTRANGE(""https://docs.google.com/spreadsheets/d/1RmEXtNg60OGvqZjyMxiYNPJ6S_kcz01v57qrHugDWVc/edit#gid=0"",""Chegadas!E:AQ""),19,0),"""")"),"")</f>
        <v/>
      </c>
      <c r="U302" s="100"/>
      <c r="V302" s="98"/>
      <c r="W302" s="98"/>
    </row>
    <row r="303" hidden="1">
      <c r="A303" s="95"/>
      <c r="B303" s="95"/>
      <c r="C303" s="54"/>
      <c r="D303" s="83"/>
      <c r="E303" s="96"/>
      <c r="F303" s="42"/>
      <c r="G303" s="97"/>
      <c r="H303" s="96"/>
      <c r="I303" s="96"/>
      <c r="J303" s="98"/>
      <c r="K303" s="99"/>
      <c r="L303" s="96"/>
      <c r="M303" s="42"/>
      <c r="N303" s="42"/>
      <c r="O303" s="42"/>
      <c r="P303" s="83"/>
      <c r="Q303" s="83"/>
      <c r="R303" s="42"/>
      <c r="S303" s="42"/>
      <c r="T303" s="43" t="str">
        <f>IFERROR(__xludf.DUMMYFUNCTION("IFERROR(VLOOKUP(C303,IMPORTRANGE(""https://docs.google.com/spreadsheets/d/1RmEXtNg60OGvqZjyMxiYNPJ6S_kcz01v57qrHugDWVc/edit#gid=0"",""Chegadas!E:AQ""),19,0),"""")"),"")</f>
        <v/>
      </c>
      <c r="U303" s="100"/>
      <c r="V303" s="98"/>
      <c r="W303" s="98"/>
    </row>
    <row r="304" hidden="1">
      <c r="A304" s="95"/>
      <c r="B304" s="95"/>
      <c r="C304" s="54"/>
      <c r="D304" s="83"/>
      <c r="E304" s="96"/>
      <c r="F304" s="42"/>
      <c r="G304" s="97"/>
      <c r="H304" s="96"/>
      <c r="I304" s="96"/>
      <c r="J304" s="98"/>
      <c r="K304" s="99"/>
      <c r="L304" s="96"/>
      <c r="M304" s="42"/>
      <c r="N304" s="42"/>
      <c r="O304" s="42"/>
      <c r="P304" s="83"/>
      <c r="Q304" s="83"/>
      <c r="R304" s="42"/>
      <c r="S304" s="42"/>
      <c r="T304" s="43" t="str">
        <f>IFERROR(__xludf.DUMMYFUNCTION("IFERROR(VLOOKUP(C304,IMPORTRANGE(""https://docs.google.com/spreadsheets/d/1RmEXtNg60OGvqZjyMxiYNPJ6S_kcz01v57qrHugDWVc/edit#gid=0"",""Chegadas!E:AQ""),19,0),"""")"),"")</f>
        <v/>
      </c>
      <c r="U304" s="100"/>
      <c r="V304" s="98"/>
      <c r="W304" s="98"/>
    </row>
    <row r="305" hidden="1">
      <c r="A305" s="95"/>
      <c r="B305" s="95"/>
      <c r="C305" s="54"/>
      <c r="D305" s="83"/>
      <c r="E305" s="96"/>
      <c r="F305" s="42"/>
      <c r="G305" s="97"/>
      <c r="H305" s="96"/>
      <c r="I305" s="96"/>
      <c r="J305" s="98"/>
      <c r="K305" s="99"/>
      <c r="L305" s="96"/>
      <c r="M305" s="42"/>
      <c r="N305" s="42"/>
      <c r="O305" s="42"/>
      <c r="P305" s="83"/>
      <c r="Q305" s="83"/>
      <c r="R305" s="42"/>
      <c r="S305" s="42"/>
      <c r="T305" s="43" t="str">
        <f>IFERROR(__xludf.DUMMYFUNCTION("IFERROR(VLOOKUP(C305,IMPORTRANGE(""https://docs.google.com/spreadsheets/d/1RmEXtNg60OGvqZjyMxiYNPJ6S_kcz01v57qrHugDWVc/edit#gid=0"",""Chegadas!E:AQ""),19,0),"""")"),"")</f>
        <v/>
      </c>
      <c r="U305" s="100"/>
      <c r="V305" s="98"/>
      <c r="W305" s="98"/>
    </row>
    <row r="306" hidden="1">
      <c r="A306" s="95"/>
      <c r="B306" s="95"/>
      <c r="C306" s="54"/>
      <c r="D306" s="83"/>
      <c r="E306" s="96"/>
      <c r="F306" s="42"/>
      <c r="G306" s="97"/>
      <c r="H306" s="96"/>
      <c r="I306" s="96"/>
      <c r="J306" s="98"/>
      <c r="K306" s="99"/>
      <c r="L306" s="96"/>
      <c r="M306" s="42"/>
      <c r="N306" s="42"/>
      <c r="O306" s="42"/>
      <c r="P306" s="83"/>
      <c r="Q306" s="83"/>
      <c r="R306" s="42"/>
      <c r="S306" s="42"/>
      <c r="T306" s="43" t="str">
        <f>IFERROR(__xludf.DUMMYFUNCTION("IFERROR(VLOOKUP(C306,IMPORTRANGE(""https://docs.google.com/spreadsheets/d/1RmEXtNg60OGvqZjyMxiYNPJ6S_kcz01v57qrHugDWVc/edit#gid=0"",""Chegadas!E:AQ""),19,0),"""")"),"")</f>
        <v/>
      </c>
      <c r="U306" s="100"/>
      <c r="V306" s="98"/>
      <c r="W306" s="98"/>
    </row>
    <row r="307" hidden="1">
      <c r="A307" s="95"/>
      <c r="B307" s="95"/>
      <c r="C307" s="54"/>
      <c r="D307" s="83"/>
      <c r="E307" s="96"/>
      <c r="F307" s="42"/>
      <c r="G307" s="97"/>
      <c r="H307" s="96"/>
      <c r="I307" s="96"/>
      <c r="J307" s="98"/>
      <c r="K307" s="99"/>
      <c r="L307" s="96"/>
      <c r="M307" s="42"/>
      <c r="N307" s="42"/>
      <c r="O307" s="42"/>
      <c r="P307" s="83"/>
      <c r="Q307" s="83"/>
      <c r="R307" s="42"/>
      <c r="S307" s="42"/>
      <c r="T307" s="43" t="str">
        <f>IFERROR(__xludf.DUMMYFUNCTION("IFERROR(VLOOKUP(C307,IMPORTRANGE(""https://docs.google.com/spreadsheets/d/1RmEXtNg60OGvqZjyMxiYNPJ6S_kcz01v57qrHugDWVc/edit#gid=0"",""Chegadas!E:AQ""),19,0),"""")"),"")</f>
        <v/>
      </c>
      <c r="U307" s="100"/>
      <c r="V307" s="98"/>
      <c r="W307" s="98"/>
    </row>
    <row r="308" hidden="1">
      <c r="A308" s="95"/>
      <c r="B308" s="95"/>
      <c r="C308" s="54"/>
      <c r="D308" s="83"/>
      <c r="E308" s="96"/>
      <c r="F308" s="42"/>
      <c r="G308" s="97"/>
      <c r="H308" s="96"/>
      <c r="I308" s="96"/>
      <c r="J308" s="98"/>
      <c r="K308" s="99"/>
      <c r="L308" s="96"/>
      <c r="M308" s="42"/>
      <c r="N308" s="42"/>
      <c r="O308" s="42"/>
      <c r="P308" s="83"/>
      <c r="Q308" s="83"/>
      <c r="R308" s="42"/>
      <c r="S308" s="42"/>
      <c r="T308" s="43" t="str">
        <f>IFERROR(__xludf.DUMMYFUNCTION("IFERROR(VLOOKUP(C308,IMPORTRANGE(""https://docs.google.com/spreadsheets/d/1RmEXtNg60OGvqZjyMxiYNPJ6S_kcz01v57qrHugDWVc/edit#gid=0"",""Chegadas!E:AQ""),19,0),"""")"),"")</f>
        <v/>
      </c>
      <c r="U308" s="100"/>
      <c r="V308" s="98"/>
      <c r="W308" s="98"/>
    </row>
    <row r="309" hidden="1">
      <c r="A309" s="95"/>
      <c r="B309" s="95"/>
      <c r="C309" s="54"/>
      <c r="D309" s="83"/>
      <c r="E309" s="96"/>
      <c r="F309" s="42"/>
      <c r="G309" s="97"/>
      <c r="H309" s="96"/>
      <c r="I309" s="96"/>
      <c r="J309" s="98"/>
      <c r="K309" s="99"/>
      <c r="L309" s="96"/>
      <c r="M309" s="42"/>
      <c r="N309" s="42"/>
      <c r="O309" s="42"/>
      <c r="P309" s="83"/>
      <c r="Q309" s="83"/>
      <c r="R309" s="42"/>
      <c r="S309" s="42"/>
      <c r="T309" s="43" t="str">
        <f>IFERROR(__xludf.DUMMYFUNCTION("IFERROR(VLOOKUP(C309,IMPORTRANGE(""https://docs.google.com/spreadsheets/d/1RmEXtNg60OGvqZjyMxiYNPJ6S_kcz01v57qrHugDWVc/edit#gid=0"",""Chegadas!E:AQ""),19,0),"""")"),"")</f>
        <v/>
      </c>
      <c r="U309" s="100"/>
      <c r="V309" s="98"/>
      <c r="W309" s="98"/>
    </row>
    <row r="310" hidden="1">
      <c r="A310" s="95"/>
      <c r="B310" s="95"/>
      <c r="C310" s="54"/>
      <c r="D310" s="83"/>
      <c r="E310" s="96"/>
      <c r="F310" s="42"/>
      <c r="G310" s="97"/>
      <c r="H310" s="96"/>
      <c r="I310" s="96"/>
      <c r="J310" s="98"/>
      <c r="K310" s="99"/>
      <c r="L310" s="96"/>
      <c r="M310" s="42"/>
      <c r="N310" s="42"/>
      <c r="O310" s="42"/>
      <c r="P310" s="83"/>
      <c r="Q310" s="83"/>
      <c r="R310" s="42"/>
      <c r="S310" s="42"/>
      <c r="T310" s="43" t="str">
        <f>IFERROR(__xludf.DUMMYFUNCTION("IFERROR(VLOOKUP(C310,IMPORTRANGE(""https://docs.google.com/spreadsheets/d/1RmEXtNg60OGvqZjyMxiYNPJ6S_kcz01v57qrHugDWVc/edit#gid=0"",""Chegadas!E:AQ""),19,0),"""")"),"")</f>
        <v/>
      </c>
      <c r="U310" s="100"/>
      <c r="V310" s="98"/>
      <c r="W310" s="98"/>
    </row>
    <row r="311" hidden="1">
      <c r="A311" s="95"/>
      <c r="B311" s="95"/>
      <c r="C311" s="54"/>
      <c r="D311" s="83"/>
      <c r="E311" s="96"/>
      <c r="F311" s="42"/>
      <c r="G311" s="97"/>
      <c r="H311" s="96"/>
      <c r="I311" s="96"/>
      <c r="J311" s="98"/>
      <c r="K311" s="99"/>
      <c r="L311" s="96"/>
      <c r="M311" s="42"/>
      <c r="N311" s="42"/>
      <c r="O311" s="42"/>
      <c r="P311" s="83"/>
      <c r="Q311" s="83"/>
      <c r="R311" s="42"/>
      <c r="S311" s="42"/>
      <c r="T311" s="43" t="str">
        <f>IFERROR(__xludf.DUMMYFUNCTION("IFERROR(VLOOKUP(C311,IMPORTRANGE(""https://docs.google.com/spreadsheets/d/1RmEXtNg60OGvqZjyMxiYNPJ6S_kcz01v57qrHugDWVc/edit#gid=0"",""Chegadas!E:AQ""),19,0),"""")"),"")</f>
        <v/>
      </c>
      <c r="U311" s="100"/>
      <c r="V311" s="98"/>
      <c r="W311" s="98"/>
    </row>
    <row r="312" hidden="1">
      <c r="A312" s="95"/>
      <c r="B312" s="95"/>
      <c r="C312" s="54"/>
      <c r="D312" s="83"/>
      <c r="E312" s="96"/>
      <c r="F312" s="42"/>
      <c r="G312" s="97"/>
      <c r="H312" s="96"/>
      <c r="I312" s="96"/>
      <c r="J312" s="98"/>
      <c r="K312" s="99"/>
      <c r="L312" s="96"/>
      <c r="M312" s="42"/>
      <c r="N312" s="42"/>
      <c r="O312" s="42"/>
      <c r="P312" s="83"/>
      <c r="Q312" s="83"/>
      <c r="R312" s="42"/>
      <c r="S312" s="42"/>
      <c r="T312" s="43" t="str">
        <f>IFERROR(__xludf.DUMMYFUNCTION("IFERROR(VLOOKUP(C312,IMPORTRANGE(""https://docs.google.com/spreadsheets/d/1RmEXtNg60OGvqZjyMxiYNPJ6S_kcz01v57qrHugDWVc/edit#gid=0"",""Chegadas!E:AQ""),19,0),"""")"),"")</f>
        <v/>
      </c>
      <c r="U312" s="100"/>
      <c r="V312" s="98"/>
      <c r="W312" s="98"/>
    </row>
    <row r="313" hidden="1">
      <c r="A313" s="95"/>
      <c r="B313" s="95"/>
      <c r="C313" s="54"/>
      <c r="D313" s="83"/>
      <c r="E313" s="96"/>
      <c r="F313" s="42"/>
      <c r="G313" s="97"/>
      <c r="H313" s="96"/>
      <c r="I313" s="96"/>
      <c r="J313" s="98"/>
      <c r="K313" s="99"/>
      <c r="L313" s="96"/>
      <c r="M313" s="42"/>
      <c r="N313" s="42"/>
      <c r="O313" s="42"/>
      <c r="P313" s="83"/>
      <c r="Q313" s="83"/>
      <c r="R313" s="42"/>
      <c r="S313" s="42"/>
      <c r="T313" s="43" t="str">
        <f>IFERROR(__xludf.DUMMYFUNCTION("IFERROR(VLOOKUP(C313,IMPORTRANGE(""https://docs.google.com/spreadsheets/d/1RmEXtNg60OGvqZjyMxiYNPJ6S_kcz01v57qrHugDWVc/edit#gid=0"",""Chegadas!E:AQ""),19,0),"""")"),"")</f>
        <v/>
      </c>
      <c r="U313" s="100"/>
      <c r="V313" s="98"/>
      <c r="W313" s="98"/>
    </row>
    <row r="314" hidden="1">
      <c r="A314" s="95"/>
      <c r="B314" s="95"/>
      <c r="C314" s="54"/>
      <c r="D314" s="83"/>
      <c r="E314" s="96"/>
      <c r="F314" s="42"/>
      <c r="G314" s="97"/>
      <c r="H314" s="96"/>
      <c r="I314" s="96"/>
      <c r="J314" s="98"/>
      <c r="K314" s="99"/>
      <c r="L314" s="96"/>
      <c r="M314" s="42"/>
      <c r="N314" s="42"/>
      <c r="O314" s="42"/>
      <c r="P314" s="83"/>
      <c r="Q314" s="83"/>
      <c r="R314" s="42"/>
      <c r="S314" s="42"/>
      <c r="T314" s="43" t="str">
        <f>IFERROR(__xludf.DUMMYFUNCTION("IFERROR(VLOOKUP(C314,IMPORTRANGE(""https://docs.google.com/spreadsheets/d/1RmEXtNg60OGvqZjyMxiYNPJ6S_kcz01v57qrHugDWVc/edit#gid=0"",""Chegadas!E:AQ""),19,0),"""")"),"")</f>
        <v/>
      </c>
      <c r="U314" s="100"/>
      <c r="V314" s="98"/>
      <c r="W314" s="98"/>
    </row>
    <row r="315" hidden="1">
      <c r="A315" s="95"/>
      <c r="B315" s="95"/>
      <c r="C315" s="54"/>
      <c r="D315" s="83"/>
      <c r="E315" s="96"/>
      <c r="F315" s="42"/>
      <c r="G315" s="97"/>
      <c r="H315" s="96"/>
      <c r="I315" s="96"/>
      <c r="J315" s="98"/>
      <c r="K315" s="99"/>
      <c r="L315" s="96"/>
      <c r="M315" s="42"/>
      <c r="N315" s="42"/>
      <c r="O315" s="42"/>
      <c r="P315" s="83"/>
      <c r="Q315" s="83"/>
      <c r="R315" s="42"/>
      <c r="S315" s="42"/>
      <c r="T315" s="43" t="str">
        <f>IFERROR(__xludf.DUMMYFUNCTION("IFERROR(VLOOKUP(C315,IMPORTRANGE(""https://docs.google.com/spreadsheets/d/1RmEXtNg60OGvqZjyMxiYNPJ6S_kcz01v57qrHugDWVc/edit#gid=0"",""Chegadas!E:AQ""),19,0),"""")"),"")</f>
        <v/>
      </c>
      <c r="U315" s="100"/>
      <c r="V315" s="98"/>
      <c r="W315" s="98"/>
    </row>
    <row r="316" hidden="1">
      <c r="A316" s="95"/>
      <c r="B316" s="95"/>
      <c r="C316" s="54"/>
      <c r="D316" s="83"/>
      <c r="E316" s="96"/>
      <c r="F316" s="42"/>
      <c r="G316" s="97"/>
      <c r="H316" s="96"/>
      <c r="I316" s="96"/>
      <c r="J316" s="98"/>
      <c r="K316" s="99"/>
      <c r="L316" s="96"/>
      <c r="M316" s="42"/>
      <c r="N316" s="42"/>
      <c r="O316" s="42"/>
      <c r="P316" s="83"/>
      <c r="Q316" s="83"/>
      <c r="R316" s="42"/>
      <c r="S316" s="42"/>
      <c r="T316" s="43" t="str">
        <f>IFERROR(__xludf.DUMMYFUNCTION("IFERROR(VLOOKUP(C316,IMPORTRANGE(""https://docs.google.com/spreadsheets/d/1RmEXtNg60OGvqZjyMxiYNPJ6S_kcz01v57qrHugDWVc/edit#gid=0"",""Chegadas!E:AQ""),19,0),"""")"),"")</f>
        <v/>
      </c>
      <c r="U316" s="100"/>
      <c r="V316" s="98"/>
      <c r="W316" s="98"/>
    </row>
    <row r="317" hidden="1">
      <c r="A317" s="95"/>
      <c r="B317" s="95"/>
      <c r="C317" s="54"/>
      <c r="D317" s="83"/>
      <c r="E317" s="96"/>
      <c r="F317" s="42"/>
      <c r="G317" s="97"/>
      <c r="H317" s="96"/>
      <c r="I317" s="96"/>
      <c r="J317" s="98"/>
      <c r="K317" s="99"/>
      <c r="L317" s="96"/>
      <c r="M317" s="42"/>
      <c r="N317" s="42"/>
      <c r="O317" s="42"/>
      <c r="P317" s="83"/>
      <c r="Q317" s="83"/>
      <c r="R317" s="42"/>
      <c r="S317" s="42"/>
      <c r="T317" s="43" t="str">
        <f>IFERROR(__xludf.DUMMYFUNCTION("IFERROR(VLOOKUP(C317,IMPORTRANGE(""https://docs.google.com/spreadsheets/d/1RmEXtNg60OGvqZjyMxiYNPJ6S_kcz01v57qrHugDWVc/edit#gid=0"",""Chegadas!E:AQ""),19,0),"""")"),"")</f>
        <v/>
      </c>
      <c r="U317" s="100"/>
      <c r="V317" s="98"/>
      <c r="W317" s="98"/>
    </row>
    <row r="318" hidden="1">
      <c r="A318" s="95"/>
      <c r="B318" s="95"/>
      <c r="C318" s="54"/>
      <c r="D318" s="83"/>
      <c r="E318" s="96"/>
      <c r="F318" s="42"/>
      <c r="G318" s="97"/>
      <c r="H318" s="96"/>
      <c r="I318" s="96"/>
      <c r="J318" s="98"/>
      <c r="K318" s="99"/>
      <c r="L318" s="96"/>
      <c r="M318" s="42"/>
      <c r="N318" s="42"/>
      <c r="O318" s="42"/>
      <c r="P318" s="83"/>
      <c r="Q318" s="83"/>
      <c r="R318" s="42"/>
      <c r="S318" s="42"/>
      <c r="T318" s="43" t="str">
        <f>IFERROR(__xludf.DUMMYFUNCTION("IFERROR(VLOOKUP(C318,IMPORTRANGE(""https://docs.google.com/spreadsheets/d/1RmEXtNg60OGvqZjyMxiYNPJ6S_kcz01v57qrHugDWVc/edit#gid=0"",""Chegadas!E:AQ""),19,0),"""")"),"")</f>
        <v/>
      </c>
      <c r="U318" s="100"/>
      <c r="V318" s="98"/>
      <c r="W318" s="98"/>
    </row>
    <row r="319" hidden="1">
      <c r="A319" s="95"/>
      <c r="B319" s="95"/>
      <c r="C319" s="54"/>
      <c r="D319" s="83"/>
      <c r="E319" s="96"/>
      <c r="F319" s="42"/>
      <c r="G319" s="97"/>
      <c r="H319" s="96"/>
      <c r="I319" s="96"/>
      <c r="J319" s="98"/>
      <c r="K319" s="99"/>
      <c r="L319" s="96"/>
      <c r="M319" s="42"/>
      <c r="N319" s="42"/>
      <c r="O319" s="42"/>
      <c r="P319" s="83"/>
      <c r="Q319" s="83"/>
      <c r="R319" s="42"/>
      <c r="S319" s="42"/>
      <c r="T319" s="43" t="str">
        <f>IFERROR(__xludf.DUMMYFUNCTION("IFERROR(VLOOKUP(C319,IMPORTRANGE(""https://docs.google.com/spreadsheets/d/1RmEXtNg60OGvqZjyMxiYNPJ6S_kcz01v57qrHugDWVc/edit#gid=0"",""Chegadas!E:AQ""),19,0),"""")"),"")</f>
        <v/>
      </c>
      <c r="U319" s="100"/>
      <c r="V319" s="98"/>
      <c r="W319" s="98"/>
    </row>
    <row r="320" hidden="1">
      <c r="A320" s="95"/>
      <c r="B320" s="95"/>
      <c r="C320" s="54"/>
      <c r="D320" s="83"/>
      <c r="E320" s="96"/>
      <c r="F320" s="42"/>
      <c r="G320" s="97"/>
      <c r="H320" s="96"/>
      <c r="I320" s="96"/>
      <c r="J320" s="98"/>
      <c r="K320" s="99"/>
      <c r="L320" s="96"/>
      <c r="M320" s="42"/>
      <c r="N320" s="42"/>
      <c r="O320" s="42"/>
      <c r="P320" s="83"/>
      <c r="Q320" s="83"/>
      <c r="R320" s="42"/>
      <c r="S320" s="42"/>
      <c r="T320" s="43" t="str">
        <f>IFERROR(__xludf.DUMMYFUNCTION("IFERROR(VLOOKUP(C320,IMPORTRANGE(""https://docs.google.com/spreadsheets/d/1RmEXtNg60OGvqZjyMxiYNPJ6S_kcz01v57qrHugDWVc/edit#gid=0"",""Chegadas!E:AQ""),19,0),"""")"),"")</f>
        <v/>
      </c>
      <c r="U320" s="100"/>
      <c r="V320" s="98"/>
      <c r="W320" s="98"/>
    </row>
    <row r="321" hidden="1">
      <c r="A321" s="95"/>
      <c r="B321" s="95"/>
      <c r="C321" s="54"/>
      <c r="D321" s="83"/>
      <c r="E321" s="96"/>
      <c r="F321" s="42"/>
      <c r="G321" s="97"/>
      <c r="H321" s="96"/>
      <c r="I321" s="96"/>
      <c r="J321" s="98"/>
      <c r="K321" s="99"/>
      <c r="L321" s="96"/>
      <c r="M321" s="42"/>
      <c r="N321" s="42"/>
      <c r="O321" s="42"/>
      <c r="P321" s="83"/>
      <c r="Q321" s="83"/>
      <c r="R321" s="42"/>
      <c r="S321" s="42"/>
      <c r="T321" s="43" t="str">
        <f>IFERROR(__xludf.DUMMYFUNCTION("IFERROR(VLOOKUP(C321,IMPORTRANGE(""https://docs.google.com/spreadsheets/d/1RmEXtNg60OGvqZjyMxiYNPJ6S_kcz01v57qrHugDWVc/edit#gid=0"",""Chegadas!E:AQ""),19,0),"""")"),"")</f>
        <v/>
      </c>
      <c r="U321" s="100"/>
      <c r="V321" s="98"/>
      <c r="W321" s="98"/>
    </row>
    <row r="322" hidden="1">
      <c r="A322" s="95"/>
      <c r="B322" s="95"/>
      <c r="C322" s="54"/>
      <c r="D322" s="83"/>
      <c r="E322" s="96"/>
      <c r="F322" s="42"/>
      <c r="G322" s="97"/>
      <c r="H322" s="96"/>
      <c r="I322" s="96"/>
      <c r="J322" s="98"/>
      <c r="K322" s="99"/>
      <c r="L322" s="96"/>
      <c r="M322" s="42"/>
      <c r="N322" s="42"/>
      <c r="O322" s="42"/>
      <c r="P322" s="83"/>
      <c r="Q322" s="83"/>
      <c r="R322" s="42"/>
      <c r="S322" s="42"/>
      <c r="T322" s="43" t="str">
        <f>IFERROR(__xludf.DUMMYFUNCTION("IFERROR(VLOOKUP(C322,IMPORTRANGE(""https://docs.google.com/spreadsheets/d/1RmEXtNg60OGvqZjyMxiYNPJ6S_kcz01v57qrHugDWVc/edit#gid=0"",""Chegadas!E:AQ""),19,0),"""")"),"")</f>
        <v/>
      </c>
      <c r="U322" s="100"/>
      <c r="V322" s="98"/>
      <c r="W322" s="98"/>
    </row>
    <row r="323" hidden="1">
      <c r="A323" s="95"/>
      <c r="B323" s="95"/>
      <c r="C323" s="54"/>
      <c r="D323" s="83"/>
      <c r="E323" s="96"/>
      <c r="F323" s="42"/>
      <c r="G323" s="97"/>
      <c r="H323" s="96"/>
      <c r="I323" s="96"/>
      <c r="J323" s="98"/>
      <c r="K323" s="99"/>
      <c r="L323" s="96"/>
      <c r="M323" s="42"/>
      <c r="N323" s="42"/>
      <c r="O323" s="42"/>
      <c r="P323" s="83"/>
      <c r="Q323" s="83"/>
      <c r="R323" s="42"/>
      <c r="S323" s="42"/>
      <c r="T323" s="43" t="str">
        <f>IFERROR(__xludf.DUMMYFUNCTION("IFERROR(VLOOKUP(C323,IMPORTRANGE(""https://docs.google.com/spreadsheets/d/1RmEXtNg60OGvqZjyMxiYNPJ6S_kcz01v57qrHugDWVc/edit#gid=0"",""Chegadas!E:AQ""),19,0),"""")"),"")</f>
        <v/>
      </c>
      <c r="U323" s="100"/>
      <c r="V323" s="98"/>
      <c r="W323" s="98"/>
    </row>
    <row r="324" hidden="1">
      <c r="A324" s="95"/>
      <c r="B324" s="95"/>
      <c r="C324" s="54"/>
      <c r="D324" s="83"/>
      <c r="E324" s="96"/>
      <c r="F324" s="42"/>
      <c r="G324" s="97"/>
      <c r="H324" s="96"/>
      <c r="I324" s="96"/>
      <c r="J324" s="98"/>
      <c r="K324" s="99"/>
      <c r="L324" s="96"/>
      <c r="M324" s="42"/>
      <c r="N324" s="42"/>
      <c r="O324" s="42"/>
      <c r="P324" s="83"/>
      <c r="Q324" s="83"/>
      <c r="R324" s="42"/>
      <c r="S324" s="42"/>
      <c r="T324" s="43" t="str">
        <f>IFERROR(__xludf.DUMMYFUNCTION("IFERROR(VLOOKUP(C324,IMPORTRANGE(""https://docs.google.com/spreadsheets/d/1RmEXtNg60OGvqZjyMxiYNPJ6S_kcz01v57qrHugDWVc/edit#gid=0"",""Chegadas!E:AQ""),19,0),"""")"),"")</f>
        <v/>
      </c>
      <c r="U324" s="100"/>
      <c r="V324" s="98"/>
      <c r="W324" s="98"/>
    </row>
    <row r="325" hidden="1">
      <c r="A325" s="95"/>
      <c r="B325" s="95"/>
      <c r="C325" s="54"/>
      <c r="D325" s="83"/>
      <c r="E325" s="96"/>
      <c r="F325" s="42"/>
      <c r="G325" s="97"/>
      <c r="H325" s="96"/>
      <c r="I325" s="96"/>
      <c r="J325" s="98"/>
      <c r="K325" s="99"/>
      <c r="L325" s="96"/>
      <c r="M325" s="42"/>
      <c r="N325" s="42"/>
      <c r="O325" s="42"/>
      <c r="P325" s="83"/>
      <c r="Q325" s="83"/>
      <c r="R325" s="42"/>
      <c r="S325" s="42"/>
      <c r="T325" s="43" t="str">
        <f>IFERROR(__xludf.DUMMYFUNCTION("IFERROR(VLOOKUP(C325,IMPORTRANGE(""https://docs.google.com/spreadsheets/d/1RmEXtNg60OGvqZjyMxiYNPJ6S_kcz01v57qrHugDWVc/edit#gid=0"",""Chegadas!E:AQ""),19,0),"""")"),"")</f>
        <v/>
      </c>
      <c r="U325" s="100"/>
      <c r="V325" s="98"/>
      <c r="W325" s="98"/>
    </row>
    <row r="326" hidden="1">
      <c r="A326" s="95"/>
      <c r="B326" s="95"/>
      <c r="C326" s="54"/>
      <c r="D326" s="83"/>
      <c r="E326" s="96"/>
      <c r="F326" s="42"/>
      <c r="G326" s="97"/>
      <c r="H326" s="96"/>
      <c r="I326" s="96"/>
      <c r="J326" s="98"/>
      <c r="K326" s="99"/>
      <c r="L326" s="96"/>
      <c r="M326" s="42"/>
      <c r="N326" s="42"/>
      <c r="O326" s="42"/>
      <c r="P326" s="83"/>
      <c r="Q326" s="83"/>
      <c r="R326" s="42"/>
      <c r="S326" s="42"/>
      <c r="T326" s="43" t="str">
        <f>IFERROR(__xludf.DUMMYFUNCTION("IFERROR(VLOOKUP(C326,IMPORTRANGE(""https://docs.google.com/spreadsheets/d/1RmEXtNg60OGvqZjyMxiYNPJ6S_kcz01v57qrHugDWVc/edit#gid=0"",""Chegadas!E:AQ""),19,0),"""")"),"")</f>
        <v/>
      </c>
      <c r="U326" s="100"/>
      <c r="V326" s="98"/>
      <c r="W326" s="98"/>
    </row>
    <row r="327" hidden="1">
      <c r="A327" s="95"/>
      <c r="B327" s="95"/>
      <c r="C327" s="54"/>
      <c r="D327" s="83"/>
      <c r="E327" s="96"/>
      <c r="F327" s="42"/>
      <c r="G327" s="97"/>
      <c r="H327" s="96"/>
      <c r="I327" s="96"/>
      <c r="J327" s="98"/>
      <c r="K327" s="99"/>
      <c r="L327" s="96"/>
      <c r="M327" s="42"/>
      <c r="N327" s="42"/>
      <c r="O327" s="42"/>
      <c r="P327" s="83"/>
      <c r="Q327" s="83"/>
      <c r="R327" s="42"/>
      <c r="S327" s="42"/>
      <c r="T327" s="43" t="str">
        <f>IFERROR(__xludf.DUMMYFUNCTION("IFERROR(VLOOKUP(C327,IMPORTRANGE(""https://docs.google.com/spreadsheets/d/1RmEXtNg60OGvqZjyMxiYNPJ6S_kcz01v57qrHugDWVc/edit#gid=0"",""Chegadas!E:AQ""),19,0),"""")"),"")</f>
        <v/>
      </c>
      <c r="U327" s="100"/>
      <c r="V327" s="98"/>
      <c r="W327" s="98"/>
    </row>
    <row r="328" hidden="1">
      <c r="A328" s="95"/>
      <c r="B328" s="95"/>
      <c r="C328" s="54"/>
      <c r="D328" s="83"/>
      <c r="E328" s="96"/>
      <c r="F328" s="42"/>
      <c r="G328" s="97"/>
      <c r="H328" s="96"/>
      <c r="I328" s="96"/>
      <c r="J328" s="98"/>
      <c r="K328" s="99"/>
      <c r="L328" s="96"/>
      <c r="M328" s="42"/>
      <c r="N328" s="42"/>
      <c r="O328" s="42"/>
      <c r="P328" s="83"/>
      <c r="Q328" s="83"/>
      <c r="R328" s="42"/>
      <c r="S328" s="42"/>
      <c r="T328" s="43" t="str">
        <f>IFERROR(__xludf.DUMMYFUNCTION("IFERROR(VLOOKUP(C328,IMPORTRANGE(""https://docs.google.com/spreadsheets/d/1RmEXtNg60OGvqZjyMxiYNPJ6S_kcz01v57qrHugDWVc/edit#gid=0"",""Chegadas!E:AQ""),19,0),"""")"),"")</f>
        <v/>
      </c>
      <c r="U328" s="100"/>
      <c r="V328" s="98"/>
      <c r="W328" s="98"/>
    </row>
    <row r="329" hidden="1">
      <c r="A329" s="95"/>
      <c r="B329" s="95"/>
      <c r="C329" s="54"/>
      <c r="D329" s="83"/>
      <c r="E329" s="96"/>
      <c r="F329" s="42"/>
      <c r="G329" s="97"/>
      <c r="H329" s="96"/>
      <c r="I329" s="96"/>
      <c r="J329" s="98"/>
      <c r="K329" s="99"/>
      <c r="L329" s="96"/>
      <c r="M329" s="42"/>
      <c r="N329" s="42"/>
      <c r="O329" s="42"/>
      <c r="P329" s="83"/>
      <c r="Q329" s="83"/>
      <c r="R329" s="42"/>
      <c r="S329" s="42"/>
      <c r="T329" s="43" t="str">
        <f>IFERROR(__xludf.DUMMYFUNCTION("IFERROR(VLOOKUP(C329,IMPORTRANGE(""https://docs.google.com/spreadsheets/d/1RmEXtNg60OGvqZjyMxiYNPJ6S_kcz01v57qrHugDWVc/edit#gid=0"",""Chegadas!E:AQ""),19,0),"""")"),"")</f>
        <v/>
      </c>
      <c r="U329" s="100"/>
      <c r="V329" s="98"/>
      <c r="W329" s="98"/>
    </row>
    <row r="330" hidden="1">
      <c r="A330" s="95"/>
      <c r="B330" s="95"/>
      <c r="C330" s="54"/>
      <c r="D330" s="83"/>
      <c r="E330" s="96"/>
      <c r="F330" s="42"/>
      <c r="G330" s="97"/>
      <c r="H330" s="96"/>
      <c r="I330" s="96"/>
      <c r="J330" s="98"/>
      <c r="K330" s="99"/>
      <c r="L330" s="96"/>
      <c r="M330" s="42"/>
      <c r="N330" s="42"/>
      <c r="O330" s="42"/>
      <c r="P330" s="83"/>
      <c r="Q330" s="83"/>
      <c r="R330" s="42"/>
      <c r="S330" s="42"/>
      <c r="T330" s="43" t="str">
        <f>IFERROR(__xludf.DUMMYFUNCTION("IFERROR(VLOOKUP(C330,IMPORTRANGE(""https://docs.google.com/spreadsheets/d/1RmEXtNg60OGvqZjyMxiYNPJ6S_kcz01v57qrHugDWVc/edit#gid=0"",""Chegadas!E:AQ""),19,0),"""")"),"")</f>
        <v/>
      </c>
      <c r="U330" s="100"/>
      <c r="V330" s="98"/>
      <c r="W330" s="98"/>
    </row>
    <row r="331" hidden="1">
      <c r="A331" s="95"/>
      <c r="B331" s="95"/>
      <c r="C331" s="54"/>
      <c r="D331" s="83"/>
      <c r="E331" s="96"/>
      <c r="F331" s="42"/>
      <c r="G331" s="97"/>
      <c r="H331" s="96"/>
      <c r="I331" s="96"/>
      <c r="J331" s="98"/>
      <c r="K331" s="99"/>
      <c r="L331" s="96"/>
      <c r="M331" s="42"/>
      <c r="N331" s="42"/>
      <c r="O331" s="42"/>
      <c r="P331" s="83"/>
      <c r="Q331" s="83"/>
      <c r="R331" s="42"/>
      <c r="S331" s="42"/>
      <c r="T331" s="43" t="str">
        <f>IFERROR(__xludf.DUMMYFUNCTION("IFERROR(VLOOKUP(C331,IMPORTRANGE(""https://docs.google.com/spreadsheets/d/1RmEXtNg60OGvqZjyMxiYNPJ6S_kcz01v57qrHugDWVc/edit#gid=0"",""Chegadas!E:AQ""),19,0),"""")"),"")</f>
        <v/>
      </c>
      <c r="U331" s="100"/>
      <c r="V331" s="98"/>
      <c r="W331" s="98"/>
    </row>
    <row r="332" hidden="1">
      <c r="A332" s="95"/>
      <c r="B332" s="95"/>
      <c r="C332" s="54"/>
      <c r="D332" s="83"/>
      <c r="E332" s="96"/>
      <c r="F332" s="42"/>
      <c r="G332" s="97"/>
      <c r="H332" s="96"/>
      <c r="I332" s="96"/>
      <c r="J332" s="98"/>
      <c r="K332" s="99"/>
      <c r="L332" s="96"/>
      <c r="M332" s="42"/>
      <c r="N332" s="42"/>
      <c r="O332" s="42"/>
      <c r="P332" s="83"/>
      <c r="Q332" s="83"/>
      <c r="R332" s="42"/>
      <c r="S332" s="42"/>
      <c r="T332" s="43" t="str">
        <f>IFERROR(__xludf.DUMMYFUNCTION("IFERROR(VLOOKUP(C332,IMPORTRANGE(""https://docs.google.com/spreadsheets/d/1RmEXtNg60OGvqZjyMxiYNPJ6S_kcz01v57qrHugDWVc/edit#gid=0"",""Chegadas!E:AQ""),19,0),"""")"),"")</f>
        <v/>
      </c>
      <c r="U332" s="100"/>
      <c r="V332" s="98"/>
      <c r="W332" s="98"/>
    </row>
    <row r="333" hidden="1">
      <c r="A333" s="95"/>
      <c r="B333" s="95"/>
      <c r="C333" s="54"/>
      <c r="D333" s="83"/>
      <c r="E333" s="96"/>
      <c r="F333" s="42"/>
      <c r="G333" s="97"/>
      <c r="H333" s="96"/>
      <c r="I333" s="96"/>
      <c r="J333" s="98"/>
      <c r="K333" s="99"/>
      <c r="L333" s="96"/>
      <c r="M333" s="42"/>
      <c r="N333" s="42"/>
      <c r="O333" s="42"/>
      <c r="P333" s="83"/>
      <c r="Q333" s="83"/>
      <c r="R333" s="42"/>
      <c r="S333" s="42"/>
      <c r="T333" s="43" t="str">
        <f>IFERROR(__xludf.DUMMYFUNCTION("IFERROR(VLOOKUP(C333,IMPORTRANGE(""https://docs.google.com/spreadsheets/d/1RmEXtNg60OGvqZjyMxiYNPJ6S_kcz01v57qrHugDWVc/edit#gid=0"",""Chegadas!E:AQ""),19,0),"""")"),"")</f>
        <v/>
      </c>
      <c r="U333" s="100"/>
      <c r="V333" s="98"/>
      <c r="W333" s="98"/>
    </row>
    <row r="334" hidden="1">
      <c r="A334" s="95"/>
      <c r="B334" s="95"/>
      <c r="C334" s="54"/>
      <c r="D334" s="83"/>
      <c r="E334" s="96"/>
      <c r="F334" s="42"/>
      <c r="G334" s="97"/>
      <c r="H334" s="96"/>
      <c r="I334" s="96"/>
      <c r="J334" s="98"/>
      <c r="K334" s="99"/>
      <c r="L334" s="96"/>
      <c r="M334" s="42"/>
      <c r="N334" s="42"/>
      <c r="O334" s="42"/>
      <c r="P334" s="83"/>
      <c r="Q334" s="83"/>
      <c r="R334" s="42"/>
      <c r="S334" s="42"/>
      <c r="T334" s="43" t="str">
        <f>IFERROR(__xludf.DUMMYFUNCTION("IFERROR(VLOOKUP(C334,IMPORTRANGE(""https://docs.google.com/spreadsheets/d/1RmEXtNg60OGvqZjyMxiYNPJ6S_kcz01v57qrHugDWVc/edit#gid=0"",""Chegadas!E:AQ""),19,0),"""")"),"")</f>
        <v/>
      </c>
      <c r="U334" s="100"/>
      <c r="V334" s="98"/>
      <c r="W334" s="98"/>
    </row>
    <row r="335" hidden="1">
      <c r="A335" s="95"/>
      <c r="B335" s="95"/>
      <c r="C335" s="54"/>
      <c r="D335" s="83"/>
      <c r="E335" s="96"/>
      <c r="F335" s="42"/>
      <c r="G335" s="97"/>
      <c r="H335" s="96"/>
      <c r="I335" s="96"/>
      <c r="J335" s="98"/>
      <c r="K335" s="99"/>
      <c r="L335" s="96"/>
      <c r="M335" s="42"/>
      <c r="N335" s="42"/>
      <c r="O335" s="42"/>
      <c r="P335" s="83"/>
      <c r="Q335" s="83"/>
      <c r="R335" s="42"/>
      <c r="S335" s="42"/>
      <c r="T335" s="43" t="str">
        <f>IFERROR(__xludf.DUMMYFUNCTION("IFERROR(VLOOKUP(C335,IMPORTRANGE(""https://docs.google.com/spreadsheets/d/1RmEXtNg60OGvqZjyMxiYNPJ6S_kcz01v57qrHugDWVc/edit#gid=0"",""Chegadas!E:AQ""),19,0),"""")"),"")</f>
        <v/>
      </c>
      <c r="U335" s="100"/>
      <c r="V335" s="98"/>
      <c r="W335" s="98"/>
    </row>
    <row r="336" hidden="1">
      <c r="A336" s="95"/>
      <c r="B336" s="95"/>
      <c r="C336" s="54"/>
      <c r="D336" s="83"/>
      <c r="E336" s="96"/>
      <c r="F336" s="42"/>
      <c r="G336" s="97"/>
      <c r="H336" s="96"/>
      <c r="I336" s="96"/>
      <c r="J336" s="98"/>
      <c r="K336" s="99"/>
      <c r="L336" s="96"/>
      <c r="M336" s="42"/>
      <c r="N336" s="42"/>
      <c r="O336" s="42"/>
      <c r="P336" s="83"/>
      <c r="Q336" s="83"/>
      <c r="R336" s="42"/>
      <c r="S336" s="42"/>
      <c r="T336" s="43" t="str">
        <f>IFERROR(__xludf.DUMMYFUNCTION("IFERROR(VLOOKUP(C336,IMPORTRANGE(""https://docs.google.com/spreadsheets/d/1RmEXtNg60OGvqZjyMxiYNPJ6S_kcz01v57qrHugDWVc/edit#gid=0"",""Chegadas!E:AQ""),19,0),"""")"),"")</f>
        <v/>
      </c>
      <c r="U336" s="100"/>
      <c r="V336" s="98"/>
      <c r="W336" s="98"/>
    </row>
    <row r="337" hidden="1">
      <c r="A337" s="95"/>
      <c r="B337" s="95"/>
      <c r="C337" s="54"/>
      <c r="D337" s="83"/>
      <c r="E337" s="96"/>
      <c r="F337" s="42"/>
      <c r="G337" s="97"/>
      <c r="H337" s="96"/>
      <c r="I337" s="96"/>
      <c r="J337" s="98"/>
      <c r="K337" s="99"/>
      <c r="L337" s="96"/>
      <c r="M337" s="42"/>
      <c r="N337" s="42"/>
      <c r="O337" s="42"/>
      <c r="P337" s="83"/>
      <c r="Q337" s="83"/>
      <c r="R337" s="42"/>
      <c r="S337" s="42"/>
      <c r="T337" s="43" t="str">
        <f>IFERROR(__xludf.DUMMYFUNCTION("IFERROR(VLOOKUP(C337,IMPORTRANGE(""https://docs.google.com/spreadsheets/d/1RmEXtNg60OGvqZjyMxiYNPJ6S_kcz01v57qrHugDWVc/edit#gid=0"",""Chegadas!E:AQ""),19,0),"""")"),"")</f>
        <v/>
      </c>
      <c r="U337" s="100"/>
      <c r="V337" s="98"/>
      <c r="W337" s="98"/>
    </row>
    <row r="338" hidden="1">
      <c r="A338" s="95"/>
      <c r="B338" s="95"/>
      <c r="C338" s="54"/>
      <c r="D338" s="83"/>
      <c r="E338" s="96"/>
      <c r="F338" s="42"/>
      <c r="G338" s="97"/>
      <c r="H338" s="96"/>
      <c r="I338" s="96"/>
      <c r="J338" s="98"/>
      <c r="K338" s="99"/>
      <c r="L338" s="96"/>
      <c r="M338" s="42"/>
      <c r="N338" s="42"/>
      <c r="O338" s="42"/>
      <c r="P338" s="83"/>
      <c r="Q338" s="83"/>
      <c r="R338" s="42"/>
      <c r="S338" s="42"/>
      <c r="T338" s="43" t="str">
        <f>IFERROR(__xludf.DUMMYFUNCTION("IFERROR(VLOOKUP(C338,IMPORTRANGE(""https://docs.google.com/spreadsheets/d/1RmEXtNg60OGvqZjyMxiYNPJ6S_kcz01v57qrHugDWVc/edit#gid=0"",""Chegadas!E:AQ""),19,0),"""")"),"")</f>
        <v/>
      </c>
      <c r="U338" s="100"/>
      <c r="V338" s="98"/>
      <c r="W338" s="98"/>
    </row>
    <row r="339" hidden="1">
      <c r="A339" s="95"/>
      <c r="B339" s="95"/>
      <c r="C339" s="54"/>
      <c r="D339" s="83"/>
      <c r="E339" s="96"/>
      <c r="F339" s="42"/>
      <c r="G339" s="97"/>
      <c r="H339" s="96"/>
      <c r="I339" s="96"/>
      <c r="J339" s="98"/>
      <c r="K339" s="99"/>
      <c r="L339" s="96"/>
      <c r="M339" s="42"/>
      <c r="N339" s="42"/>
      <c r="O339" s="42"/>
      <c r="P339" s="83"/>
      <c r="Q339" s="83"/>
      <c r="R339" s="42"/>
      <c r="S339" s="42"/>
      <c r="T339" s="43" t="str">
        <f>IFERROR(__xludf.DUMMYFUNCTION("IFERROR(VLOOKUP(C339,IMPORTRANGE(""https://docs.google.com/spreadsheets/d/1RmEXtNg60OGvqZjyMxiYNPJ6S_kcz01v57qrHugDWVc/edit#gid=0"",""Chegadas!E:AQ""),19,0),"""")"),"")</f>
        <v/>
      </c>
      <c r="U339" s="100"/>
      <c r="V339" s="98"/>
      <c r="W339" s="98"/>
    </row>
    <row r="340" hidden="1">
      <c r="A340" s="95"/>
      <c r="B340" s="95"/>
      <c r="C340" s="54"/>
      <c r="D340" s="83"/>
      <c r="E340" s="96"/>
      <c r="F340" s="42"/>
      <c r="G340" s="97"/>
      <c r="H340" s="96"/>
      <c r="I340" s="96"/>
      <c r="J340" s="98"/>
      <c r="K340" s="99"/>
      <c r="L340" s="96"/>
      <c r="M340" s="42"/>
      <c r="N340" s="42"/>
      <c r="O340" s="42"/>
      <c r="P340" s="83"/>
      <c r="Q340" s="83"/>
      <c r="R340" s="42"/>
      <c r="S340" s="42"/>
      <c r="T340" s="43" t="str">
        <f>IFERROR(__xludf.DUMMYFUNCTION("IFERROR(VLOOKUP(C340,IMPORTRANGE(""https://docs.google.com/spreadsheets/d/1RmEXtNg60OGvqZjyMxiYNPJ6S_kcz01v57qrHugDWVc/edit#gid=0"",""Chegadas!E:AQ""),19,0),"""")"),"")</f>
        <v/>
      </c>
      <c r="U340" s="100"/>
      <c r="V340" s="98"/>
      <c r="W340" s="98"/>
    </row>
    <row r="341" hidden="1">
      <c r="A341" s="95"/>
      <c r="B341" s="95"/>
      <c r="C341" s="54"/>
      <c r="D341" s="83"/>
      <c r="E341" s="96"/>
      <c r="F341" s="42"/>
      <c r="G341" s="97"/>
      <c r="H341" s="96"/>
      <c r="I341" s="96"/>
      <c r="J341" s="98"/>
      <c r="K341" s="99"/>
      <c r="L341" s="96"/>
      <c r="M341" s="42"/>
      <c r="N341" s="42"/>
      <c r="O341" s="42"/>
      <c r="P341" s="83"/>
      <c r="Q341" s="83"/>
      <c r="R341" s="42"/>
      <c r="S341" s="42"/>
      <c r="T341" s="43" t="str">
        <f>IFERROR(__xludf.DUMMYFUNCTION("IFERROR(VLOOKUP(C341,IMPORTRANGE(""https://docs.google.com/spreadsheets/d/1RmEXtNg60OGvqZjyMxiYNPJ6S_kcz01v57qrHugDWVc/edit#gid=0"",""Chegadas!E:AQ""),19,0),"""")"),"")</f>
        <v/>
      </c>
      <c r="U341" s="100"/>
      <c r="V341" s="98"/>
      <c r="W341" s="98"/>
    </row>
    <row r="342" hidden="1">
      <c r="A342" s="95"/>
      <c r="B342" s="95"/>
      <c r="C342" s="54"/>
      <c r="D342" s="83"/>
      <c r="E342" s="96"/>
      <c r="F342" s="42"/>
      <c r="G342" s="97"/>
      <c r="H342" s="96"/>
      <c r="I342" s="96"/>
      <c r="J342" s="98"/>
      <c r="K342" s="99"/>
      <c r="L342" s="96"/>
      <c r="M342" s="42"/>
      <c r="N342" s="42"/>
      <c r="O342" s="42"/>
      <c r="P342" s="83"/>
      <c r="Q342" s="83"/>
      <c r="R342" s="42"/>
      <c r="S342" s="42"/>
      <c r="T342" s="43" t="str">
        <f>IFERROR(__xludf.DUMMYFUNCTION("IFERROR(VLOOKUP(C342,IMPORTRANGE(""https://docs.google.com/spreadsheets/d/1RmEXtNg60OGvqZjyMxiYNPJ6S_kcz01v57qrHugDWVc/edit#gid=0"",""Chegadas!E:AQ""),19,0),"""")"),"")</f>
        <v/>
      </c>
      <c r="U342" s="100"/>
      <c r="V342" s="98"/>
      <c r="W342" s="98"/>
    </row>
    <row r="343" hidden="1">
      <c r="A343" s="95"/>
      <c r="B343" s="95"/>
      <c r="C343" s="54"/>
      <c r="D343" s="83"/>
      <c r="E343" s="96"/>
      <c r="F343" s="42"/>
      <c r="G343" s="97"/>
      <c r="H343" s="96"/>
      <c r="I343" s="96"/>
      <c r="J343" s="98"/>
      <c r="K343" s="99"/>
      <c r="L343" s="96"/>
      <c r="M343" s="42"/>
      <c r="N343" s="42"/>
      <c r="O343" s="42"/>
      <c r="P343" s="83"/>
      <c r="Q343" s="83"/>
      <c r="R343" s="42"/>
      <c r="S343" s="42"/>
      <c r="T343" s="43" t="str">
        <f>IFERROR(__xludf.DUMMYFUNCTION("IFERROR(VLOOKUP(C343,IMPORTRANGE(""https://docs.google.com/spreadsheets/d/1RmEXtNg60OGvqZjyMxiYNPJ6S_kcz01v57qrHugDWVc/edit#gid=0"",""Chegadas!E:AQ""),19,0),"""")"),"")</f>
        <v/>
      </c>
      <c r="U343" s="100"/>
      <c r="V343" s="98"/>
      <c r="W343" s="98"/>
    </row>
    <row r="344" hidden="1">
      <c r="A344" s="95"/>
      <c r="B344" s="95"/>
      <c r="C344" s="54"/>
      <c r="D344" s="83"/>
      <c r="E344" s="96"/>
      <c r="F344" s="42"/>
      <c r="G344" s="97"/>
      <c r="H344" s="96"/>
      <c r="I344" s="96"/>
      <c r="J344" s="98"/>
      <c r="K344" s="99"/>
      <c r="L344" s="96"/>
      <c r="M344" s="42"/>
      <c r="N344" s="42"/>
      <c r="O344" s="42"/>
      <c r="P344" s="83"/>
      <c r="Q344" s="83"/>
      <c r="R344" s="42"/>
      <c r="S344" s="42"/>
      <c r="T344" s="43" t="str">
        <f>IFERROR(__xludf.DUMMYFUNCTION("IFERROR(VLOOKUP(C344,IMPORTRANGE(""https://docs.google.com/spreadsheets/d/1RmEXtNg60OGvqZjyMxiYNPJ6S_kcz01v57qrHugDWVc/edit#gid=0"",""Chegadas!E:AQ""),19,0),"""")"),"")</f>
        <v/>
      </c>
      <c r="U344" s="100"/>
      <c r="V344" s="98"/>
      <c r="W344" s="98"/>
    </row>
    <row r="345" hidden="1">
      <c r="A345" s="95"/>
      <c r="B345" s="95"/>
      <c r="C345" s="54"/>
      <c r="D345" s="83"/>
      <c r="E345" s="96"/>
      <c r="F345" s="42"/>
      <c r="G345" s="97"/>
      <c r="H345" s="96"/>
      <c r="I345" s="96"/>
      <c r="J345" s="98"/>
      <c r="K345" s="99"/>
      <c r="L345" s="96"/>
      <c r="M345" s="42"/>
      <c r="N345" s="42"/>
      <c r="O345" s="42"/>
      <c r="P345" s="83"/>
      <c r="Q345" s="83"/>
      <c r="R345" s="42"/>
      <c r="S345" s="42"/>
      <c r="T345" s="43" t="str">
        <f>IFERROR(__xludf.DUMMYFUNCTION("IFERROR(VLOOKUP(C345,IMPORTRANGE(""https://docs.google.com/spreadsheets/d/1RmEXtNg60OGvqZjyMxiYNPJ6S_kcz01v57qrHugDWVc/edit#gid=0"",""Chegadas!E:AQ""),19,0),"""")"),"")</f>
        <v/>
      </c>
      <c r="U345" s="100"/>
      <c r="V345" s="98"/>
      <c r="W345" s="98"/>
    </row>
    <row r="346" hidden="1">
      <c r="A346" s="95"/>
      <c r="B346" s="95"/>
      <c r="C346" s="54"/>
      <c r="D346" s="83"/>
      <c r="E346" s="96"/>
      <c r="F346" s="42"/>
      <c r="G346" s="97"/>
      <c r="H346" s="96"/>
      <c r="I346" s="96"/>
      <c r="J346" s="98"/>
      <c r="K346" s="99"/>
      <c r="L346" s="96"/>
      <c r="M346" s="42"/>
      <c r="N346" s="42"/>
      <c r="O346" s="42"/>
      <c r="P346" s="83"/>
      <c r="Q346" s="83"/>
      <c r="R346" s="42"/>
      <c r="S346" s="42"/>
      <c r="T346" s="43" t="str">
        <f>IFERROR(__xludf.DUMMYFUNCTION("IFERROR(VLOOKUP(C346,IMPORTRANGE(""https://docs.google.com/spreadsheets/d/1RmEXtNg60OGvqZjyMxiYNPJ6S_kcz01v57qrHugDWVc/edit#gid=0"",""Chegadas!E:AQ""),19,0),"""")"),"")</f>
        <v/>
      </c>
      <c r="U346" s="100"/>
      <c r="V346" s="98"/>
      <c r="W346" s="98"/>
    </row>
    <row r="347" hidden="1">
      <c r="A347" s="95"/>
      <c r="B347" s="95"/>
      <c r="C347" s="54"/>
      <c r="D347" s="83"/>
      <c r="E347" s="96"/>
      <c r="F347" s="42"/>
      <c r="G347" s="97"/>
      <c r="H347" s="96"/>
      <c r="I347" s="96"/>
      <c r="J347" s="98"/>
      <c r="K347" s="99"/>
      <c r="L347" s="96"/>
      <c r="M347" s="42"/>
      <c r="N347" s="42"/>
      <c r="O347" s="42"/>
      <c r="P347" s="83"/>
      <c r="Q347" s="83"/>
      <c r="R347" s="42"/>
      <c r="S347" s="42"/>
      <c r="T347" s="43" t="str">
        <f>IFERROR(__xludf.DUMMYFUNCTION("IFERROR(VLOOKUP(C347,IMPORTRANGE(""https://docs.google.com/spreadsheets/d/1RmEXtNg60OGvqZjyMxiYNPJ6S_kcz01v57qrHugDWVc/edit#gid=0"",""Chegadas!E:AQ""),19,0),"""")"),"")</f>
        <v/>
      </c>
      <c r="U347" s="100"/>
      <c r="V347" s="98"/>
      <c r="W347" s="98"/>
    </row>
    <row r="348" hidden="1">
      <c r="A348" s="95"/>
      <c r="B348" s="95"/>
      <c r="C348" s="54"/>
      <c r="D348" s="83"/>
      <c r="E348" s="96"/>
      <c r="F348" s="42"/>
      <c r="G348" s="97"/>
      <c r="H348" s="96"/>
      <c r="I348" s="96"/>
      <c r="J348" s="98"/>
      <c r="K348" s="99"/>
      <c r="L348" s="96"/>
      <c r="M348" s="42"/>
      <c r="N348" s="42"/>
      <c r="O348" s="42"/>
      <c r="P348" s="83"/>
      <c r="Q348" s="83"/>
      <c r="R348" s="42"/>
      <c r="S348" s="42"/>
      <c r="T348" s="43" t="str">
        <f>IFERROR(__xludf.DUMMYFUNCTION("IFERROR(VLOOKUP(C348,IMPORTRANGE(""https://docs.google.com/spreadsheets/d/1RmEXtNg60OGvqZjyMxiYNPJ6S_kcz01v57qrHugDWVc/edit#gid=0"",""Chegadas!E:AQ""),19,0),"""")"),"")</f>
        <v/>
      </c>
      <c r="U348" s="100"/>
      <c r="V348" s="98"/>
      <c r="W348" s="98"/>
    </row>
    <row r="349" hidden="1">
      <c r="A349" s="95"/>
      <c r="B349" s="95"/>
      <c r="C349" s="54"/>
      <c r="D349" s="83"/>
      <c r="E349" s="96"/>
      <c r="F349" s="42"/>
      <c r="G349" s="97"/>
      <c r="H349" s="96"/>
      <c r="I349" s="96"/>
      <c r="J349" s="98"/>
      <c r="K349" s="99"/>
      <c r="L349" s="96"/>
      <c r="M349" s="42"/>
      <c r="N349" s="42"/>
      <c r="O349" s="42"/>
      <c r="P349" s="83"/>
      <c r="Q349" s="83"/>
      <c r="R349" s="42"/>
      <c r="S349" s="42"/>
      <c r="T349" s="43" t="str">
        <f>IFERROR(__xludf.DUMMYFUNCTION("IFERROR(VLOOKUP(C349,IMPORTRANGE(""https://docs.google.com/spreadsheets/d/1RmEXtNg60OGvqZjyMxiYNPJ6S_kcz01v57qrHugDWVc/edit#gid=0"",""Chegadas!E:AQ""),19,0),"""")"),"")</f>
        <v/>
      </c>
      <c r="U349" s="100"/>
      <c r="V349" s="98"/>
      <c r="W349" s="98"/>
    </row>
    <row r="350" hidden="1">
      <c r="A350" s="95"/>
      <c r="B350" s="95"/>
      <c r="C350" s="54"/>
      <c r="D350" s="83"/>
      <c r="E350" s="96"/>
      <c r="F350" s="42"/>
      <c r="G350" s="97"/>
      <c r="H350" s="96"/>
      <c r="I350" s="96"/>
      <c r="J350" s="98"/>
      <c r="K350" s="99"/>
      <c r="L350" s="96"/>
      <c r="M350" s="42"/>
      <c r="N350" s="42"/>
      <c r="O350" s="42"/>
      <c r="P350" s="83"/>
      <c r="Q350" s="83"/>
      <c r="R350" s="42"/>
      <c r="S350" s="42"/>
      <c r="T350" s="43" t="str">
        <f>IFERROR(__xludf.DUMMYFUNCTION("IFERROR(VLOOKUP(C350,IMPORTRANGE(""https://docs.google.com/spreadsheets/d/1RmEXtNg60OGvqZjyMxiYNPJ6S_kcz01v57qrHugDWVc/edit#gid=0"",""Chegadas!E:AQ""),19,0),"""")"),"")</f>
        <v/>
      </c>
      <c r="U350" s="100"/>
      <c r="V350" s="98"/>
      <c r="W350" s="98"/>
    </row>
    <row r="351" hidden="1">
      <c r="A351" s="95"/>
      <c r="B351" s="95"/>
      <c r="C351" s="54"/>
      <c r="D351" s="83"/>
      <c r="E351" s="96"/>
      <c r="F351" s="42"/>
      <c r="G351" s="97"/>
      <c r="H351" s="96"/>
      <c r="I351" s="96"/>
      <c r="J351" s="98"/>
      <c r="K351" s="99"/>
      <c r="L351" s="96"/>
      <c r="M351" s="42"/>
      <c r="N351" s="42"/>
      <c r="O351" s="42"/>
      <c r="P351" s="83"/>
      <c r="Q351" s="83"/>
      <c r="R351" s="42"/>
      <c r="S351" s="42"/>
      <c r="T351" s="43" t="str">
        <f>IFERROR(__xludf.DUMMYFUNCTION("IFERROR(VLOOKUP(C351,IMPORTRANGE(""https://docs.google.com/spreadsheets/d/1RmEXtNg60OGvqZjyMxiYNPJ6S_kcz01v57qrHugDWVc/edit#gid=0"",""Chegadas!E:AQ""),19,0),"""")"),"")</f>
        <v/>
      </c>
      <c r="U351" s="100"/>
      <c r="V351" s="98"/>
      <c r="W351" s="98"/>
    </row>
    <row r="352" hidden="1">
      <c r="A352" s="95"/>
      <c r="B352" s="95"/>
      <c r="C352" s="54"/>
      <c r="D352" s="83"/>
      <c r="E352" s="96"/>
      <c r="F352" s="42"/>
      <c r="G352" s="97"/>
      <c r="H352" s="96"/>
      <c r="I352" s="96"/>
      <c r="J352" s="98"/>
      <c r="K352" s="99"/>
      <c r="L352" s="96"/>
      <c r="M352" s="42"/>
      <c r="N352" s="42"/>
      <c r="O352" s="42"/>
      <c r="P352" s="83"/>
      <c r="Q352" s="83"/>
      <c r="R352" s="42"/>
      <c r="S352" s="42"/>
      <c r="T352" s="43" t="str">
        <f>IFERROR(__xludf.DUMMYFUNCTION("IFERROR(VLOOKUP(C352,IMPORTRANGE(""https://docs.google.com/spreadsheets/d/1RmEXtNg60OGvqZjyMxiYNPJ6S_kcz01v57qrHugDWVc/edit#gid=0"",""Chegadas!E:AQ""),19,0),"""")"),"")</f>
        <v/>
      </c>
      <c r="U352" s="100"/>
      <c r="V352" s="98"/>
      <c r="W352" s="98"/>
    </row>
    <row r="353" hidden="1">
      <c r="A353" s="95"/>
      <c r="B353" s="95"/>
      <c r="C353" s="54"/>
      <c r="D353" s="83"/>
      <c r="E353" s="96"/>
      <c r="F353" s="42"/>
      <c r="G353" s="97"/>
      <c r="H353" s="96"/>
      <c r="I353" s="96"/>
      <c r="J353" s="98"/>
      <c r="K353" s="99"/>
      <c r="L353" s="96"/>
      <c r="M353" s="42"/>
      <c r="N353" s="42"/>
      <c r="O353" s="42"/>
      <c r="P353" s="83"/>
      <c r="Q353" s="83"/>
      <c r="R353" s="42"/>
      <c r="S353" s="42"/>
      <c r="T353" s="43" t="str">
        <f>IFERROR(__xludf.DUMMYFUNCTION("IFERROR(VLOOKUP(C353,IMPORTRANGE(""https://docs.google.com/spreadsheets/d/1RmEXtNg60OGvqZjyMxiYNPJ6S_kcz01v57qrHugDWVc/edit#gid=0"",""Chegadas!E:AQ""),19,0),"""")"),"")</f>
        <v/>
      </c>
      <c r="U353" s="100"/>
      <c r="V353" s="98"/>
      <c r="W353" s="98"/>
    </row>
    <row r="354" hidden="1">
      <c r="A354" s="95"/>
      <c r="B354" s="95"/>
      <c r="C354" s="54"/>
      <c r="D354" s="83"/>
      <c r="E354" s="96"/>
      <c r="F354" s="42"/>
      <c r="G354" s="97"/>
      <c r="H354" s="96"/>
      <c r="I354" s="96"/>
      <c r="J354" s="98"/>
      <c r="K354" s="99"/>
      <c r="L354" s="96"/>
      <c r="M354" s="42"/>
      <c r="N354" s="42"/>
      <c r="O354" s="42"/>
      <c r="P354" s="83"/>
      <c r="Q354" s="83"/>
      <c r="R354" s="42"/>
      <c r="S354" s="42"/>
      <c r="T354" s="43" t="str">
        <f>IFERROR(__xludf.DUMMYFUNCTION("IFERROR(VLOOKUP(C354,IMPORTRANGE(""https://docs.google.com/spreadsheets/d/1RmEXtNg60OGvqZjyMxiYNPJ6S_kcz01v57qrHugDWVc/edit#gid=0"",""Chegadas!E:AQ""),19,0),"""")"),"")</f>
        <v/>
      </c>
      <c r="U354" s="100"/>
      <c r="V354" s="98"/>
      <c r="W354" s="98"/>
    </row>
    <row r="355" hidden="1">
      <c r="A355" s="95"/>
      <c r="B355" s="95"/>
      <c r="C355" s="54"/>
      <c r="D355" s="83"/>
      <c r="E355" s="96"/>
      <c r="F355" s="42"/>
      <c r="G355" s="97"/>
      <c r="H355" s="96"/>
      <c r="I355" s="96"/>
      <c r="J355" s="98"/>
      <c r="K355" s="99"/>
      <c r="L355" s="96"/>
      <c r="M355" s="42"/>
      <c r="N355" s="42"/>
      <c r="O355" s="42"/>
      <c r="P355" s="83"/>
      <c r="Q355" s="83"/>
      <c r="R355" s="42"/>
      <c r="S355" s="42"/>
      <c r="T355" s="43" t="str">
        <f>IFERROR(__xludf.DUMMYFUNCTION("IFERROR(VLOOKUP(C355,IMPORTRANGE(""https://docs.google.com/spreadsheets/d/1RmEXtNg60OGvqZjyMxiYNPJ6S_kcz01v57qrHugDWVc/edit#gid=0"",""Chegadas!E:AQ""),19,0),"""")"),"")</f>
        <v/>
      </c>
      <c r="U355" s="100"/>
      <c r="V355" s="98"/>
      <c r="W355" s="98"/>
    </row>
    <row r="356" hidden="1">
      <c r="A356" s="95"/>
      <c r="B356" s="95"/>
      <c r="C356" s="54"/>
      <c r="D356" s="83"/>
      <c r="E356" s="96"/>
      <c r="F356" s="42"/>
      <c r="G356" s="97"/>
      <c r="H356" s="96"/>
      <c r="I356" s="96"/>
      <c r="J356" s="98"/>
      <c r="K356" s="99"/>
      <c r="L356" s="96"/>
      <c r="M356" s="42"/>
      <c r="N356" s="42"/>
      <c r="O356" s="42"/>
      <c r="P356" s="83"/>
      <c r="Q356" s="83"/>
      <c r="R356" s="42"/>
      <c r="S356" s="42"/>
      <c r="T356" s="43" t="str">
        <f>IFERROR(__xludf.DUMMYFUNCTION("IFERROR(VLOOKUP(C356,IMPORTRANGE(""https://docs.google.com/spreadsheets/d/1RmEXtNg60OGvqZjyMxiYNPJ6S_kcz01v57qrHugDWVc/edit#gid=0"",""Chegadas!E:AQ""),19,0),"""")"),"")</f>
        <v/>
      </c>
      <c r="U356" s="100"/>
      <c r="V356" s="98"/>
      <c r="W356" s="98"/>
    </row>
    <row r="357" hidden="1">
      <c r="A357" s="95"/>
      <c r="B357" s="95"/>
      <c r="C357" s="54"/>
      <c r="D357" s="83"/>
      <c r="E357" s="96"/>
      <c r="F357" s="42"/>
      <c r="G357" s="97"/>
      <c r="H357" s="96"/>
      <c r="I357" s="96"/>
      <c r="J357" s="98"/>
      <c r="K357" s="99"/>
      <c r="L357" s="96"/>
      <c r="M357" s="42"/>
      <c r="N357" s="42"/>
      <c r="O357" s="42"/>
      <c r="P357" s="83"/>
      <c r="Q357" s="83"/>
      <c r="R357" s="42"/>
      <c r="S357" s="42"/>
      <c r="T357" s="43" t="str">
        <f>IFERROR(__xludf.DUMMYFUNCTION("IFERROR(VLOOKUP(C357,IMPORTRANGE(""https://docs.google.com/spreadsheets/d/1RmEXtNg60OGvqZjyMxiYNPJ6S_kcz01v57qrHugDWVc/edit#gid=0"",""Chegadas!E:AQ""),19,0),"""")"),"")</f>
        <v/>
      </c>
      <c r="U357" s="100"/>
      <c r="V357" s="98"/>
      <c r="W357" s="98"/>
    </row>
    <row r="358" hidden="1">
      <c r="A358" s="95"/>
      <c r="B358" s="95"/>
      <c r="C358" s="54"/>
      <c r="D358" s="83"/>
      <c r="E358" s="96"/>
      <c r="F358" s="42"/>
      <c r="G358" s="97"/>
      <c r="H358" s="96"/>
      <c r="I358" s="96"/>
      <c r="J358" s="98"/>
      <c r="K358" s="99"/>
      <c r="L358" s="96"/>
      <c r="M358" s="42"/>
      <c r="N358" s="42"/>
      <c r="O358" s="42"/>
      <c r="P358" s="83"/>
      <c r="Q358" s="83"/>
      <c r="R358" s="42"/>
      <c r="S358" s="42"/>
      <c r="T358" s="43" t="str">
        <f>IFERROR(__xludf.DUMMYFUNCTION("IFERROR(VLOOKUP(C358,IMPORTRANGE(""https://docs.google.com/spreadsheets/d/1RmEXtNg60OGvqZjyMxiYNPJ6S_kcz01v57qrHugDWVc/edit#gid=0"",""Chegadas!E:AQ""),19,0),"""")"),"")</f>
        <v/>
      </c>
      <c r="U358" s="100"/>
      <c r="V358" s="98"/>
      <c r="W358" s="98"/>
    </row>
    <row r="359" hidden="1">
      <c r="A359" s="95"/>
      <c r="B359" s="95"/>
      <c r="C359" s="54"/>
      <c r="D359" s="83"/>
      <c r="E359" s="96"/>
      <c r="F359" s="42"/>
      <c r="G359" s="97"/>
      <c r="H359" s="96"/>
      <c r="I359" s="96"/>
      <c r="J359" s="98"/>
      <c r="K359" s="99"/>
      <c r="L359" s="96"/>
      <c r="M359" s="42"/>
      <c r="N359" s="42"/>
      <c r="O359" s="42"/>
      <c r="P359" s="83"/>
      <c r="Q359" s="83"/>
      <c r="R359" s="42"/>
      <c r="S359" s="42"/>
      <c r="T359" s="43" t="str">
        <f>IFERROR(__xludf.DUMMYFUNCTION("IFERROR(VLOOKUP(C359,IMPORTRANGE(""https://docs.google.com/spreadsheets/d/1RmEXtNg60OGvqZjyMxiYNPJ6S_kcz01v57qrHugDWVc/edit#gid=0"",""Chegadas!E:AQ""),19,0),"""")"),"")</f>
        <v/>
      </c>
      <c r="U359" s="100"/>
      <c r="V359" s="98"/>
      <c r="W359" s="98"/>
    </row>
    <row r="360" hidden="1">
      <c r="A360" s="95"/>
      <c r="B360" s="95"/>
      <c r="C360" s="54"/>
      <c r="D360" s="83"/>
      <c r="E360" s="96"/>
      <c r="F360" s="42"/>
      <c r="G360" s="97"/>
      <c r="H360" s="96"/>
      <c r="I360" s="96"/>
      <c r="J360" s="98"/>
      <c r="K360" s="99"/>
      <c r="L360" s="96"/>
      <c r="M360" s="42"/>
      <c r="N360" s="42"/>
      <c r="O360" s="42"/>
      <c r="P360" s="83"/>
      <c r="Q360" s="83"/>
      <c r="R360" s="42"/>
      <c r="S360" s="42"/>
      <c r="T360" s="43" t="str">
        <f>IFERROR(__xludf.DUMMYFUNCTION("IFERROR(VLOOKUP(C360,IMPORTRANGE(""https://docs.google.com/spreadsheets/d/1RmEXtNg60OGvqZjyMxiYNPJ6S_kcz01v57qrHugDWVc/edit#gid=0"",""Chegadas!E:AQ""),19,0),"""")"),"")</f>
        <v/>
      </c>
      <c r="U360" s="100"/>
      <c r="V360" s="98"/>
      <c r="W360" s="98"/>
    </row>
    <row r="361" hidden="1">
      <c r="A361" s="95"/>
      <c r="B361" s="95"/>
      <c r="C361" s="54"/>
      <c r="D361" s="83"/>
      <c r="E361" s="96"/>
      <c r="F361" s="42"/>
      <c r="G361" s="97"/>
      <c r="H361" s="96"/>
      <c r="I361" s="96"/>
      <c r="J361" s="98"/>
      <c r="K361" s="99"/>
      <c r="L361" s="96"/>
      <c r="M361" s="42"/>
      <c r="N361" s="42"/>
      <c r="O361" s="42"/>
      <c r="P361" s="83"/>
      <c r="Q361" s="83"/>
      <c r="R361" s="42"/>
      <c r="S361" s="42"/>
      <c r="T361" s="43" t="str">
        <f>IFERROR(__xludf.DUMMYFUNCTION("IFERROR(VLOOKUP(C361,IMPORTRANGE(""https://docs.google.com/spreadsheets/d/1RmEXtNg60OGvqZjyMxiYNPJ6S_kcz01v57qrHugDWVc/edit#gid=0"",""Chegadas!E:AQ""),19,0),"""")"),"")</f>
        <v/>
      </c>
      <c r="U361" s="100"/>
      <c r="V361" s="98"/>
      <c r="W361" s="98"/>
    </row>
    <row r="362" hidden="1">
      <c r="A362" s="95"/>
      <c r="B362" s="95"/>
      <c r="C362" s="54"/>
      <c r="D362" s="83"/>
      <c r="E362" s="96"/>
      <c r="F362" s="42"/>
      <c r="G362" s="97"/>
      <c r="H362" s="96"/>
      <c r="I362" s="96"/>
      <c r="J362" s="98"/>
      <c r="K362" s="99"/>
      <c r="L362" s="96"/>
      <c r="M362" s="42"/>
      <c r="N362" s="42"/>
      <c r="O362" s="42"/>
      <c r="P362" s="83"/>
      <c r="Q362" s="83"/>
      <c r="R362" s="42"/>
      <c r="S362" s="42"/>
      <c r="T362" s="43" t="str">
        <f>IFERROR(__xludf.DUMMYFUNCTION("IFERROR(VLOOKUP(C362,IMPORTRANGE(""https://docs.google.com/spreadsheets/d/1RmEXtNg60OGvqZjyMxiYNPJ6S_kcz01v57qrHugDWVc/edit#gid=0"",""Chegadas!E:AQ""),19,0),"""")"),"")</f>
        <v/>
      </c>
      <c r="U362" s="100"/>
      <c r="V362" s="98"/>
      <c r="W362" s="98"/>
    </row>
    <row r="363" hidden="1">
      <c r="A363" s="95"/>
      <c r="B363" s="95"/>
      <c r="C363" s="54"/>
      <c r="D363" s="83"/>
      <c r="E363" s="96"/>
      <c r="F363" s="42"/>
      <c r="G363" s="97"/>
      <c r="H363" s="96"/>
      <c r="I363" s="96"/>
      <c r="J363" s="98"/>
      <c r="K363" s="99"/>
      <c r="L363" s="96"/>
      <c r="M363" s="42"/>
      <c r="N363" s="42"/>
      <c r="O363" s="42"/>
      <c r="P363" s="83"/>
      <c r="Q363" s="83"/>
      <c r="R363" s="42"/>
      <c r="S363" s="42"/>
      <c r="T363" s="43" t="str">
        <f>IFERROR(__xludf.DUMMYFUNCTION("IFERROR(VLOOKUP(C363,IMPORTRANGE(""https://docs.google.com/spreadsheets/d/1RmEXtNg60OGvqZjyMxiYNPJ6S_kcz01v57qrHugDWVc/edit#gid=0"",""Chegadas!E:AQ""),19,0),"""")"),"")</f>
        <v/>
      </c>
      <c r="U363" s="100"/>
      <c r="V363" s="98"/>
      <c r="W363" s="98"/>
    </row>
    <row r="364" hidden="1">
      <c r="A364" s="95"/>
      <c r="B364" s="95"/>
      <c r="C364" s="54"/>
      <c r="D364" s="83"/>
      <c r="E364" s="96"/>
      <c r="F364" s="42"/>
      <c r="G364" s="97"/>
      <c r="H364" s="96"/>
      <c r="I364" s="96"/>
      <c r="J364" s="98"/>
      <c r="K364" s="99"/>
      <c r="L364" s="96"/>
      <c r="M364" s="42"/>
      <c r="N364" s="42"/>
      <c r="O364" s="42"/>
      <c r="P364" s="83"/>
      <c r="Q364" s="83"/>
      <c r="R364" s="42"/>
      <c r="S364" s="42"/>
      <c r="T364" s="43" t="str">
        <f>IFERROR(__xludf.DUMMYFUNCTION("IFERROR(VLOOKUP(C364,IMPORTRANGE(""https://docs.google.com/spreadsheets/d/1RmEXtNg60OGvqZjyMxiYNPJ6S_kcz01v57qrHugDWVc/edit#gid=0"",""Chegadas!E:AQ""),19,0),"""")"),"")</f>
        <v/>
      </c>
      <c r="U364" s="100"/>
      <c r="V364" s="98"/>
      <c r="W364" s="98"/>
    </row>
    <row r="365" hidden="1">
      <c r="A365" s="95"/>
      <c r="B365" s="95"/>
      <c r="C365" s="54"/>
      <c r="D365" s="83"/>
      <c r="E365" s="96"/>
      <c r="F365" s="42"/>
      <c r="G365" s="97"/>
      <c r="H365" s="96"/>
      <c r="I365" s="96"/>
      <c r="J365" s="98"/>
      <c r="K365" s="99"/>
      <c r="L365" s="96"/>
      <c r="M365" s="42"/>
      <c r="N365" s="42"/>
      <c r="O365" s="42"/>
      <c r="P365" s="83"/>
      <c r="Q365" s="83"/>
      <c r="R365" s="42"/>
      <c r="S365" s="42"/>
      <c r="T365" s="43" t="str">
        <f>IFERROR(__xludf.DUMMYFUNCTION("IFERROR(VLOOKUP(C365,IMPORTRANGE(""https://docs.google.com/spreadsheets/d/1RmEXtNg60OGvqZjyMxiYNPJ6S_kcz01v57qrHugDWVc/edit#gid=0"",""Chegadas!E:AQ""),19,0),"""")"),"")</f>
        <v/>
      </c>
      <c r="U365" s="100"/>
      <c r="V365" s="98"/>
      <c r="W365" s="98"/>
    </row>
    <row r="366" hidden="1">
      <c r="A366" s="95"/>
      <c r="B366" s="95"/>
      <c r="C366" s="54"/>
      <c r="D366" s="83"/>
      <c r="E366" s="96"/>
      <c r="F366" s="42"/>
      <c r="G366" s="97"/>
      <c r="H366" s="96"/>
      <c r="I366" s="96"/>
      <c r="J366" s="98"/>
      <c r="K366" s="99"/>
      <c r="L366" s="96"/>
      <c r="M366" s="42"/>
      <c r="N366" s="42"/>
      <c r="O366" s="42"/>
      <c r="P366" s="83"/>
      <c r="Q366" s="83"/>
      <c r="R366" s="42"/>
      <c r="S366" s="42"/>
      <c r="T366" s="43" t="str">
        <f>IFERROR(__xludf.DUMMYFUNCTION("IFERROR(VLOOKUP(C366,IMPORTRANGE(""https://docs.google.com/spreadsheets/d/1RmEXtNg60OGvqZjyMxiYNPJ6S_kcz01v57qrHugDWVc/edit#gid=0"",""Chegadas!E:AQ""),19,0),"""")"),"")</f>
        <v/>
      </c>
      <c r="U366" s="100"/>
      <c r="V366" s="98"/>
      <c r="W366" s="98"/>
    </row>
    <row r="367" hidden="1">
      <c r="A367" s="95"/>
      <c r="B367" s="95"/>
      <c r="C367" s="54"/>
      <c r="D367" s="83"/>
      <c r="E367" s="96"/>
      <c r="F367" s="42"/>
      <c r="G367" s="97"/>
      <c r="H367" s="96"/>
      <c r="I367" s="96"/>
      <c r="J367" s="98"/>
      <c r="K367" s="99"/>
      <c r="L367" s="96"/>
      <c r="M367" s="42"/>
      <c r="N367" s="42"/>
      <c r="O367" s="42"/>
      <c r="P367" s="83"/>
      <c r="Q367" s="83"/>
      <c r="R367" s="42"/>
      <c r="S367" s="42"/>
      <c r="T367" s="43" t="str">
        <f>IFERROR(__xludf.DUMMYFUNCTION("IFERROR(VLOOKUP(C367,IMPORTRANGE(""https://docs.google.com/spreadsheets/d/1RmEXtNg60OGvqZjyMxiYNPJ6S_kcz01v57qrHugDWVc/edit#gid=0"",""Chegadas!E:AQ""),19,0),"""")"),"")</f>
        <v/>
      </c>
      <c r="U367" s="100"/>
      <c r="V367" s="98"/>
      <c r="W367" s="98"/>
    </row>
    <row r="368" hidden="1">
      <c r="A368" s="95"/>
      <c r="B368" s="95"/>
      <c r="C368" s="54"/>
      <c r="D368" s="83"/>
      <c r="E368" s="96"/>
      <c r="F368" s="42"/>
      <c r="G368" s="97"/>
      <c r="H368" s="96"/>
      <c r="I368" s="96"/>
      <c r="J368" s="98"/>
      <c r="K368" s="99"/>
      <c r="L368" s="96"/>
      <c r="M368" s="42"/>
      <c r="N368" s="42"/>
      <c r="O368" s="42"/>
      <c r="P368" s="83"/>
      <c r="Q368" s="83"/>
      <c r="R368" s="42"/>
      <c r="S368" s="42"/>
      <c r="T368" s="43" t="str">
        <f>IFERROR(__xludf.DUMMYFUNCTION("IFERROR(VLOOKUP(C368,IMPORTRANGE(""https://docs.google.com/spreadsheets/d/1RmEXtNg60OGvqZjyMxiYNPJ6S_kcz01v57qrHugDWVc/edit#gid=0"",""Chegadas!E:AQ""),19,0),"""")"),"")</f>
        <v/>
      </c>
      <c r="U368" s="100"/>
      <c r="V368" s="98"/>
      <c r="W368" s="98"/>
    </row>
    <row r="369" hidden="1">
      <c r="A369" s="95"/>
      <c r="B369" s="95"/>
      <c r="C369" s="54"/>
      <c r="D369" s="83"/>
      <c r="E369" s="96"/>
      <c r="F369" s="42"/>
      <c r="G369" s="97"/>
      <c r="H369" s="96"/>
      <c r="I369" s="96"/>
      <c r="J369" s="98"/>
      <c r="K369" s="99"/>
      <c r="L369" s="96"/>
      <c r="M369" s="42"/>
      <c r="N369" s="42"/>
      <c r="O369" s="42"/>
      <c r="P369" s="83"/>
      <c r="Q369" s="83"/>
      <c r="R369" s="42"/>
      <c r="S369" s="42"/>
      <c r="T369" s="43" t="str">
        <f>IFERROR(__xludf.DUMMYFUNCTION("IFERROR(VLOOKUP(C369,IMPORTRANGE(""https://docs.google.com/spreadsheets/d/1RmEXtNg60OGvqZjyMxiYNPJ6S_kcz01v57qrHugDWVc/edit#gid=0"",""Chegadas!E:AQ""),19,0),"""")"),"")</f>
        <v/>
      </c>
      <c r="U369" s="100"/>
      <c r="V369" s="98"/>
      <c r="W369" s="98"/>
    </row>
    <row r="370" hidden="1">
      <c r="A370" s="95"/>
      <c r="B370" s="95"/>
      <c r="C370" s="54"/>
      <c r="D370" s="83"/>
      <c r="E370" s="96"/>
      <c r="F370" s="42"/>
      <c r="G370" s="97"/>
      <c r="H370" s="96"/>
      <c r="I370" s="96"/>
      <c r="J370" s="98"/>
      <c r="K370" s="99"/>
      <c r="L370" s="96"/>
      <c r="M370" s="42"/>
      <c r="N370" s="42"/>
      <c r="O370" s="42"/>
      <c r="P370" s="83"/>
      <c r="Q370" s="83"/>
      <c r="R370" s="42"/>
      <c r="S370" s="42"/>
      <c r="T370" s="43" t="str">
        <f>IFERROR(__xludf.DUMMYFUNCTION("IFERROR(VLOOKUP(C370,IMPORTRANGE(""https://docs.google.com/spreadsheets/d/1RmEXtNg60OGvqZjyMxiYNPJ6S_kcz01v57qrHugDWVc/edit#gid=0"",""Chegadas!E:AQ""),19,0),"""")"),"")</f>
        <v/>
      </c>
      <c r="U370" s="100"/>
      <c r="V370" s="98"/>
      <c r="W370" s="98"/>
    </row>
    <row r="371" hidden="1">
      <c r="A371" s="95"/>
      <c r="B371" s="95"/>
      <c r="C371" s="54"/>
      <c r="D371" s="83"/>
      <c r="E371" s="96"/>
      <c r="F371" s="42"/>
      <c r="G371" s="97"/>
      <c r="H371" s="96"/>
      <c r="I371" s="96"/>
      <c r="J371" s="98"/>
      <c r="K371" s="99"/>
      <c r="L371" s="96"/>
      <c r="M371" s="42"/>
      <c r="N371" s="42"/>
      <c r="O371" s="42"/>
      <c r="P371" s="83"/>
      <c r="Q371" s="83"/>
      <c r="R371" s="42"/>
      <c r="S371" s="42"/>
      <c r="T371" s="43" t="str">
        <f>IFERROR(__xludf.DUMMYFUNCTION("IFERROR(VLOOKUP(C371,IMPORTRANGE(""https://docs.google.com/spreadsheets/d/1RmEXtNg60OGvqZjyMxiYNPJ6S_kcz01v57qrHugDWVc/edit#gid=0"",""Chegadas!E:AQ""),19,0),"""")"),"")</f>
        <v/>
      </c>
      <c r="U371" s="100"/>
      <c r="V371" s="98"/>
      <c r="W371" s="98"/>
    </row>
    <row r="372" hidden="1">
      <c r="A372" s="95"/>
      <c r="B372" s="95"/>
      <c r="C372" s="54"/>
      <c r="D372" s="83"/>
      <c r="E372" s="96"/>
      <c r="F372" s="42"/>
      <c r="G372" s="97"/>
      <c r="H372" s="96"/>
      <c r="I372" s="96"/>
      <c r="J372" s="98"/>
      <c r="K372" s="99"/>
      <c r="L372" s="96"/>
      <c r="M372" s="42"/>
      <c r="N372" s="42"/>
      <c r="O372" s="42"/>
      <c r="P372" s="83"/>
      <c r="Q372" s="83"/>
      <c r="R372" s="42"/>
      <c r="S372" s="42"/>
      <c r="T372" s="43" t="str">
        <f>IFERROR(__xludf.DUMMYFUNCTION("IFERROR(VLOOKUP(C372,IMPORTRANGE(""https://docs.google.com/spreadsheets/d/1RmEXtNg60OGvqZjyMxiYNPJ6S_kcz01v57qrHugDWVc/edit#gid=0"",""Chegadas!E:AQ""),19,0),"""")"),"")</f>
        <v/>
      </c>
      <c r="U372" s="100"/>
      <c r="V372" s="98"/>
      <c r="W372" s="98"/>
    </row>
    <row r="373" hidden="1">
      <c r="A373" s="95"/>
      <c r="B373" s="95"/>
      <c r="C373" s="54"/>
      <c r="D373" s="83"/>
      <c r="E373" s="96"/>
      <c r="F373" s="42"/>
      <c r="G373" s="97"/>
      <c r="H373" s="96"/>
      <c r="I373" s="96"/>
      <c r="J373" s="98"/>
      <c r="K373" s="99"/>
      <c r="L373" s="96"/>
      <c r="M373" s="42"/>
      <c r="N373" s="42"/>
      <c r="O373" s="42"/>
      <c r="P373" s="83"/>
      <c r="Q373" s="83"/>
      <c r="R373" s="42"/>
      <c r="S373" s="42"/>
      <c r="T373" s="43" t="str">
        <f>IFERROR(__xludf.DUMMYFUNCTION("IFERROR(VLOOKUP(C373,IMPORTRANGE(""https://docs.google.com/spreadsheets/d/1RmEXtNg60OGvqZjyMxiYNPJ6S_kcz01v57qrHugDWVc/edit#gid=0"",""Chegadas!E:AQ""),19,0),"""")"),"")</f>
        <v/>
      </c>
      <c r="U373" s="100"/>
      <c r="V373" s="98"/>
      <c r="W373" s="98"/>
    </row>
    <row r="374" hidden="1">
      <c r="A374" s="95"/>
      <c r="B374" s="95"/>
      <c r="C374" s="54"/>
      <c r="D374" s="83"/>
      <c r="E374" s="96"/>
      <c r="F374" s="42"/>
      <c r="G374" s="97"/>
      <c r="H374" s="96"/>
      <c r="I374" s="96"/>
      <c r="J374" s="98"/>
      <c r="K374" s="99"/>
      <c r="L374" s="96"/>
      <c r="M374" s="42"/>
      <c r="N374" s="42"/>
      <c r="O374" s="42"/>
      <c r="P374" s="83"/>
      <c r="Q374" s="83"/>
      <c r="R374" s="42"/>
      <c r="S374" s="42"/>
      <c r="T374" s="43" t="str">
        <f>IFERROR(__xludf.DUMMYFUNCTION("IFERROR(VLOOKUP(C374,IMPORTRANGE(""https://docs.google.com/spreadsheets/d/1RmEXtNg60OGvqZjyMxiYNPJ6S_kcz01v57qrHugDWVc/edit#gid=0"",""Chegadas!E:AQ""),19,0),"""")"),"")</f>
        <v/>
      </c>
      <c r="U374" s="100"/>
      <c r="V374" s="98"/>
      <c r="W374" s="98"/>
    </row>
    <row r="375" hidden="1">
      <c r="A375" s="95"/>
      <c r="B375" s="95"/>
      <c r="C375" s="54"/>
      <c r="D375" s="83"/>
      <c r="E375" s="96"/>
      <c r="F375" s="42"/>
      <c r="G375" s="97"/>
      <c r="H375" s="96"/>
      <c r="I375" s="96"/>
      <c r="J375" s="98"/>
      <c r="K375" s="99"/>
      <c r="L375" s="96"/>
      <c r="M375" s="42"/>
      <c r="N375" s="42"/>
      <c r="O375" s="42"/>
      <c r="P375" s="83"/>
      <c r="Q375" s="83"/>
      <c r="R375" s="42"/>
      <c r="S375" s="42"/>
      <c r="T375" s="43" t="str">
        <f>IFERROR(__xludf.DUMMYFUNCTION("IFERROR(VLOOKUP(C375,IMPORTRANGE(""https://docs.google.com/spreadsheets/d/1RmEXtNg60OGvqZjyMxiYNPJ6S_kcz01v57qrHugDWVc/edit#gid=0"",""Chegadas!E:AQ""),19,0),"""")"),"")</f>
        <v/>
      </c>
      <c r="U375" s="100"/>
      <c r="V375" s="98"/>
      <c r="W375" s="98"/>
    </row>
    <row r="376" hidden="1">
      <c r="A376" s="95"/>
      <c r="B376" s="95"/>
      <c r="C376" s="54"/>
      <c r="D376" s="83"/>
      <c r="E376" s="96"/>
      <c r="F376" s="42"/>
      <c r="G376" s="97"/>
      <c r="H376" s="96"/>
      <c r="I376" s="96"/>
      <c r="J376" s="98"/>
      <c r="K376" s="99"/>
      <c r="L376" s="96"/>
      <c r="M376" s="42"/>
      <c r="N376" s="42"/>
      <c r="O376" s="42"/>
      <c r="P376" s="83"/>
      <c r="Q376" s="83"/>
      <c r="R376" s="42"/>
      <c r="S376" s="42"/>
      <c r="T376" s="43" t="str">
        <f>IFERROR(__xludf.DUMMYFUNCTION("IFERROR(VLOOKUP(C376,IMPORTRANGE(""https://docs.google.com/spreadsheets/d/1RmEXtNg60OGvqZjyMxiYNPJ6S_kcz01v57qrHugDWVc/edit#gid=0"",""Chegadas!E:AQ""),19,0),"""")"),"")</f>
        <v/>
      </c>
      <c r="U376" s="100"/>
      <c r="V376" s="98"/>
      <c r="W376" s="98"/>
    </row>
    <row r="377" hidden="1">
      <c r="A377" s="95"/>
      <c r="B377" s="95"/>
      <c r="C377" s="54"/>
      <c r="D377" s="83"/>
      <c r="E377" s="96"/>
      <c r="F377" s="42"/>
      <c r="G377" s="97"/>
      <c r="H377" s="96"/>
      <c r="I377" s="96"/>
      <c r="J377" s="98"/>
      <c r="K377" s="99"/>
      <c r="L377" s="96"/>
      <c r="M377" s="42"/>
      <c r="N377" s="42"/>
      <c r="O377" s="42"/>
      <c r="P377" s="83"/>
      <c r="Q377" s="83"/>
      <c r="R377" s="42"/>
      <c r="S377" s="42"/>
      <c r="T377" s="43" t="str">
        <f>IFERROR(__xludf.DUMMYFUNCTION("IFERROR(VLOOKUP(C377,IMPORTRANGE(""https://docs.google.com/spreadsheets/d/1RmEXtNg60OGvqZjyMxiYNPJ6S_kcz01v57qrHugDWVc/edit#gid=0"",""Chegadas!E:AQ""),19,0),"""")"),"")</f>
        <v/>
      </c>
      <c r="U377" s="100"/>
      <c r="V377" s="98"/>
      <c r="W377" s="98"/>
    </row>
    <row r="378" hidden="1">
      <c r="A378" s="95"/>
      <c r="B378" s="95"/>
      <c r="C378" s="54"/>
      <c r="D378" s="83"/>
      <c r="E378" s="96"/>
      <c r="F378" s="42"/>
      <c r="G378" s="97"/>
      <c r="H378" s="96"/>
      <c r="I378" s="96"/>
      <c r="J378" s="98"/>
      <c r="K378" s="99"/>
      <c r="L378" s="96"/>
      <c r="M378" s="42"/>
      <c r="N378" s="42"/>
      <c r="O378" s="42"/>
      <c r="P378" s="83"/>
      <c r="Q378" s="83"/>
      <c r="R378" s="42"/>
      <c r="S378" s="42"/>
      <c r="T378" s="43" t="str">
        <f>IFERROR(__xludf.DUMMYFUNCTION("IFERROR(VLOOKUP(C378,IMPORTRANGE(""https://docs.google.com/spreadsheets/d/1RmEXtNg60OGvqZjyMxiYNPJ6S_kcz01v57qrHugDWVc/edit#gid=0"",""Chegadas!E:AQ""),19,0),"""")"),"")</f>
        <v/>
      </c>
      <c r="U378" s="100"/>
      <c r="V378" s="98"/>
      <c r="W378" s="98"/>
    </row>
    <row r="379" hidden="1">
      <c r="A379" s="95"/>
      <c r="B379" s="95"/>
      <c r="C379" s="54"/>
      <c r="D379" s="83"/>
      <c r="E379" s="96"/>
      <c r="F379" s="42"/>
      <c r="G379" s="97"/>
      <c r="H379" s="96"/>
      <c r="I379" s="96"/>
      <c r="J379" s="98"/>
      <c r="K379" s="99"/>
      <c r="L379" s="96"/>
      <c r="M379" s="42"/>
      <c r="N379" s="42"/>
      <c r="O379" s="42"/>
      <c r="P379" s="83"/>
      <c r="Q379" s="83"/>
      <c r="R379" s="42"/>
      <c r="S379" s="42"/>
      <c r="T379" s="43" t="str">
        <f>IFERROR(__xludf.DUMMYFUNCTION("IFERROR(VLOOKUP(C379,IMPORTRANGE(""https://docs.google.com/spreadsheets/d/1RmEXtNg60OGvqZjyMxiYNPJ6S_kcz01v57qrHugDWVc/edit#gid=0"",""Chegadas!E:AQ""),19,0),"""")"),"")</f>
        <v/>
      </c>
      <c r="U379" s="100"/>
      <c r="V379" s="98"/>
      <c r="W379" s="98"/>
    </row>
    <row r="380" hidden="1">
      <c r="A380" s="95"/>
      <c r="B380" s="95"/>
      <c r="C380" s="54"/>
      <c r="D380" s="83"/>
      <c r="E380" s="96"/>
      <c r="F380" s="42"/>
      <c r="G380" s="97"/>
      <c r="H380" s="96"/>
      <c r="I380" s="96"/>
      <c r="J380" s="98"/>
      <c r="K380" s="99"/>
      <c r="L380" s="96"/>
      <c r="M380" s="42"/>
      <c r="N380" s="42"/>
      <c r="O380" s="42"/>
      <c r="P380" s="83"/>
      <c r="Q380" s="83"/>
      <c r="R380" s="42"/>
      <c r="S380" s="42"/>
      <c r="T380" s="43" t="str">
        <f>IFERROR(__xludf.DUMMYFUNCTION("IFERROR(VLOOKUP(C380,IMPORTRANGE(""https://docs.google.com/spreadsheets/d/1RmEXtNg60OGvqZjyMxiYNPJ6S_kcz01v57qrHugDWVc/edit#gid=0"",""Chegadas!E:AQ""),19,0),"""")"),"")</f>
        <v/>
      </c>
      <c r="U380" s="100"/>
      <c r="V380" s="98"/>
      <c r="W380" s="98"/>
    </row>
    <row r="381" hidden="1">
      <c r="A381" s="95"/>
      <c r="B381" s="95"/>
      <c r="C381" s="54"/>
      <c r="D381" s="83"/>
      <c r="E381" s="96"/>
      <c r="F381" s="42"/>
      <c r="G381" s="97"/>
      <c r="H381" s="96"/>
      <c r="I381" s="96"/>
      <c r="J381" s="98"/>
      <c r="K381" s="99"/>
      <c r="L381" s="96"/>
      <c r="M381" s="42"/>
      <c r="N381" s="42"/>
      <c r="O381" s="42"/>
      <c r="P381" s="83"/>
      <c r="Q381" s="83"/>
      <c r="R381" s="42"/>
      <c r="S381" s="42"/>
      <c r="T381" s="43" t="str">
        <f>IFERROR(__xludf.DUMMYFUNCTION("IFERROR(VLOOKUP(C381,IMPORTRANGE(""https://docs.google.com/spreadsheets/d/1RmEXtNg60OGvqZjyMxiYNPJ6S_kcz01v57qrHugDWVc/edit#gid=0"",""Chegadas!E:AQ""),19,0),"""")"),"")</f>
        <v/>
      </c>
      <c r="U381" s="100"/>
      <c r="V381" s="98"/>
      <c r="W381" s="98"/>
    </row>
    <row r="382" hidden="1">
      <c r="A382" s="95"/>
      <c r="B382" s="95"/>
      <c r="C382" s="54"/>
      <c r="D382" s="83"/>
      <c r="E382" s="96"/>
      <c r="F382" s="42"/>
      <c r="G382" s="97"/>
      <c r="H382" s="96"/>
      <c r="I382" s="96"/>
      <c r="J382" s="98"/>
      <c r="K382" s="99"/>
      <c r="L382" s="96"/>
      <c r="M382" s="42"/>
      <c r="N382" s="42"/>
      <c r="O382" s="42"/>
      <c r="P382" s="83"/>
      <c r="Q382" s="83"/>
      <c r="R382" s="42"/>
      <c r="S382" s="42"/>
      <c r="T382" s="43" t="str">
        <f>IFERROR(__xludf.DUMMYFUNCTION("IFERROR(VLOOKUP(C382,IMPORTRANGE(""https://docs.google.com/spreadsheets/d/1RmEXtNg60OGvqZjyMxiYNPJ6S_kcz01v57qrHugDWVc/edit#gid=0"",""Chegadas!E:AQ""),19,0),"""")"),"")</f>
        <v/>
      </c>
      <c r="U382" s="100"/>
      <c r="V382" s="98"/>
      <c r="W382" s="98"/>
    </row>
    <row r="383" hidden="1">
      <c r="A383" s="95"/>
      <c r="B383" s="95"/>
      <c r="C383" s="54"/>
      <c r="D383" s="83"/>
      <c r="E383" s="96"/>
      <c r="F383" s="42"/>
      <c r="G383" s="97"/>
      <c r="H383" s="96"/>
      <c r="I383" s="96"/>
      <c r="J383" s="98"/>
      <c r="K383" s="99"/>
      <c r="L383" s="96"/>
      <c r="M383" s="42"/>
      <c r="N383" s="42"/>
      <c r="O383" s="42"/>
      <c r="P383" s="83"/>
      <c r="Q383" s="83"/>
      <c r="R383" s="42"/>
      <c r="S383" s="42"/>
      <c r="T383" s="43" t="str">
        <f>IFERROR(__xludf.DUMMYFUNCTION("IFERROR(VLOOKUP(C383,IMPORTRANGE(""https://docs.google.com/spreadsheets/d/1RmEXtNg60OGvqZjyMxiYNPJ6S_kcz01v57qrHugDWVc/edit#gid=0"",""Chegadas!E:AQ""),19,0),"""")"),"")</f>
        <v/>
      </c>
      <c r="U383" s="100"/>
      <c r="V383" s="98"/>
      <c r="W383" s="98"/>
    </row>
    <row r="384" hidden="1">
      <c r="A384" s="95"/>
      <c r="B384" s="95"/>
      <c r="C384" s="54"/>
      <c r="D384" s="83"/>
      <c r="E384" s="96"/>
      <c r="F384" s="42"/>
      <c r="G384" s="97"/>
      <c r="H384" s="96"/>
      <c r="I384" s="96"/>
      <c r="J384" s="98"/>
      <c r="K384" s="99"/>
      <c r="L384" s="96"/>
      <c r="M384" s="42"/>
      <c r="N384" s="42"/>
      <c r="O384" s="42"/>
      <c r="P384" s="83"/>
      <c r="Q384" s="83"/>
      <c r="R384" s="42"/>
      <c r="S384" s="42"/>
      <c r="T384" s="43" t="str">
        <f>IFERROR(__xludf.DUMMYFUNCTION("IFERROR(VLOOKUP(C384,IMPORTRANGE(""https://docs.google.com/spreadsheets/d/1RmEXtNg60OGvqZjyMxiYNPJ6S_kcz01v57qrHugDWVc/edit#gid=0"",""Chegadas!E:AQ""),19,0),"""")"),"")</f>
        <v/>
      </c>
      <c r="U384" s="100"/>
      <c r="V384" s="98"/>
      <c r="W384" s="98"/>
    </row>
    <row r="385" hidden="1">
      <c r="A385" s="95"/>
      <c r="B385" s="95"/>
      <c r="C385" s="54"/>
      <c r="D385" s="83"/>
      <c r="E385" s="96"/>
      <c r="F385" s="42"/>
      <c r="G385" s="97"/>
      <c r="H385" s="96"/>
      <c r="I385" s="96"/>
      <c r="J385" s="98"/>
      <c r="K385" s="99"/>
      <c r="L385" s="96"/>
      <c r="M385" s="42"/>
      <c r="N385" s="42"/>
      <c r="O385" s="42"/>
      <c r="P385" s="83"/>
      <c r="Q385" s="83"/>
      <c r="R385" s="42"/>
      <c r="S385" s="42"/>
      <c r="T385" s="43" t="str">
        <f>IFERROR(__xludf.DUMMYFUNCTION("IFERROR(VLOOKUP(C385,IMPORTRANGE(""https://docs.google.com/spreadsheets/d/1RmEXtNg60OGvqZjyMxiYNPJ6S_kcz01v57qrHugDWVc/edit#gid=0"",""Chegadas!E:AQ""),19,0),"""")"),"")</f>
        <v/>
      </c>
      <c r="U385" s="100"/>
      <c r="V385" s="98"/>
      <c r="W385" s="98"/>
    </row>
    <row r="386" hidden="1">
      <c r="A386" s="95"/>
      <c r="B386" s="95"/>
      <c r="C386" s="54"/>
      <c r="D386" s="83"/>
      <c r="E386" s="96"/>
      <c r="F386" s="42"/>
      <c r="G386" s="97"/>
      <c r="H386" s="96"/>
      <c r="I386" s="96"/>
      <c r="J386" s="98"/>
      <c r="K386" s="99"/>
      <c r="L386" s="96"/>
      <c r="M386" s="42"/>
      <c r="N386" s="42"/>
      <c r="O386" s="42"/>
      <c r="P386" s="83"/>
      <c r="Q386" s="83"/>
      <c r="R386" s="42"/>
      <c r="S386" s="42"/>
      <c r="T386" s="43" t="str">
        <f>IFERROR(__xludf.DUMMYFUNCTION("IFERROR(VLOOKUP(C386,IMPORTRANGE(""https://docs.google.com/spreadsheets/d/1RmEXtNg60OGvqZjyMxiYNPJ6S_kcz01v57qrHugDWVc/edit#gid=0"",""Chegadas!E:AQ""),19,0),"""")"),"")</f>
        <v/>
      </c>
      <c r="U386" s="100"/>
      <c r="V386" s="98"/>
      <c r="W386" s="98"/>
    </row>
    <row r="387" hidden="1">
      <c r="A387" s="95"/>
      <c r="B387" s="95"/>
      <c r="C387" s="54"/>
      <c r="D387" s="83"/>
      <c r="E387" s="96"/>
      <c r="F387" s="42"/>
      <c r="G387" s="97"/>
      <c r="H387" s="96"/>
      <c r="I387" s="96"/>
      <c r="J387" s="98"/>
      <c r="K387" s="99"/>
      <c r="L387" s="96"/>
      <c r="M387" s="42"/>
      <c r="N387" s="42"/>
      <c r="O387" s="42"/>
      <c r="P387" s="83"/>
      <c r="Q387" s="83"/>
      <c r="R387" s="42"/>
      <c r="S387" s="42"/>
      <c r="T387" s="43" t="str">
        <f>IFERROR(__xludf.DUMMYFUNCTION("IFERROR(VLOOKUP(C387,IMPORTRANGE(""https://docs.google.com/spreadsheets/d/1RmEXtNg60OGvqZjyMxiYNPJ6S_kcz01v57qrHugDWVc/edit#gid=0"",""Chegadas!E:AQ""),19,0),"""")"),"")</f>
        <v/>
      </c>
      <c r="U387" s="100"/>
      <c r="V387" s="98"/>
      <c r="W387" s="98"/>
    </row>
    <row r="388" hidden="1">
      <c r="A388" s="95"/>
      <c r="B388" s="95"/>
      <c r="C388" s="54"/>
      <c r="D388" s="83"/>
      <c r="E388" s="96"/>
      <c r="F388" s="42"/>
      <c r="G388" s="97"/>
      <c r="H388" s="96"/>
      <c r="I388" s="96"/>
      <c r="J388" s="98"/>
      <c r="K388" s="99"/>
      <c r="L388" s="96"/>
      <c r="M388" s="42"/>
      <c r="N388" s="42"/>
      <c r="O388" s="42"/>
      <c r="P388" s="83"/>
      <c r="Q388" s="83"/>
      <c r="R388" s="42"/>
      <c r="S388" s="42"/>
      <c r="T388" s="43" t="str">
        <f>IFERROR(__xludf.DUMMYFUNCTION("IFERROR(VLOOKUP(C388,IMPORTRANGE(""https://docs.google.com/spreadsheets/d/1RmEXtNg60OGvqZjyMxiYNPJ6S_kcz01v57qrHugDWVc/edit#gid=0"",""Chegadas!E:AQ""),19,0),"""")"),"")</f>
        <v/>
      </c>
      <c r="U388" s="100"/>
      <c r="V388" s="98"/>
      <c r="W388" s="98"/>
    </row>
    <row r="389" hidden="1">
      <c r="A389" s="95"/>
      <c r="B389" s="95"/>
      <c r="C389" s="54"/>
      <c r="D389" s="83"/>
      <c r="E389" s="96"/>
      <c r="F389" s="42"/>
      <c r="G389" s="97"/>
      <c r="H389" s="96"/>
      <c r="I389" s="96"/>
      <c r="J389" s="98"/>
      <c r="K389" s="99"/>
      <c r="L389" s="96"/>
      <c r="M389" s="42"/>
      <c r="N389" s="42"/>
      <c r="O389" s="42"/>
      <c r="P389" s="83"/>
      <c r="Q389" s="83"/>
      <c r="R389" s="42"/>
      <c r="S389" s="42"/>
      <c r="T389" s="43" t="str">
        <f>IFERROR(__xludf.DUMMYFUNCTION("IFERROR(VLOOKUP(C389,IMPORTRANGE(""https://docs.google.com/spreadsheets/d/1RmEXtNg60OGvqZjyMxiYNPJ6S_kcz01v57qrHugDWVc/edit#gid=0"",""Chegadas!E:AQ""),19,0),"""")"),"")</f>
        <v/>
      </c>
      <c r="U389" s="100"/>
      <c r="V389" s="98"/>
      <c r="W389" s="98"/>
    </row>
    <row r="390" hidden="1">
      <c r="A390" s="95"/>
      <c r="B390" s="95"/>
      <c r="C390" s="54"/>
      <c r="D390" s="83"/>
      <c r="E390" s="96"/>
      <c r="F390" s="42"/>
      <c r="G390" s="97"/>
      <c r="H390" s="96"/>
      <c r="I390" s="96"/>
      <c r="J390" s="98"/>
      <c r="K390" s="99"/>
      <c r="L390" s="96"/>
      <c r="M390" s="42"/>
      <c r="N390" s="42"/>
      <c r="O390" s="42"/>
      <c r="P390" s="83"/>
      <c r="Q390" s="83"/>
      <c r="R390" s="42"/>
      <c r="S390" s="42"/>
      <c r="T390" s="43" t="str">
        <f>IFERROR(__xludf.DUMMYFUNCTION("IFERROR(VLOOKUP(C390,IMPORTRANGE(""https://docs.google.com/spreadsheets/d/1RmEXtNg60OGvqZjyMxiYNPJ6S_kcz01v57qrHugDWVc/edit#gid=0"",""Chegadas!E:AQ""),19,0),"""")"),"")</f>
        <v/>
      </c>
      <c r="U390" s="100"/>
      <c r="V390" s="98"/>
      <c r="W390" s="98"/>
    </row>
    <row r="391" hidden="1">
      <c r="A391" s="95"/>
      <c r="B391" s="95"/>
      <c r="C391" s="54"/>
      <c r="D391" s="83"/>
      <c r="E391" s="96"/>
      <c r="F391" s="42"/>
      <c r="G391" s="97"/>
      <c r="H391" s="96"/>
      <c r="I391" s="96"/>
      <c r="J391" s="98"/>
      <c r="K391" s="99"/>
      <c r="L391" s="96"/>
      <c r="M391" s="42"/>
      <c r="N391" s="42"/>
      <c r="O391" s="42"/>
      <c r="P391" s="83"/>
      <c r="Q391" s="83"/>
      <c r="R391" s="42"/>
      <c r="S391" s="42"/>
      <c r="T391" s="43" t="str">
        <f>IFERROR(__xludf.DUMMYFUNCTION("IFERROR(VLOOKUP(C391,IMPORTRANGE(""https://docs.google.com/spreadsheets/d/1RmEXtNg60OGvqZjyMxiYNPJ6S_kcz01v57qrHugDWVc/edit#gid=0"",""Chegadas!E:AQ""),19,0),"""")"),"")</f>
        <v/>
      </c>
      <c r="U391" s="100"/>
      <c r="V391" s="98"/>
      <c r="W391" s="98"/>
    </row>
    <row r="392" hidden="1">
      <c r="A392" s="95"/>
      <c r="B392" s="95"/>
      <c r="C392" s="54"/>
      <c r="D392" s="83"/>
      <c r="E392" s="96"/>
      <c r="F392" s="42"/>
      <c r="G392" s="97"/>
      <c r="H392" s="96"/>
      <c r="I392" s="96"/>
      <c r="J392" s="98"/>
      <c r="K392" s="99"/>
      <c r="L392" s="96"/>
      <c r="M392" s="42"/>
      <c r="N392" s="42"/>
      <c r="O392" s="42"/>
      <c r="P392" s="83"/>
      <c r="Q392" s="83"/>
      <c r="R392" s="42"/>
      <c r="S392" s="42"/>
      <c r="T392" s="43" t="str">
        <f>IFERROR(__xludf.DUMMYFUNCTION("IFERROR(VLOOKUP(C392,IMPORTRANGE(""https://docs.google.com/spreadsheets/d/1RmEXtNg60OGvqZjyMxiYNPJ6S_kcz01v57qrHugDWVc/edit#gid=0"",""Chegadas!E:AQ""),19,0),"""")"),"")</f>
        <v/>
      </c>
      <c r="U392" s="100"/>
      <c r="V392" s="98"/>
      <c r="W392" s="98"/>
    </row>
    <row r="393" hidden="1">
      <c r="A393" s="95"/>
      <c r="B393" s="95"/>
      <c r="C393" s="54"/>
      <c r="D393" s="83"/>
      <c r="E393" s="96"/>
      <c r="F393" s="42"/>
      <c r="G393" s="97"/>
      <c r="H393" s="96"/>
      <c r="I393" s="96"/>
      <c r="J393" s="98"/>
      <c r="K393" s="99"/>
      <c r="L393" s="96"/>
      <c r="M393" s="42"/>
      <c r="N393" s="42"/>
      <c r="O393" s="42"/>
      <c r="P393" s="83"/>
      <c r="Q393" s="83"/>
      <c r="R393" s="42"/>
      <c r="S393" s="42"/>
      <c r="T393" s="43" t="str">
        <f>IFERROR(__xludf.DUMMYFUNCTION("IFERROR(VLOOKUP(C393,IMPORTRANGE(""https://docs.google.com/spreadsheets/d/1RmEXtNg60OGvqZjyMxiYNPJ6S_kcz01v57qrHugDWVc/edit#gid=0"",""Chegadas!E:AQ""),19,0),"""")"),"")</f>
        <v/>
      </c>
      <c r="U393" s="100"/>
      <c r="V393" s="98"/>
      <c r="W393" s="98"/>
    </row>
    <row r="394" hidden="1">
      <c r="A394" s="95"/>
      <c r="B394" s="95"/>
      <c r="C394" s="54"/>
      <c r="D394" s="83"/>
      <c r="E394" s="96"/>
      <c r="F394" s="42"/>
      <c r="G394" s="97"/>
      <c r="H394" s="96"/>
      <c r="I394" s="96"/>
      <c r="J394" s="98"/>
      <c r="K394" s="99"/>
      <c r="L394" s="96"/>
      <c r="M394" s="42"/>
      <c r="N394" s="42"/>
      <c r="O394" s="42"/>
      <c r="P394" s="83"/>
      <c r="Q394" s="83"/>
      <c r="R394" s="42"/>
      <c r="S394" s="42"/>
      <c r="T394" s="43" t="str">
        <f>IFERROR(__xludf.DUMMYFUNCTION("IFERROR(VLOOKUP(C394,IMPORTRANGE(""https://docs.google.com/spreadsheets/d/1RmEXtNg60OGvqZjyMxiYNPJ6S_kcz01v57qrHugDWVc/edit#gid=0"",""Chegadas!E:AQ""),19,0),"""")"),"")</f>
        <v/>
      </c>
      <c r="U394" s="100"/>
      <c r="V394" s="98"/>
      <c r="W394" s="98"/>
    </row>
    <row r="395" hidden="1">
      <c r="A395" s="95"/>
      <c r="B395" s="95"/>
      <c r="C395" s="54"/>
      <c r="D395" s="83"/>
      <c r="E395" s="96"/>
      <c r="F395" s="42"/>
      <c r="G395" s="97"/>
      <c r="H395" s="96"/>
      <c r="I395" s="96"/>
      <c r="J395" s="98"/>
      <c r="K395" s="99"/>
      <c r="L395" s="96"/>
      <c r="M395" s="42"/>
      <c r="N395" s="42"/>
      <c r="O395" s="42"/>
      <c r="P395" s="83"/>
      <c r="Q395" s="83"/>
      <c r="R395" s="42"/>
      <c r="S395" s="42"/>
      <c r="T395" s="43" t="str">
        <f>IFERROR(__xludf.DUMMYFUNCTION("IFERROR(VLOOKUP(C395,IMPORTRANGE(""https://docs.google.com/spreadsheets/d/1RmEXtNg60OGvqZjyMxiYNPJ6S_kcz01v57qrHugDWVc/edit#gid=0"",""Chegadas!E:AQ""),19,0),"""")"),"")</f>
        <v/>
      </c>
      <c r="U395" s="100"/>
      <c r="V395" s="98"/>
      <c r="W395" s="98"/>
    </row>
    <row r="396" hidden="1">
      <c r="A396" s="95"/>
      <c r="B396" s="95"/>
      <c r="C396" s="54"/>
      <c r="D396" s="83"/>
      <c r="E396" s="96"/>
      <c r="F396" s="42"/>
      <c r="G396" s="97"/>
      <c r="H396" s="96"/>
      <c r="I396" s="96"/>
      <c r="J396" s="98"/>
      <c r="K396" s="99"/>
      <c r="L396" s="96"/>
      <c r="M396" s="42"/>
      <c r="N396" s="42"/>
      <c r="O396" s="42"/>
      <c r="P396" s="83"/>
      <c r="Q396" s="83"/>
      <c r="R396" s="42"/>
      <c r="S396" s="42"/>
      <c r="T396" s="43" t="str">
        <f>IFERROR(__xludf.DUMMYFUNCTION("IFERROR(VLOOKUP(C396,IMPORTRANGE(""https://docs.google.com/spreadsheets/d/1RmEXtNg60OGvqZjyMxiYNPJ6S_kcz01v57qrHugDWVc/edit#gid=0"",""Chegadas!E:AQ""),19,0),"""")"),"")</f>
        <v/>
      </c>
      <c r="U396" s="100"/>
      <c r="V396" s="98"/>
      <c r="W396" s="98"/>
    </row>
    <row r="397" hidden="1">
      <c r="A397" s="95"/>
      <c r="B397" s="95"/>
      <c r="C397" s="54"/>
      <c r="D397" s="83"/>
      <c r="E397" s="96"/>
      <c r="F397" s="42"/>
      <c r="G397" s="97"/>
      <c r="H397" s="96"/>
      <c r="I397" s="96"/>
      <c r="J397" s="98"/>
      <c r="K397" s="99"/>
      <c r="L397" s="96"/>
      <c r="M397" s="42"/>
      <c r="N397" s="42"/>
      <c r="O397" s="42"/>
      <c r="P397" s="83"/>
      <c r="Q397" s="83"/>
      <c r="R397" s="42"/>
      <c r="S397" s="42"/>
      <c r="T397" s="43" t="str">
        <f>IFERROR(__xludf.DUMMYFUNCTION("IFERROR(VLOOKUP(C397,IMPORTRANGE(""https://docs.google.com/spreadsheets/d/1RmEXtNg60OGvqZjyMxiYNPJ6S_kcz01v57qrHugDWVc/edit#gid=0"",""Chegadas!E:AQ""),19,0),"""")"),"")</f>
        <v/>
      </c>
      <c r="U397" s="100"/>
      <c r="V397" s="98"/>
      <c r="W397" s="98"/>
    </row>
    <row r="398" hidden="1">
      <c r="A398" s="95"/>
      <c r="B398" s="95"/>
      <c r="C398" s="54"/>
      <c r="D398" s="83"/>
      <c r="E398" s="96"/>
      <c r="F398" s="42"/>
      <c r="G398" s="97"/>
      <c r="H398" s="96"/>
      <c r="I398" s="96"/>
      <c r="J398" s="98"/>
      <c r="K398" s="99"/>
      <c r="L398" s="96"/>
      <c r="M398" s="42"/>
      <c r="N398" s="42"/>
      <c r="O398" s="42"/>
      <c r="P398" s="83"/>
      <c r="Q398" s="83"/>
      <c r="R398" s="42"/>
      <c r="S398" s="42"/>
      <c r="T398" s="43" t="str">
        <f>IFERROR(__xludf.DUMMYFUNCTION("IFERROR(VLOOKUP(C398,IMPORTRANGE(""https://docs.google.com/spreadsheets/d/1RmEXtNg60OGvqZjyMxiYNPJ6S_kcz01v57qrHugDWVc/edit#gid=0"",""Chegadas!E:AQ""),19,0),"""")"),"")</f>
        <v/>
      </c>
      <c r="U398" s="100"/>
      <c r="V398" s="98"/>
      <c r="W398" s="98"/>
    </row>
    <row r="399" hidden="1">
      <c r="A399" s="95"/>
      <c r="B399" s="95"/>
      <c r="C399" s="54"/>
      <c r="D399" s="83"/>
      <c r="E399" s="96"/>
      <c r="F399" s="42"/>
      <c r="G399" s="97"/>
      <c r="H399" s="96"/>
      <c r="I399" s="96"/>
      <c r="J399" s="98"/>
      <c r="K399" s="99"/>
      <c r="L399" s="96"/>
      <c r="M399" s="42"/>
      <c r="N399" s="42"/>
      <c r="O399" s="42"/>
      <c r="P399" s="83"/>
      <c r="Q399" s="83"/>
      <c r="R399" s="42"/>
      <c r="S399" s="42"/>
      <c r="T399" s="43" t="str">
        <f>IFERROR(__xludf.DUMMYFUNCTION("IFERROR(VLOOKUP(C399,IMPORTRANGE(""https://docs.google.com/spreadsheets/d/1RmEXtNg60OGvqZjyMxiYNPJ6S_kcz01v57qrHugDWVc/edit#gid=0"",""Chegadas!E:AQ""),19,0),"""")"),"")</f>
        <v/>
      </c>
      <c r="U399" s="100"/>
      <c r="V399" s="98"/>
      <c r="W399" s="98"/>
    </row>
    <row r="400" hidden="1">
      <c r="A400" s="95"/>
      <c r="B400" s="95"/>
      <c r="C400" s="54"/>
      <c r="D400" s="83"/>
      <c r="E400" s="96"/>
      <c r="F400" s="42"/>
      <c r="G400" s="97"/>
      <c r="H400" s="96"/>
      <c r="I400" s="96"/>
      <c r="J400" s="98"/>
      <c r="K400" s="99"/>
      <c r="L400" s="96"/>
      <c r="M400" s="42"/>
      <c r="N400" s="42"/>
      <c r="O400" s="42"/>
      <c r="P400" s="83"/>
      <c r="Q400" s="83"/>
      <c r="R400" s="42"/>
      <c r="S400" s="42"/>
      <c r="T400" s="43" t="str">
        <f>IFERROR(__xludf.DUMMYFUNCTION("IFERROR(VLOOKUP(C400,IMPORTRANGE(""https://docs.google.com/spreadsheets/d/1RmEXtNg60OGvqZjyMxiYNPJ6S_kcz01v57qrHugDWVc/edit#gid=0"",""Chegadas!E:AQ""),19,0),"""")"),"")</f>
        <v/>
      </c>
      <c r="U400" s="100"/>
      <c r="V400" s="98"/>
      <c r="W400" s="98"/>
    </row>
    <row r="401" hidden="1">
      <c r="A401" s="95"/>
      <c r="B401" s="95"/>
      <c r="C401" s="54"/>
      <c r="D401" s="83"/>
      <c r="E401" s="96"/>
      <c r="F401" s="42"/>
      <c r="G401" s="97"/>
      <c r="H401" s="96"/>
      <c r="I401" s="96"/>
      <c r="J401" s="98"/>
      <c r="K401" s="99"/>
      <c r="L401" s="96"/>
      <c r="M401" s="42"/>
      <c r="N401" s="42"/>
      <c r="O401" s="42"/>
      <c r="P401" s="83"/>
      <c r="Q401" s="83"/>
      <c r="R401" s="42"/>
      <c r="S401" s="42"/>
      <c r="T401" s="43" t="str">
        <f>IFERROR(__xludf.DUMMYFUNCTION("IFERROR(VLOOKUP(C401,IMPORTRANGE(""https://docs.google.com/spreadsheets/d/1RmEXtNg60OGvqZjyMxiYNPJ6S_kcz01v57qrHugDWVc/edit#gid=0"",""Chegadas!E:AQ""),19,0),"""")"),"")</f>
        <v/>
      </c>
      <c r="U401" s="100"/>
      <c r="V401" s="98"/>
      <c r="W401" s="98"/>
    </row>
    <row r="402" hidden="1">
      <c r="A402" s="95"/>
      <c r="B402" s="95"/>
      <c r="C402" s="54"/>
      <c r="D402" s="83"/>
      <c r="E402" s="96"/>
      <c r="F402" s="42"/>
      <c r="G402" s="97"/>
      <c r="H402" s="96"/>
      <c r="I402" s="96"/>
      <c r="J402" s="98"/>
      <c r="K402" s="99"/>
      <c r="L402" s="96"/>
      <c r="M402" s="42"/>
      <c r="N402" s="42"/>
      <c r="O402" s="42"/>
      <c r="P402" s="83"/>
      <c r="Q402" s="83"/>
      <c r="R402" s="42"/>
      <c r="S402" s="42"/>
      <c r="T402" s="43" t="str">
        <f>IFERROR(__xludf.DUMMYFUNCTION("IFERROR(VLOOKUP(C402,IMPORTRANGE(""https://docs.google.com/spreadsheets/d/1RmEXtNg60OGvqZjyMxiYNPJ6S_kcz01v57qrHugDWVc/edit#gid=0"",""Chegadas!E:AQ""),19,0),"""")"),"")</f>
        <v/>
      </c>
      <c r="U402" s="100"/>
      <c r="V402" s="98"/>
      <c r="W402" s="98"/>
    </row>
    <row r="403" hidden="1">
      <c r="A403" s="95"/>
      <c r="B403" s="95"/>
      <c r="C403" s="54"/>
      <c r="D403" s="83"/>
      <c r="E403" s="96"/>
      <c r="F403" s="42"/>
      <c r="G403" s="97"/>
      <c r="H403" s="96"/>
      <c r="I403" s="96"/>
      <c r="J403" s="98"/>
      <c r="K403" s="99"/>
      <c r="L403" s="96"/>
      <c r="M403" s="42"/>
      <c r="N403" s="42"/>
      <c r="O403" s="42"/>
      <c r="P403" s="83"/>
      <c r="Q403" s="83"/>
      <c r="R403" s="42"/>
      <c r="S403" s="42"/>
      <c r="T403" s="43" t="str">
        <f>IFERROR(__xludf.DUMMYFUNCTION("IFERROR(VLOOKUP(C403,IMPORTRANGE(""https://docs.google.com/spreadsheets/d/1RmEXtNg60OGvqZjyMxiYNPJ6S_kcz01v57qrHugDWVc/edit#gid=0"",""Chegadas!E:AQ""),19,0),"""")"),"")</f>
        <v/>
      </c>
      <c r="U403" s="100"/>
      <c r="V403" s="98"/>
      <c r="W403" s="98"/>
    </row>
    <row r="404" hidden="1">
      <c r="A404" s="95"/>
      <c r="B404" s="95"/>
      <c r="C404" s="54"/>
      <c r="D404" s="83"/>
      <c r="E404" s="96"/>
      <c r="F404" s="42"/>
      <c r="G404" s="97"/>
      <c r="H404" s="96"/>
      <c r="I404" s="96"/>
      <c r="J404" s="98"/>
      <c r="K404" s="99"/>
      <c r="L404" s="96"/>
      <c r="M404" s="42"/>
      <c r="N404" s="42"/>
      <c r="O404" s="42"/>
      <c r="P404" s="83"/>
      <c r="Q404" s="83"/>
      <c r="R404" s="42"/>
      <c r="S404" s="42"/>
      <c r="T404" s="43" t="str">
        <f>IFERROR(__xludf.DUMMYFUNCTION("IFERROR(VLOOKUP(C404,IMPORTRANGE(""https://docs.google.com/spreadsheets/d/1RmEXtNg60OGvqZjyMxiYNPJ6S_kcz01v57qrHugDWVc/edit#gid=0"",""Chegadas!E:AQ""),19,0),"""")"),"")</f>
        <v/>
      </c>
      <c r="U404" s="100"/>
      <c r="V404" s="98"/>
      <c r="W404" s="98"/>
    </row>
    <row r="405" hidden="1">
      <c r="A405" s="95"/>
      <c r="B405" s="95"/>
      <c r="C405" s="54"/>
      <c r="D405" s="83"/>
      <c r="E405" s="96"/>
      <c r="F405" s="42"/>
      <c r="G405" s="97"/>
      <c r="H405" s="96"/>
      <c r="I405" s="96"/>
      <c r="J405" s="98"/>
      <c r="K405" s="99"/>
      <c r="L405" s="96"/>
      <c r="M405" s="42"/>
      <c r="N405" s="42"/>
      <c r="O405" s="42"/>
      <c r="P405" s="83"/>
      <c r="Q405" s="83"/>
      <c r="R405" s="42"/>
      <c r="S405" s="42"/>
      <c r="T405" s="43" t="str">
        <f>IFERROR(__xludf.DUMMYFUNCTION("IFERROR(VLOOKUP(C405,IMPORTRANGE(""https://docs.google.com/spreadsheets/d/1RmEXtNg60OGvqZjyMxiYNPJ6S_kcz01v57qrHugDWVc/edit#gid=0"",""Chegadas!E:AQ""),19,0),"""")"),"")</f>
        <v/>
      </c>
      <c r="U405" s="100"/>
      <c r="V405" s="98"/>
      <c r="W405" s="98"/>
    </row>
    <row r="406" hidden="1">
      <c r="A406" s="95"/>
      <c r="B406" s="95"/>
      <c r="C406" s="54"/>
      <c r="D406" s="83"/>
      <c r="E406" s="96"/>
      <c r="F406" s="42"/>
      <c r="G406" s="97"/>
      <c r="H406" s="96"/>
      <c r="I406" s="96"/>
      <c r="J406" s="98"/>
      <c r="K406" s="99"/>
      <c r="L406" s="96"/>
      <c r="M406" s="42"/>
      <c r="N406" s="42"/>
      <c r="O406" s="42"/>
      <c r="P406" s="83"/>
      <c r="Q406" s="83"/>
      <c r="R406" s="42"/>
      <c r="S406" s="42"/>
      <c r="T406" s="43" t="str">
        <f>IFERROR(__xludf.DUMMYFUNCTION("IFERROR(VLOOKUP(C406,IMPORTRANGE(""https://docs.google.com/spreadsheets/d/1RmEXtNg60OGvqZjyMxiYNPJ6S_kcz01v57qrHugDWVc/edit#gid=0"",""Chegadas!E:AQ""),19,0),"""")"),"")</f>
        <v/>
      </c>
      <c r="U406" s="100"/>
      <c r="V406" s="98"/>
      <c r="W406" s="98"/>
    </row>
    <row r="407" hidden="1">
      <c r="A407" s="95"/>
      <c r="B407" s="95"/>
      <c r="C407" s="54"/>
      <c r="D407" s="83"/>
      <c r="E407" s="96"/>
      <c r="F407" s="42"/>
      <c r="G407" s="97"/>
      <c r="H407" s="96"/>
      <c r="I407" s="96"/>
      <c r="J407" s="98"/>
      <c r="K407" s="99"/>
      <c r="L407" s="96"/>
      <c r="M407" s="42"/>
      <c r="N407" s="42"/>
      <c r="O407" s="42"/>
      <c r="P407" s="83"/>
      <c r="Q407" s="83"/>
      <c r="R407" s="42"/>
      <c r="S407" s="42"/>
      <c r="T407" s="43" t="str">
        <f>IFERROR(__xludf.DUMMYFUNCTION("IFERROR(VLOOKUP(C407,IMPORTRANGE(""https://docs.google.com/spreadsheets/d/1RmEXtNg60OGvqZjyMxiYNPJ6S_kcz01v57qrHugDWVc/edit#gid=0"",""Chegadas!E:AQ""),19,0),"""")"),"")</f>
        <v/>
      </c>
      <c r="U407" s="100"/>
      <c r="V407" s="98"/>
      <c r="W407" s="98"/>
    </row>
    <row r="408" hidden="1">
      <c r="A408" s="95"/>
      <c r="B408" s="95"/>
      <c r="C408" s="54"/>
      <c r="D408" s="83"/>
      <c r="E408" s="96"/>
      <c r="F408" s="42"/>
      <c r="G408" s="97"/>
      <c r="H408" s="96"/>
      <c r="I408" s="96"/>
      <c r="J408" s="98"/>
      <c r="K408" s="99"/>
      <c r="L408" s="96"/>
      <c r="M408" s="42"/>
      <c r="N408" s="42"/>
      <c r="O408" s="42"/>
      <c r="P408" s="83"/>
      <c r="Q408" s="83"/>
      <c r="R408" s="42"/>
      <c r="S408" s="42"/>
      <c r="T408" s="43" t="str">
        <f>IFERROR(__xludf.DUMMYFUNCTION("IFERROR(VLOOKUP(C408,IMPORTRANGE(""https://docs.google.com/spreadsheets/d/1RmEXtNg60OGvqZjyMxiYNPJ6S_kcz01v57qrHugDWVc/edit#gid=0"",""Chegadas!E:AQ""),19,0),"""")"),"")</f>
        <v/>
      </c>
      <c r="U408" s="100"/>
      <c r="V408" s="98"/>
      <c r="W408" s="98"/>
    </row>
    <row r="409" hidden="1">
      <c r="A409" s="95"/>
      <c r="B409" s="95"/>
      <c r="C409" s="54"/>
      <c r="D409" s="83"/>
      <c r="E409" s="96"/>
      <c r="F409" s="42"/>
      <c r="G409" s="97"/>
      <c r="H409" s="96"/>
      <c r="I409" s="96"/>
      <c r="J409" s="98"/>
      <c r="K409" s="99"/>
      <c r="L409" s="96"/>
      <c r="M409" s="42"/>
      <c r="N409" s="42"/>
      <c r="O409" s="42"/>
      <c r="P409" s="83"/>
      <c r="Q409" s="83"/>
      <c r="R409" s="42"/>
      <c r="S409" s="42"/>
      <c r="T409" s="43" t="str">
        <f>IFERROR(__xludf.DUMMYFUNCTION("IFERROR(VLOOKUP(C409,IMPORTRANGE(""https://docs.google.com/spreadsheets/d/1RmEXtNg60OGvqZjyMxiYNPJ6S_kcz01v57qrHugDWVc/edit#gid=0"",""Chegadas!E:AQ""),19,0),"""")"),"")</f>
        <v/>
      </c>
      <c r="U409" s="100"/>
      <c r="V409" s="98"/>
      <c r="W409" s="98"/>
    </row>
    <row r="410" hidden="1">
      <c r="A410" s="95"/>
      <c r="B410" s="95"/>
      <c r="C410" s="54"/>
      <c r="D410" s="83"/>
      <c r="E410" s="96"/>
      <c r="F410" s="42"/>
      <c r="G410" s="97"/>
      <c r="H410" s="96"/>
      <c r="I410" s="96"/>
      <c r="J410" s="98"/>
      <c r="K410" s="99"/>
      <c r="L410" s="96"/>
      <c r="M410" s="42"/>
      <c r="N410" s="42"/>
      <c r="O410" s="42"/>
      <c r="P410" s="83"/>
      <c r="Q410" s="83"/>
      <c r="R410" s="42"/>
      <c r="S410" s="42"/>
      <c r="T410" s="43" t="str">
        <f>IFERROR(__xludf.DUMMYFUNCTION("IFERROR(VLOOKUP(C410,IMPORTRANGE(""https://docs.google.com/spreadsheets/d/1RmEXtNg60OGvqZjyMxiYNPJ6S_kcz01v57qrHugDWVc/edit#gid=0"",""Chegadas!E:AQ""),19,0),"""")"),"")</f>
        <v/>
      </c>
      <c r="U410" s="100"/>
      <c r="V410" s="98"/>
      <c r="W410" s="98"/>
    </row>
    <row r="411" hidden="1">
      <c r="A411" s="95"/>
      <c r="B411" s="95"/>
      <c r="C411" s="54"/>
      <c r="D411" s="83"/>
      <c r="E411" s="96"/>
      <c r="F411" s="42"/>
      <c r="G411" s="97"/>
      <c r="H411" s="96"/>
      <c r="I411" s="96"/>
      <c r="J411" s="98"/>
      <c r="K411" s="99"/>
      <c r="L411" s="96"/>
      <c r="M411" s="42"/>
      <c r="N411" s="42"/>
      <c r="O411" s="42"/>
      <c r="P411" s="83"/>
      <c r="Q411" s="83"/>
      <c r="R411" s="42"/>
      <c r="S411" s="42"/>
      <c r="T411" s="43" t="str">
        <f>IFERROR(__xludf.DUMMYFUNCTION("IFERROR(VLOOKUP(C411,IMPORTRANGE(""https://docs.google.com/spreadsheets/d/1RmEXtNg60OGvqZjyMxiYNPJ6S_kcz01v57qrHugDWVc/edit#gid=0"",""Chegadas!E:AQ""),19,0),"""")"),"")</f>
        <v/>
      </c>
      <c r="U411" s="100"/>
      <c r="V411" s="98"/>
      <c r="W411" s="98"/>
    </row>
    <row r="412" hidden="1">
      <c r="A412" s="95"/>
      <c r="B412" s="95"/>
      <c r="C412" s="54"/>
      <c r="D412" s="83"/>
      <c r="E412" s="96"/>
      <c r="F412" s="42"/>
      <c r="G412" s="97"/>
      <c r="H412" s="96"/>
      <c r="I412" s="96"/>
      <c r="J412" s="98"/>
      <c r="K412" s="99"/>
      <c r="L412" s="96"/>
      <c r="M412" s="42"/>
      <c r="N412" s="42"/>
      <c r="O412" s="42"/>
      <c r="P412" s="83"/>
      <c r="Q412" s="83"/>
      <c r="R412" s="42"/>
      <c r="S412" s="42"/>
      <c r="T412" s="43" t="str">
        <f>IFERROR(__xludf.DUMMYFUNCTION("IFERROR(VLOOKUP(C412,IMPORTRANGE(""https://docs.google.com/spreadsheets/d/1RmEXtNg60OGvqZjyMxiYNPJ6S_kcz01v57qrHugDWVc/edit#gid=0"",""Chegadas!E:AQ""),19,0),"""")"),"")</f>
        <v/>
      </c>
      <c r="U412" s="100"/>
      <c r="V412" s="98"/>
      <c r="W412" s="98"/>
    </row>
    <row r="413" hidden="1">
      <c r="A413" s="95"/>
      <c r="B413" s="95"/>
      <c r="C413" s="54"/>
      <c r="D413" s="83"/>
      <c r="E413" s="96"/>
      <c r="F413" s="42"/>
      <c r="G413" s="97"/>
      <c r="H413" s="96"/>
      <c r="I413" s="96"/>
      <c r="J413" s="98"/>
      <c r="K413" s="99"/>
      <c r="L413" s="96"/>
      <c r="M413" s="42"/>
      <c r="N413" s="42"/>
      <c r="O413" s="42"/>
      <c r="P413" s="83"/>
      <c r="Q413" s="83"/>
      <c r="R413" s="42"/>
      <c r="S413" s="42"/>
      <c r="T413" s="43" t="str">
        <f>IFERROR(__xludf.DUMMYFUNCTION("IFERROR(VLOOKUP(C413,IMPORTRANGE(""https://docs.google.com/spreadsheets/d/1RmEXtNg60OGvqZjyMxiYNPJ6S_kcz01v57qrHugDWVc/edit#gid=0"",""Chegadas!E:AQ""),19,0),"""")"),"")</f>
        <v/>
      </c>
      <c r="U413" s="100"/>
      <c r="V413" s="98"/>
      <c r="W413" s="98"/>
    </row>
    <row r="414" hidden="1">
      <c r="A414" s="95"/>
      <c r="B414" s="95"/>
      <c r="C414" s="54"/>
      <c r="D414" s="83"/>
      <c r="E414" s="96"/>
      <c r="F414" s="42"/>
      <c r="G414" s="97"/>
      <c r="H414" s="96"/>
      <c r="I414" s="96"/>
      <c r="J414" s="98"/>
      <c r="K414" s="99"/>
      <c r="L414" s="96"/>
      <c r="M414" s="42"/>
      <c r="N414" s="42"/>
      <c r="O414" s="42"/>
      <c r="P414" s="83"/>
      <c r="Q414" s="83"/>
      <c r="R414" s="42"/>
      <c r="S414" s="42"/>
      <c r="T414" s="43" t="str">
        <f>IFERROR(__xludf.DUMMYFUNCTION("IFERROR(VLOOKUP(C414,IMPORTRANGE(""https://docs.google.com/spreadsheets/d/1RmEXtNg60OGvqZjyMxiYNPJ6S_kcz01v57qrHugDWVc/edit#gid=0"",""Chegadas!E:AQ""),19,0),"""")"),"")</f>
        <v/>
      </c>
      <c r="U414" s="100"/>
      <c r="V414" s="98"/>
      <c r="W414" s="98"/>
    </row>
    <row r="415" hidden="1">
      <c r="A415" s="95"/>
      <c r="B415" s="95"/>
      <c r="C415" s="54"/>
      <c r="D415" s="83"/>
      <c r="E415" s="96"/>
      <c r="F415" s="42"/>
      <c r="G415" s="97"/>
      <c r="H415" s="96"/>
      <c r="I415" s="96"/>
      <c r="J415" s="98"/>
      <c r="K415" s="99"/>
      <c r="L415" s="96"/>
      <c r="M415" s="42"/>
      <c r="N415" s="42"/>
      <c r="O415" s="42"/>
      <c r="P415" s="83"/>
      <c r="Q415" s="83"/>
      <c r="R415" s="42"/>
      <c r="S415" s="42"/>
      <c r="T415" s="43" t="str">
        <f>IFERROR(__xludf.DUMMYFUNCTION("IFERROR(VLOOKUP(C415,IMPORTRANGE(""https://docs.google.com/spreadsheets/d/1RmEXtNg60OGvqZjyMxiYNPJ6S_kcz01v57qrHugDWVc/edit#gid=0"",""Chegadas!E:AQ""),19,0),"""")"),"")</f>
        <v/>
      </c>
      <c r="U415" s="100"/>
      <c r="V415" s="98"/>
      <c r="W415" s="98"/>
    </row>
    <row r="416" hidden="1">
      <c r="A416" s="95"/>
      <c r="B416" s="95"/>
      <c r="C416" s="54"/>
      <c r="D416" s="83"/>
      <c r="E416" s="96"/>
      <c r="F416" s="42"/>
      <c r="G416" s="97"/>
      <c r="H416" s="96"/>
      <c r="I416" s="96"/>
      <c r="J416" s="98"/>
      <c r="K416" s="99"/>
      <c r="L416" s="96"/>
      <c r="M416" s="42"/>
      <c r="N416" s="42"/>
      <c r="O416" s="42"/>
      <c r="P416" s="83"/>
      <c r="Q416" s="83"/>
      <c r="R416" s="42"/>
      <c r="S416" s="42"/>
      <c r="T416" s="43" t="str">
        <f>IFERROR(__xludf.DUMMYFUNCTION("IFERROR(VLOOKUP(C416,IMPORTRANGE(""https://docs.google.com/spreadsheets/d/1RmEXtNg60OGvqZjyMxiYNPJ6S_kcz01v57qrHugDWVc/edit#gid=0"",""Chegadas!E:AQ""),19,0),"""")"),"")</f>
        <v/>
      </c>
      <c r="U416" s="100"/>
      <c r="V416" s="98"/>
      <c r="W416" s="98"/>
    </row>
    <row r="417" hidden="1">
      <c r="A417" s="95"/>
      <c r="B417" s="95"/>
      <c r="C417" s="54"/>
      <c r="D417" s="83"/>
      <c r="E417" s="96"/>
      <c r="F417" s="42"/>
      <c r="G417" s="97"/>
      <c r="H417" s="96"/>
      <c r="I417" s="96"/>
      <c r="J417" s="98"/>
      <c r="K417" s="99"/>
      <c r="L417" s="96"/>
      <c r="M417" s="42"/>
      <c r="N417" s="42"/>
      <c r="O417" s="42"/>
      <c r="P417" s="83"/>
      <c r="Q417" s="83"/>
      <c r="R417" s="42"/>
      <c r="S417" s="42"/>
      <c r="T417" s="43" t="str">
        <f>IFERROR(__xludf.DUMMYFUNCTION("IFERROR(VLOOKUP(C417,IMPORTRANGE(""https://docs.google.com/spreadsheets/d/1RmEXtNg60OGvqZjyMxiYNPJ6S_kcz01v57qrHugDWVc/edit#gid=0"",""Chegadas!E:AQ""),19,0),"""")"),"")</f>
        <v/>
      </c>
      <c r="U417" s="100"/>
      <c r="V417" s="98"/>
      <c r="W417" s="98"/>
    </row>
    <row r="418" hidden="1">
      <c r="A418" s="95"/>
      <c r="B418" s="95"/>
      <c r="C418" s="54"/>
      <c r="D418" s="83"/>
      <c r="E418" s="96"/>
      <c r="F418" s="42"/>
      <c r="G418" s="97"/>
      <c r="H418" s="96"/>
      <c r="I418" s="96"/>
      <c r="J418" s="98"/>
      <c r="K418" s="99"/>
      <c r="L418" s="96"/>
      <c r="M418" s="42"/>
      <c r="N418" s="42"/>
      <c r="O418" s="42"/>
      <c r="P418" s="83"/>
      <c r="Q418" s="83"/>
      <c r="R418" s="42"/>
      <c r="S418" s="42"/>
      <c r="T418" s="43" t="str">
        <f>IFERROR(__xludf.DUMMYFUNCTION("IFERROR(VLOOKUP(C418,IMPORTRANGE(""https://docs.google.com/spreadsheets/d/1RmEXtNg60OGvqZjyMxiYNPJ6S_kcz01v57qrHugDWVc/edit#gid=0"",""Chegadas!E:AQ""),19,0),"""")"),"")</f>
        <v/>
      </c>
      <c r="U418" s="100"/>
      <c r="V418" s="98"/>
      <c r="W418" s="98"/>
    </row>
    <row r="419" hidden="1">
      <c r="A419" s="95"/>
      <c r="B419" s="95"/>
      <c r="C419" s="54"/>
      <c r="D419" s="83"/>
      <c r="E419" s="96"/>
      <c r="F419" s="42"/>
      <c r="G419" s="97"/>
      <c r="H419" s="96"/>
      <c r="I419" s="96"/>
      <c r="J419" s="98"/>
      <c r="K419" s="99"/>
      <c r="L419" s="96"/>
      <c r="M419" s="42"/>
      <c r="N419" s="42"/>
      <c r="O419" s="42"/>
      <c r="P419" s="83"/>
      <c r="Q419" s="83"/>
      <c r="R419" s="42"/>
      <c r="S419" s="42"/>
      <c r="T419" s="43" t="str">
        <f>IFERROR(__xludf.DUMMYFUNCTION("IFERROR(VLOOKUP(C419,IMPORTRANGE(""https://docs.google.com/spreadsheets/d/1RmEXtNg60OGvqZjyMxiYNPJ6S_kcz01v57qrHugDWVc/edit#gid=0"",""Chegadas!E:AQ""),19,0),"""")"),"")</f>
        <v/>
      </c>
      <c r="U419" s="100"/>
      <c r="V419" s="98"/>
      <c r="W419" s="98"/>
    </row>
    <row r="420" hidden="1">
      <c r="A420" s="95"/>
      <c r="B420" s="95"/>
      <c r="C420" s="54"/>
      <c r="D420" s="83"/>
      <c r="E420" s="96"/>
      <c r="F420" s="42"/>
      <c r="G420" s="97"/>
      <c r="H420" s="96"/>
      <c r="I420" s="96"/>
      <c r="J420" s="98"/>
      <c r="K420" s="99"/>
      <c r="L420" s="96"/>
      <c r="M420" s="42"/>
      <c r="N420" s="42"/>
      <c r="O420" s="42"/>
      <c r="P420" s="83"/>
      <c r="Q420" s="83"/>
      <c r="R420" s="42"/>
      <c r="S420" s="42"/>
      <c r="T420" s="43" t="str">
        <f>IFERROR(__xludf.DUMMYFUNCTION("IFERROR(VLOOKUP(C420,IMPORTRANGE(""https://docs.google.com/spreadsheets/d/1RmEXtNg60OGvqZjyMxiYNPJ6S_kcz01v57qrHugDWVc/edit#gid=0"",""Chegadas!E:AQ""),19,0),"""")"),"")</f>
        <v/>
      </c>
      <c r="U420" s="100"/>
      <c r="V420" s="98"/>
      <c r="W420" s="98"/>
    </row>
    <row r="421" hidden="1">
      <c r="A421" s="95"/>
      <c r="B421" s="95"/>
      <c r="C421" s="54"/>
      <c r="D421" s="83"/>
      <c r="E421" s="96"/>
      <c r="F421" s="42"/>
      <c r="G421" s="97"/>
      <c r="H421" s="96"/>
      <c r="I421" s="96"/>
      <c r="J421" s="98"/>
      <c r="K421" s="99"/>
      <c r="L421" s="96"/>
      <c r="M421" s="42"/>
      <c r="N421" s="42"/>
      <c r="O421" s="42"/>
      <c r="P421" s="83"/>
      <c r="Q421" s="83"/>
      <c r="R421" s="42"/>
      <c r="S421" s="42"/>
      <c r="T421" s="43" t="str">
        <f>IFERROR(__xludf.DUMMYFUNCTION("IFERROR(VLOOKUP(C421,IMPORTRANGE(""https://docs.google.com/spreadsheets/d/1RmEXtNg60OGvqZjyMxiYNPJ6S_kcz01v57qrHugDWVc/edit#gid=0"",""Chegadas!E:AQ""),19,0),"""")"),"")</f>
        <v/>
      </c>
      <c r="U421" s="100"/>
      <c r="V421" s="98"/>
      <c r="W421" s="98"/>
    </row>
    <row r="422" hidden="1">
      <c r="A422" s="95"/>
      <c r="B422" s="95"/>
      <c r="C422" s="54"/>
      <c r="D422" s="83"/>
      <c r="E422" s="96"/>
      <c r="F422" s="42"/>
      <c r="G422" s="97"/>
      <c r="H422" s="96"/>
      <c r="I422" s="96"/>
      <c r="J422" s="98"/>
      <c r="K422" s="99"/>
      <c r="L422" s="96"/>
      <c r="M422" s="42"/>
      <c r="N422" s="42"/>
      <c r="O422" s="42"/>
      <c r="P422" s="83"/>
      <c r="Q422" s="83"/>
      <c r="R422" s="42"/>
      <c r="S422" s="42"/>
      <c r="T422" s="43" t="str">
        <f>IFERROR(__xludf.DUMMYFUNCTION("IFERROR(VLOOKUP(C422,IMPORTRANGE(""https://docs.google.com/spreadsheets/d/1RmEXtNg60OGvqZjyMxiYNPJ6S_kcz01v57qrHugDWVc/edit#gid=0"",""Chegadas!E:AQ""),19,0),"""")"),"")</f>
        <v/>
      </c>
      <c r="U422" s="100"/>
      <c r="V422" s="98"/>
      <c r="W422" s="98"/>
    </row>
    <row r="423" hidden="1">
      <c r="A423" s="95"/>
      <c r="B423" s="95"/>
      <c r="C423" s="54"/>
      <c r="D423" s="83"/>
      <c r="E423" s="96"/>
      <c r="F423" s="42"/>
      <c r="G423" s="97"/>
      <c r="H423" s="96"/>
      <c r="I423" s="96"/>
      <c r="J423" s="98"/>
      <c r="K423" s="99"/>
      <c r="L423" s="96"/>
      <c r="M423" s="42"/>
      <c r="N423" s="42"/>
      <c r="O423" s="42"/>
      <c r="P423" s="83"/>
      <c r="Q423" s="83"/>
      <c r="R423" s="42"/>
      <c r="S423" s="42"/>
      <c r="T423" s="43" t="str">
        <f>IFERROR(__xludf.DUMMYFUNCTION("IFERROR(VLOOKUP(C423,IMPORTRANGE(""https://docs.google.com/spreadsheets/d/1RmEXtNg60OGvqZjyMxiYNPJ6S_kcz01v57qrHugDWVc/edit#gid=0"",""Chegadas!E:AQ""),19,0),"""")"),"")</f>
        <v/>
      </c>
      <c r="U423" s="100"/>
      <c r="V423" s="98"/>
      <c r="W423" s="98"/>
    </row>
    <row r="424" hidden="1">
      <c r="A424" s="95"/>
      <c r="B424" s="95"/>
      <c r="C424" s="54"/>
      <c r="D424" s="83"/>
      <c r="E424" s="96"/>
      <c r="F424" s="42"/>
      <c r="G424" s="97"/>
      <c r="H424" s="96"/>
      <c r="I424" s="96"/>
      <c r="J424" s="98"/>
      <c r="K424" s="99"/>
      <c r="L424" s="96"/>
      <c r="M424" s="42"/>
      <c r="N424" s="42"/>
      <c r="O424" s="42"/>
      <c r="P424" s="83"/>
      <c r="Q424" s="83"/>
      <c r="R424" s="42"/>
      <c r="S424" s="42"/>
      <c r="T424" s="43" t="str">
        <f>IFERROR(__xludf.DUMMYFUNCTION("IFERROR(VLOOKUP(C424,IMPORTRANGE(""https://docs.google.com/spreadsheets/d/1RmEXtNg60OGvqZjyMxiYNPJ6S_kcz01v57qrHugDWVc/edit#gid=0"",""Chegadas!E:AQ""),19,0),"""")"),"")</f>
        <v/>
      </c>
      <c r="U424" s="100"/>
      <c r="V424" s="98"/>
      <c r="W424" s="98"/>
    </row>
    <row r="425" hidden="1">
      <c r="A425" s="95"/>
      <c r="B425" s="95"/>
      <c r="C425" s="54"/>
      <c r="D425" s="83"/>
      <c r="E425" s="96"/>
      <c r="F425" s="42"/>
      <c r="G425" s="97"/>
      <c r="H425" s="96"/>
      <c r="I425" s="96"/>
      <c r="J425" s="98"/>
      <c r="K425" s="99"/>
      <c r="L425" s="96"/>
      <c r="M425" s="42"/>
      <c r="N425" s="42"/>
      <c r="O425" s="42"/>
      <c r="P425" s="83"/>
      <c r="Q425" s="83"/>
      <c r="R425" s="42"/>
      <c r="S425" s="42"/>
      <c r="T425" s="43" t="str">
        <f>IFERROR(__xludf.DUMMYFUNCTION("IFERROR(VLOOKUP(C425,IMPORTRANGE(""https://docs.google.com/spreadsheets/d/1RmEXtNg60OGvqZjyMxiYNPJ6S_kcz01v57qrHugDWVc/edit#gid=0"",""Chegadas!E:AQ""),19,0),"""")"),"")</f>
        <v/>
      </c>
      <c r="U425" s="100"/>
      <c r="V425" s="98"/>
      <c r="W425" s="98"/>
    </row>
    <row r="426" hidden="1">
      <c r="A426" s="95"/>
      <c r="B426" s="95"/>
      <c r="C426" s="54"/>
      <c r="D426" s="83"/>
      <c r="E426" s="96"/>
      <c r="F426" s="42"/>
      <c r="G426" s="97"/>
      <c r="H426" s="96"/>
      <c r="I426" s="96"/>
      <c r="J426" s="98"/>
      <c r="K426" s="99"/>
      <c r="L426" s="96"/>
      <c r="M426" s="42"/>
      <c r="N426" s="42"/>
      <c r="O426" s="42"/>
      <c r="P426" s="83"/>
      <c r="Q426" s="83"/>
      <c r="R426" s="42"/>
      <c r="S426" s="42"/>
      <c r="T426" s="43" t="str">
        <f>IFERROR(__xludf.DUMMYFUNCTION("IFERROR(VLOOKUP(C426,IMPORTRANGE(""https://docs.google.com/spreadsheets/d/1RmEXtNg60OGvqZjyMxiYNPJ6S_kcz01v57qrHugDWVc/edit#gid=0"",""Chegadas!E:AQ""),19,0),"""")"),"")</f>
        <v/>
      </c>
      <c r="U426" s="100"/>
      <c r="V426" s="98"/>
      <c r="W426" s="98"/>
    </row>
    <row r="427" hidden="1">
      <c r="A427" s="95"/>
      <c r="B427" s="95"/>
      <c r="C427" s="54"/>
      <c r="D427" s="83"/>
      <c r="E427" s="96"/>
      <c r="F427" s="42"/>
      <c r="G427" s="97"/>
      <c r="H427" s="96"/>
      <c r="I427" s="96"/>
      <c r="J427" s="98"/>
      <c r="K427" s="99"/>
      <c r="L427" s="96"/>
      <c r="M427" s="42"/>
      <c r="N427" s="42"/>
      <c r="O427" s="42"/>
      <c r="P427" s="83"/>
      <c r="Q427" s="83"/>
      <c r="R427" s="42"/>
      <c r="S427" s="42"/>
      <c r="T427" s="43" t="str">
        <f>IFERROR(__xludf.DUMMYFUNCTION("IFERROR(VLOOKUP(C427,IMPORTRANGE(""https://docs.google.com/spreadsheets/d/1RmEXtNg60OGvqZjyMxiYNPJ6S_kcz01v57qrHugDWVc/edit#gid=0"",""Chegadas!E:AQ""),19,0),"""")"),"")</f>
        <v/>
      </c>
      <c r="U427" s="100"/>
      <c r="V427" s="98"/>
      <c r="W427" s="98"/>
    </row>
    <row r="428" hidden="1">
      <c r="A428" s="95"/>
      <c r="B428" s="95"/>
      <c r="C428" s="54"/>
      <c r="D428" s="83"/>
      <c r="E428" s="96"/>
      <c r="F428" s="42"/>
      <c r="G428" s="97"/>
      <c r="H428" s="96"/>
      <c r="I428" s="96"/>
      <c r="J428" s="98"/>
      <c r="K428" s="99"/>
      <c r="L428" s="96"/>
      <c r="M428" s="42"/>
      <c r="N428" s="42"/>
      <c r="O428" s="42"/>
      <c r="P428" s="83"/>
      <c r="Q428" s="83"/>
      <c r="R428" s="42"/>
      <c r="S428" s="42"/>
      <c r="T428" s="43" t="str">
        <f>IFERROR(__xludf.DUMMYFUNCTION("IFERROR(VLOOKUP(C428,IMPORTRANGE(""https://docs.google.com/spreadsheets/d/1RmEXtNg60OGvqZjyMxiYNPJ6S_kcz01v57qrHugDWVc/edit#gid=0"",""Chegadas!E:AQ""),19,0),"""")"),"")</f>
        <v/>
      </c>
      <c r="U428" s="100"/>
      <c r="V428" s="98"/>
      <c r="W428" s="98"/>
    </row>
    <row r="429" hidden="1">
      <c r="A429" s="95"/>
      <c r="B429" s="95"/>
      <c r="C429" s="54"/>
      <c r="D429" s="83"/>
      <c r="E429" s="96"/>
      <c r="F429" s="42"/>
      <c r="G429" s="97"/>
      <c r="H429" s="96"/>
      <c r="I429" s="96"/>
      <c r="J429" s="98"/>
      <c r="K429" s="99"/>
      <c r="L429" s="96"/>
      <c r="M429" s="42"/>
      <c r="N429" s="42"/>
      <c r="O429" s="42"/>
      <c r="P429" s="83"/>
      <c r="Q429" s="83"/>
      <c r="R429" s="42"/>
      <c r="S429" s="42"/>
      <c r="T429" s="43" t="str">
        <f>IFERROR(__xludf.DUMMYFUNCTION("IFERROR(VLOOKUP(C429,IMPORTRANGE(""https://docs.google.com/spreadsheets/d/1RmEXtNg60OGvqZjyMxiYNPJ6S_kcz01v57qrHugDWVc/edit#gid=0"",""Chegadas!E:AQ""),19,0),"""")"),"")</f>
        <v/>
      </c>
      <c r="U429" s="100"/>
      <c r="V429" s="98"/>
      <c r="W429" s="98"/>
    </row>
    <row r="430" hidden="1">
      <c r="A430" s="95"/>
      <c r="B430" s="95"/>
      <c r="C430" s="54"/>
      <c r="D430" s="83"/>
      <c r="E430" s="96"/>
      <c r="F430" s="42"/>
      <c r="G430" s="97"/>
      <c r="H430" s="96"/>
      <c r="I430" s="96"/>
      <c r="J430" s="98"/>
      <c r="K430" s="99"/>
      <c r="L430" s="96"/>
      <c r="M430" s="42"/>
      <c r="N430" s="42"/>
      <c r="O430" s="42"/>
      <c r="P430" s="83"/>
      <c r="Q430" s="83"/>
      <c r="R430" s="42"/>
      <c r="S430" s="42"/>
      <c r="T430" s="43" t="str">
        <f>IFERROR(__xludf.DUMMYFUNCTION("IFERROR(VLOOKUP(C430,IMPORTRANGE(""https://docs.google.com/spreadsheets/d/1RmEXtNg60OGvqZjyMxiYNPJ6S_kcz01v57qrHugDWVc/edit#gid=0"",""Chegadas!E:AQ""),19,0),"""")"),"")</f>
        <v/>
      </c>
      <c r="U430" s="100"/>
      <c r="V430" s="98"/>
      <c r="W430" s="98"/>
    </row>
    <row r="431" hidden="1">
      <c r="A431" s="95"/>
      <c r="B431" s="95"/>
      <c r="C431" s="54"/>
      <c r="D431" s="83"/>
      <c r="E431" s="96"/>
      <c r="F431" s="42"/>
      <c r="G431" s="97"/>
      <c r="H431" s="96"/>
      <c r="I431" s="96"/>
      <c r="J431" s="98"/>
      <c r="K431" s="99"/>
      <c r="L431" s="96"/>
      <c r="M431" s="42"/>
      <c r="N431" s="42"/>
      <c r="O431" s="42"/>
      <c r="P431" s="83"/>
      <c r="Q431" s="83"/>
      <c r="R431" s="42"/>
      <c r="S431" s="42"/>
      <c r="T431" s="43" t="str">
        <f>IFERROR(__xludf.DUMMYFUNCTION("IFERROR(VLOOKUP(C431,IMPORTRANGE(""https://docs.google.com/spreadsheets/d/1RmEXtNg60OGvqZjyMxiYNPJ6S_kcz01v57qrHugDWVc/edit#gid=0"",""Chegadas!E:AQ""),19,0),"""")"),"")</f>
        <v/>
      </c>
      <c r="U431" s="100"/>
      <c r="V431" s="98"/>
      <c r="W431" s="98"/>
    </row>
    <row r="432" hidden="1">
      <c r="A432" s="95"/>
      <c r="B432" s="95"/>
      <c r="C432" s="54"/>
      <c r="D432" s="83"/>
      <c r="E432" s="96"/>
      <c r="F432" s="42"/>
      <c r="G432" s="97"/>
      <c r="H432" s="96"/>
      <c r="I432" s="96"/>
      <c r="J432" s="98"/>
      <c r="K432" s="99"/>
      <c r="L432" s="96"/>
      <c r="M432" s="42"/>
      <c r="N432" s="42"/>
      <c r="O432" s="42"/>
      <c r="P432" s="83"/>
      <c r="Q432" s="83"/>
      <c r="R432" s="42"/>
      <c r="S432" s="42"/>
      <c r="T432" s="43" t="str">
        <f>IFERROR(__xludf.DUMMYFUNCTION("IFERROR(VLOOKUP(C432,IMPORTRANGE(""https://docs.google.com/spreadsheets/d/1RmEXtNg60OGvqZjyMxiYNPJ6S_kcz01v57qrHugDWVc/edit#gid=0"",""Chegadas!E:AQ""),19,0),"""")"),"")</f>
        <v/>
      </c>
      <c r="U432" s="100"/>
      <c r="V432" s="98"/>
      <c r="W432" s="98"/>
    </row>
    <row r="433" hidden="1">
      <c r="A433" s="95"/>
      <c r="B433" s="95"/>
      <c r="C433" s="54"/>
      <c r="D433" s="83"/>
      <c r="E433" s="96"/>
      <c r="F433" s="42"/>
      <c r="G433" s="97"/>
      <c r="H433" s="96"/>
      <c r="I433" s="96"/>
      <c r="J433" s="98"/>
      <c r="K433" s="99"/>
      <c r="L433" s="96"/>
      <c r="M433" s="42"/>
      <c r="N433" s="42"/>
      <c r="O433" s="42"/>
      <c r="P433" s="83"/>
      <c r="Q433" s="83"/>
      <c r="R433" s="42"/>
      <c r="S433" s="42"/>
      <c r="T433" s="43" t="str">
        <f>IFERROR(__xludf.DUMMYFUNCTION("IFERROR(VLOOKUP(C433,IMPORTRANGE(""https://docs.google.com/spreadsheets/d/1RmEXtNg60OGvqZjyMxiYNPJ6S_kcz01v57qrHugDWVc/edit#gid=0"",""Chegadas!E:AQ""),19,0),"""")"),"")</f>
        <v/>
      </c>
      <c r="U433" s="100"/>
      <c r="V433" s="98"/>
      <c r="W433" s="98"/>
    </row>
    <row r="434" hidden="1">
      <c r="A434" s="95"/>
      <c r="B434" s="95"/>
      <c r="C434" s="54"/>
      <c r="D434" s="83"/>
      <c r="E434" s="96"/>
      <c r="F434" s="42"/>
      <c r="G434" s="97"/>
      <c r="H434" s="96"/>
      <c r="I434" s="96"/>
      <c r="J434" s="98"/>
      <c r="K434" s="99"/>
      <c r="L434" s="96"/>
      <c r="M434" s="42"/>
      <c r="N434" s="42"/>
      <c r="O434" s="42"/>
      <c r="P434" s="83"/>
      <c r="Q434" s="83"/>
      <c r="R434" s="42"/>
      <c r="S434" s="42"/>
      <c r="T434" s="43" t="str">
        <f>IFERROR(__xludf.DUMMYFUNCTION("IFERROR(VLOOKUP(C434,IMPORTRANGE(""https://docs.google.com/spreadsheets/d/1RmEXtNg60OGvqZjyMxiYNPJ6S_kcz01v57qrHugDWVc/edit#gid=0"",""Chegadas!E:AQ""),19,0),"""")"),"")</f>
        <v/>
      </c>
      <c r="U434" s="100"/>
      <c r="V434" s="98"/>
      <c r="W434" s="98"/>
    </row>
    <row r="435" hidden="1">
      <c r="A435" s="95"/>
      <c r="B435" s="95"/>
      <c r="C435" s="54"/>
      <c r="D435" s="83"/>
      <c r="E435" s="96"/>
      <c r="F435" s="42"/>
      <c r="G435" s="97"/>
      <c r="H435" s="96"/>
      <c r="I435" s="96"/>
      <c r="J435" s="98"/>
      <c r="K435" s="99"/>
      <c r="L435" s="96"/>
      <c r="M435" s="42"/>
      <c r="N435" s="42"/>
      <c r="O435" s="42"/>
      <c r="P435" s="83"/>
      <c r="Q435" s="83"/>
      <c r="R435" s="42"/>
      <c r="S435" s="42"/>
      <c r="T435" s="43" t="str">
        <f>IFERROR(__xludf.DUMMYFUNCTION("IFERROR(VLOOKUP(C435,IMPORTRANGE(""https://docs.google.com/spreadsheets/d/1RmEXtNg60OGvqZjyMxiYNPJ6S_kcz01v57qrHugDWVc/edit#gid=0"",""Chegadas!E:AQ""),19,0),"""")"),"")</f>
        <v/>
      </c>
      <c r="U435" s="100"/>
      <c r="V435" s="98"/>
      <c r="W435" s="98"/>
    </row>
    <row r="436" hidden="1">
      <c r="A436" s="95"/>
      <c r="B436" s="95"/>
      <c r="C436" s="54"/>
      <c r="D436" s="83"/>
      <c r="E436" s="96"/>
      <c r="F436" s="42"/>
      <c r="G436" s="97"/>
      <c r="H436" s="96"/>
      <c r="I436" s="96"/>
      <c r="J436" s="98"/>
      <c r="K436" s="99"/>
      <c r="L436" s="96"/>
      <c r="M436" s="42"/>
      <c r="N436" s="42"/>
      <c r="O436" s="42"/>
      <c r="P436" s="83"/>
      <c r="Q436" s="83"/>
      <c r="R436" s="42"/>
      <c r="S436" s="42"/>
      <c r="T436" s="43" t="str">
        <f>IFERROR(__xludf.DUMMYFUNCTION("IFERROR(VLOOKUP(C436,IMPORTRANGE(""https://docs.google.com/spreadsheets/d/1RmEXtNg60OGvqZjyMxiYNPJ6S_kcz01v57qrHugDWVc/edit#gid=0"",""Chegadas!E:AQ""),19,0),"""")"),"")</f>
        <v/>
      </c>
      <c r="U436" s="100"/>
      <c r="V436" s="98"/>
      <c r="W436" s="98"/>
    </row>
    <row r="437" hidden="1">
      <c r="A437" s="95"/>
      <c r="B437" s="95"/>
      <c r="C437" s="54"/>
      <c r="D437" s="83"/>
      <c r="E437" s="96"/>
      <c r="F437" s="42"/>
      <c r="G437" s="97"/>
      <c r="H437" s="96"/>
      <c r="I437" s="96"/>
      <c r="J437" s="98"/>
      <c r="K437" s="99"/>
      <c r="L437" s="96"/>
      <c r="M437" s="42"/>
      <c r="N437" s="42"/>
      <c r="O437" s="42"/>
      <c r="P437" s="83"/>
      <c r="Q437" s="83"/>
      <c r="R437" s="42"/>
      <c r="S437" s="42"/>
      <c r="T437" s="43" t="str">
        <f>IFERROR(__xludf.DUMMYFUNCTION("IFERROR(VLOOKUP(C437,IMPORTRANGE(""https://docs.google.com/spreadsheets/d/1RmEXtNg60OGvqZjyMxiYNPJ6S_kcz01v57qrHugDWVc/edit#gid=0"",""Chegadas!E:AQ""),19,0),"""")"),"")</f>
        <v/>
      </c>
      <c r="U437" s="100"/>
      <c r="V437" s="98"/>
      <c r="W437" s="98"/>
    </row>
    <row r="438" hidden="1">
      <c r="A438" s="95"/>
      <c r="B438" s="95"/>
      <c r="C438" s="54"/>
      <c r="D438" s="83"/>
      <c r="E438" s="96"/>
      <c r="F438" s="42"/>
      <c r="G438" s="97"/>
      <c r="H438" s="96"/>
      <c r="I438" s="96"/>
      <c r="J438" s="98"/>
      <c r="K438" s="99"/>
      <c r="L438" s="96"/>
      <c r="M438" s="42"/>
      <c r="N438" s="42"/>
      <c r="O438" s="42"/>
      <c r="P438" s="83"/>
      <c r="Q438" s="83"/>
      <c r="R438" s="42"/>
      <c r="S438" s="42"/>
      <c r="T438" s="43" t="str">
        <f>IFERROR(__xludf.DUMMYFUNCTION("IFERROR(VLOOKUP(C438,IMPORTRANGE(""https://docs.google.com/spreadsheets/d/1RmEXtNg60OGvqZjyMxiYNPJ6S_kcz01v57qrHugDWVc/edit#gid=0"",""Chegadas!E:AQ""),19,0),"""")"),"")</f>
        <v/>
      </c>
      <c r="U438" s="100"/>
      <c r="V438" s="98"/>
      <c r="W438" s="98"/>
    </row>
    <row r="439" hidden="1">
      <c r="A439" s="95"/>
      <c r="B439" s="95"/>
      <c r="C439" s="54"/>
      <c r="D439" s="83"/>
      <c r="E439" s="96"/>
      <c r="F439" s="42"/>
      <c r="G439" s="97"/>
      <c r="H439" s="96"/>
      <c r="I439" s="96"/>
      <c r="J439" s="98"/>
      <c r="K439" s="99"/>
      <c r="L439" s="96"/>
      <c r="M439" s="42"/>
      <c r="N439" s="42"/>
      <c r="O439" s="42"/>
      <c r="P439" s="83"/>
      <c r="Q439" s="83"/>
      <c r="R439" s="42"/>
      <c r="S439" s="42"/>
      <c r="T439" s="43" t="str">
        <f>IFERROR(__xludf.DUMMYFUNCTION("IFERROR(VLOOKUP(C439,IMPORTRANGE(""https://docs.google.com/spreadsheets/d/1RmEXtNg60OGvqZjyMxiYNPJ6S_kcz01v57qrHugDWVc/edit#gid=0"",""Chegadas!E:AQ""),19,0),"""")"),"")</f>
        <v/>
      </c>
      <c r="U439" s="100"/>
      <c r="V439" s="98"/>
      <c r="W439" s="98"/>
    </row>
    <row r="440" hidden="1">
      <c r="A440" s="95"/>
      <c r="B440" s="95"/>
      <c r="C440" s="54"/>
      <c r="D440" s="83"/>
      <c r="E440" s="96"/>
      <c r="F440" s="42"/>
      <c r="G440" s="97"/>
      <c r="H440" s="96"/>
      <c r="I440" s="96"/>
      <c r="J440" s="98"/>
      <c r="K440" s="99"/>
      <c r="L440" s="96"/>
      <c r="M440" s="42"/>
      <c r="N440" s="42"/>
      <c r="O440" s="42"/>
      <c r="P440" s="83"/>
      <c r="Q440" s="83"/>
      <c r="R440" s="42"/>
      <c r="S440" s="42"/>
      <c r="T440" s="43" t="str">
        <f>IFERROR(__xludf.DUMMYFUNCTION("IFERROR(VLOOKUP(C440,IMPORTRANGE(""https://docs.google.com/spreadsheets/d/1RmEXtNg60OGvqZjyMxiYNPJ6S_kcz01v57qrHugDWVc/edit#gid=0"",""Chegadas!E:AQ""),19,0),"""")"),"")</f>
        <v/>
      </c>
      <c r="U440" s="100"/>
      <c r="V440" s="98"/>
      <c r="W440" s="98"/>
    </row>
    <row r="441" hidden="1">
      <c r="A441" s="95"/>
      <c r="B441" s="95"/>
      <c r="C441" s="54"/>
      <c r="D441" s="83"/>
      <c r="E441" s="96"/>
      <c r="F441" s="42"/>
      <c r="G441" s="97"/>
      <c r="H441" s="96"/>
      <c r="I441" s="96"/>
      <c r="J441" s="98"/>
      <c r="K441" s="99"/>
      <c r="L441" s="96"/>
      <c r="M441" s="42"/>
      <c r="N441" s="42"/>
      <c r="O441" s="42"/>
      <c r="P441" s="83"/>
      <c r="Q441" s="83"/>
      <c r="R441" s="42"/>
      <c r="S441" s="42"/>
      <c r="T441" s="43" t="str">
        <f>IFERROR(__xludf.DUMMYFUNCTION("IFERROR(VLOOKUP(C441,IMPORTRANGE(""https://docs.google.com/spreadsheets/d/1RmEXtNg60OGvqZjyMxiYNPJ6S_kcz01v57qrHugDWVc/edit#gid=0"",""Chegadas!E:AQ""),19,0),"""")"),"")</f>
        <v/>
      </c>
      <c r="U441" s="100"/>
      <c r="V441" s="98"/>
      <c r="W441" s="98"/>
    </row>
    <row r="442" hidden="1">
      <c r="A442" s="95"/>
      <c r="B442" s="95"/>
      <c r="C442" s="54"/>
      <c r="D442" s="83"/>
      <c r="E442" s="96"/>
      <c r="F442" s="42"/>
      <c r="G442" s="97"/>
      <c r="H442" s="96"/>
      <c r="I442" s="96"/>
      <c r="J442" s="98"/>
      <c r="K442" s="99"/>
      <c r="L442" s="96"/>
      <c r="M442" s="42"/>
      <c r="N442" s="42"/>
      <c r="O442" s="42"/>
      <c r="P442" s="83"/>
      <c r="Q442" s="83"/>
      <c r="R442" s="42"/>
      <c r="S442" s="42"/>
      <c r="T442" s="43" t="str">
        <f>IFERROR(__xludf.DUMMYFUNCTION("IFERROR(VLOOKUP(C442,IMPORTRANGE(""https://docs.google.com/spreadsheets/d/1RmEXtNg60OGvqZjyMxiYNPJ6S_kcz01v57qrHugDWVc/edit#gid=0"",""Chegadas!E:AQ""),19,0),"""")"),"")</f>
        <v/>
      </c>
      <c r="U442" s="100"/>
      <c r="V442" s="98"/>
      <c r="W442" s="98"/>
    </row>
    <row r="443" hidden="1">
      <c r="A443" s="95"/>
      <c r="B443" s="95"/>
      <c r="C443" s="54"/>
      <c r="D443" s="83"/>
      <c r="E443" s="96"/>
      <c r="F443" s="42"/>
      <c r="G443" s="97"/>
      <c r="H443" s="96"/>
      <c r="I443" s="96"/>
      <c r="J443" s="98"/>
      <c r="K443" s="99"/>
      <c r="L443" s="96"/>
      <c r="M443" s="42"/>
      <c r="N443" s="42"/>
      <c r="O443" s="42"/>
      <c r="P443" s="83"/>
      <c r="Q443" s="83"/>
      <c r="R443" s="42"/>
      <c r="S443" s="42"/>
      <c r="T443" s="43" t="str">
        <f>IFERROR(__xludf.DUMMYFUNCTION("IFERROR(VLOOKUP(C443,IMPORTRANGE(""https://docs.google.com/spreadsheets/d/1RmEXtNg60OGvqZjyMxiYNPJ6S_kcz01v57qrHugDWVc/edit#gid=0"",""Chegadas!E:AQ""),19,0),"""")"),"")</f>
        <v/>
      </c>
      <c r="U443" s="100"/>
      <c r="V443" s="98"/>
      <c r="W443" s="98"/>
    </row>
    <row r="444" hidden="1">
      <c r="A444" s="95"/>
      <c r="B444" s="95"/>
      <c r="C444" s="54"/>
      <c r="D444" s="83"/>
      <c r="E444" s="96"/>
      <c r="F444" s="42"/>
      <c r="G444" s="97"/>
      <c r="H444" s="96"/>
      <c r="I444" s="96"/>
      <c r="J444" s="98"/>
      <c r="K444" s="99"/>
      <c r="L444" s="96"/>
      <c r="M444" s="42"/>
      <c r="N444" s="42"/>
      <c r="O444" s="42"/>
      <c r="P444" s="83"/>
      <c r="Q444" s="83"/>
      <c r="R444" s="42"/>
      <c r="S444" s="42"/>
      <c r="T444" s="43" t="str">
        <f>IFERROR(__xludf.DUMMYFUNCTION("IFERROR(VLOOKUP(C444,IMPORTRANGE(""https://docs.google.com/spreadsheets/d/1RmEXtNg60OGvqZjyMxiYNPJ6S_kcz01v57qrHugDWVc/edit#gid=0"",""Chegadas!E:AQ""),19,0),"""")"),"")</f>
        <v/>
      </c>
      <c r="U444" s="100"/>
      <c r="V444" s="98"/>
      <c r="W444" s="98"/>
    </row>
    <row r="445" hidden="1">
      <c r="A445" s="95"/>
      <c r="B445" s="95"/>
      <c r="C445" s="54"/>
      <c r="D445" s="83"/>
      <c r="E445" s="96"/>
      <c r="F445" s="42"/>
      <c r="G445" s="97"/>
      <c r="H445" s="96"/>
      <c r="I445" s="96"/>
      <c r="J445" s="98"/>
      <c r="K445" s="99"/>
      <c r="L445" s="96"/>
      <c r="M445" s="42"/>
      <c r="N445" s="42"/>
      <c r="O445" s="42"/>
      <c r="P445" s="83"/>
      <c r="Q445" s="83"/>
      <c r="R445" s="42"/>
      <c r="S445" s="42"/>
      <c r="T445" s="43" t="str">
        <f>IFERROR(__xludf.DUMMYFUNCTION("IFERROR(VLOOKUP(C445,IMPORTRANGE(""https://docs.google.com/spreadsheets/d/1RmEXtNg60OGvqZjyMxiYNPJ6S_kcz01v57qrHugDWVc/edit#gid=0"",""Chegadas!E:AQ""),19,0),"""")"),"")</f>
        <v/>
      </c>
      <c r="U445" s="100"/>
      <c r="V445" s="98"/>
      <c r="W445" s="98"/>
    </row>
    <row r="446" hidden="1">
      <c r="A446" s="95"/>
      <c r="B446" s="95"/>
      <c r="C446" s="54"/>
      <c r="D446" s="83"/>
      <c r="E446" s="96"/>
      <c r="F446" s="42"/>
      <c r="G446" s="97"/>
      <c r="H446" s="96"/>
      <c r="I446" s="96"/>
      <c r="J446" s="98"/>
      <c r="K446" s="99"/>
      <c r="L446" s="96"/>
      <c r="M446" s="42"/>
      <c r="N446" s="42"/>
      <c r="O446" s="42"/>
      <c r="P446" s="83"/>
      <c r="Q446" s="83"/>
      <c r="R446" s="42"/>
      <c r="S446" s="42"/>
      <c r="T446" s="43" t="str">
        <f>IFERROR(__xludf.DUMMYFUNCTION("IFERROR(VLOOKUP(C446,IMPORTRANGE(""https://docs.google.com/spreadsheets/d/1RmEXtNg60OGvqZjyMxiYNPJ6S_kcz01v57qrHugDWVc/edit#gid=0"",""Chegadas!E:AQ""),19,0),"""")"),"")</f>
        <v/>
      </c>
      <c r="U446" s="100"/>
      <c r="V446" s="98"/>
      <c r="W446" s="98"/>
    </row>
    <row r="447" hidden="1">
      <c r="A447" s="95"/>
      <c r="B447" s="95"/>
      <c r="C447" s="54"/>
      <c r="D447" s="83"/>
      <c r="E447" s="96"/>
      <c r="F447" s="42"/>
      <c r="G447" s="97"/>
      <c r="H447" s="96"/>
      <c r="I447" s="96"/>
      <c r="J447" s="98"/>
      <c r="K447" s="99"/>
      <c r="L447" s="96"/>
      <c r="M447" s="42"/>
      <c r="N447" s="42"/>
      <c r="O447" s="42"/>
      <c r="P447" s="83"/>
      <c r="Q447" s="83"/>
      <c r="R447" s="42"/>
      <c r="S447" s="42"/>
      <c r="T447" s="43" t="str">
        <f>IFERROR(__xludf.DUMMYFUNCTION("IFERROR(VLOOKUP(C447,IMPORTRANGE(""https://docs.google.com/spreadsheets/d/1RmEXtNg60OGvqZjyMxiYNPJ6S_kcz01v57qrHugDWVc/edit#gid=0"",""Chegadas!E:AQ""),19,0),"""")"),"")</f>
        <v/>
      </c>
      <c r="U447" s="100"/>
      <c r="V447" s="98"/>
      <c r="W447" s="98"/>
    </row>
    <row r="448" hidden="1">
      <c r="A448" s="95"/>
      <c r="B448" s="95"/>
      <c r="C448" s="54"/>
      <c r="D448" s="83"/>
      <c r="E448" s="96"/>
      <c r="F448" s="42"/>
      <c r="G448" s="97"/>
      <c r="H448" s="96"/>
      <c r="I448" s="96"/>
      <c r="J448" s="98"/>
      <c r="K448" s="99"/>
      <c r="L448" s="96"/>
      <c r="M448" s="42"/>
      <c r="N448" s="42"/>
      <c r="O448" s="42"/>
      <c r="P448" s="83"/>
      <c r="Q448" s="83"/>
      <c r="R448" s="42"/>
      <c r="S448" s="42"/>
      <c r="T448" s="43" t="str">
        <f>IFERROR(__xludf.DUMMYFUNCTION("IFERROR(VLOOKUP(C448,IMPORTRANGE(""https://docs.google.com/spreadsheets/d/1RmEXtNg60OGvqZjyMxiYNPJ6S_kcz01v57qrHugDWVc/edit#gid=0"",""Chegadas!E:AQ""),19,0),"""")"),"")</f>
        <v/>
      </c>
      <c r="U448" s="100"/>
      <c r="V448" s="98"/>
      <c r="W448" s="98"/>
    </row>
    <row r="449" hidden="1">
      <c r="A449" s="95"/>
      <c r="B449" s="95"/>
      <c r="C449" s="54"/>
      <c r="D449" s="83"/>
      <c r="E449" s="96"/>
      <c r="F449" s="42"/>
      <c r="G449" s="97"/>
      <c r="H449" s="96"/>
      <c r="I449" s="96"/>
      <c r="J449" s="98"/>
      <c r="K449" s="99"/>
      <c r="L449" s="96"/>
      <c r="M449" s="42"/>
      <c r="N449" s="42"/>
      <c r="O449" s="42"/>
      <c r="P449" s="83"/>
      <c r="Q449" s="83"/>
      <c r="R449" s="42"/>
      <c r="S449" s="42"/>
      <c r="T449" s="43" t="str">
        <f>IFERROR(__xludf.DUMMYFUNCTION("IFERROR(VLOOKUP(C449,IMPORTRANGE(""https://docs.google.com/spreadsheets/d/1RmEXtNg60OGvqZjyMxiYNPJ6S_kcz01v57qrHugDWVc/edit#gid=0"",""Chegadas!E:AQ""),19,0),"""")"),"")</f>
        <v/>
      </c>
      <c r="U449" s="100"/>
      <c r="V449" s="98"/>
      <c r="W449" s="98"/>
    </row>
    <row r="450" hidden="1">
      <c r="A450" s="95"/>
      <c r="B450" s="95"/>
      <c r="C450" s="54"/>
      <c r="D450" s="83"/>
      <c r="E450" s="96"/>
      <c r="F450" s="42"/>
      <c r="G450" s="97"/>
      <c r="H450" s="96"/>
      <c r="I450" s="96"/>
      <c r="J450" s="98"/>
      <c r="K450" s="99"/>
      <c r="L450" s="96"/>
      <c r="M450" s="42"/>
      <c r="N450" s="42"/>
      <c r="O450" s="42"/>
      <c r="P450" s="83"/>
      <c r="Q450" s="83"/>
      <c r="R450" s="42"/>
      <c r="S450" s="42"/>
      <c r="T450" s="43" t="str">
        <f>IFERROR(__xludf.DUMMYFUNCTION("IFERROR(VLOOKUP(C450,IMPORTRANGE(""https://docs.google.com/spreadsheets/d/1RmEXtNg60OGvqZjyMxiYNPJ6S_kcz01v57qrHugDWVc/edit#gid=0"",""Chegadas!E:AQ""),19,0),"""")"),"")</f>
        <v/>
      </c>
      <c r="U450" s="100"/>
      <c r="V450" s="98"/>
      <c r="W450" s="98"/>
    </row>
    <row r="451" hidden="1">
      <c r="A451" s="95"/>
      <c r="B451" s="95"/>
      <c r="C451" s="54"/>
      <c r="D451" s="83"/>
      <c r="E451" s="96"/>
      <c r="F451" s="42"/>
      <c r="G451" s="97"/>
      <c r="H451" s="96"/>
      <c r="I451" s="96"/>
      <c r="J451" s="98"/>
      <c r="K451" s="99"/>
      <c r="L451" s="96"/>
      <c r="M451" s="42"/>
      <c r="N451" s="42"/>
      <c r="O451" s="42"/>
      <c r="P451" s="83"/>
      <c r="Q451" s="83"/>
      <c r="R451" s="42"/>
      <c r="S451" s="42"/>
      <c r="T451" s="43" t="str">
        <f>IFERROR(__xludf.DUMMYFUNCTION("IFERROR(VLOOKUP(C451,IMPORTRANGE(""https://docs.google.com/spreadsheets/d/1RmEXtNg60OGvqZjyMxiYNPJ6S_kcz01v57qrHugDWVc/edit#gid=0"",""Chegadas!E:AQ""),19,0),"""")"),"")</f>
        <v/>
      </c>
      <c r="U451" s="100"/>
      <c r="V451" s="98"/>
      <c r="W451" s="98"/>
    </row>
    <row r="452" hidden="1">
      <c r="A452" s="95"/>
      <c r="B452" s="95"/>
      <c r="C452" s="54"/>
      <c r="D452" s="83"/>
      <c r="E452" s="96"/>
      <c r="F452" s="42"/>
      <c r="G452" s="97"/>
      <c r="H452" s="96"/>
      <c r="I452" s="96"/>
      <c r="J452" s="98"/>
      <c r="K452" s="99"/>
      <c r="L452" s="96"/>
      <c r="M452" s="42"/>
      <c r="N452" s="42"/>
      <c r="O452" s="42"/>
      <c r="P452" s="83"/>
      <c r="Q452" s="83"/>
      <c r="R452" s="42"/>
      <c r="S452" s="42"/>
      <c r="T452" s="43" t="str">
        <f>IFERROR(__xludf.DUMMYFUNCTION("IFERROR(VLOOKUP(C452,IMPORTRANGE(""https://docs.google.com/spreadsheets/d/1RmEXtNg60OGvqZjyMxiYNPJ6S_kcz01v57qrHugDWVc/edit#gid=0"",""Chegadas!E:AQ""),19,0),"""")"),"")</f>
        <v/>
      </c>
      <c r="U452" s="100"/>
      <c r="V452" s="98"/>
      <c r="W452" s="98"/>
    </row>
    <row r="453" hidden="1">
      <c r="A453" s="95"/>
      <c r="B453" s="95"/>
      <c r="C453" s="54"/>
      <c r="D453" s="83"/>
      <c r="E453" s="96"/>
      <c r="F453" s="42"/>
      <c r="G453" s="97"/>
      <c r="H453" s="96"/>
      <c r="I453" s="96"/>
      <c r="J453" s="98"/>
      <c r="K453" s="99"/>
      <c r="L453" s="96"/>
      <c r="M453" s="42"/>
      <c r="N453" s="42"/>
      <c r="O453" s="42"/>
      <c r="P453" s="83"/>
      <c r="Q453" s="83"/>
      <c r="R453" s="42"/>
      <c r="S453" s="42"/>
      <c r="T453" s="43" t="str">
        <f>IFERROR(__xludf.DUMMYFUNCTION("IFERROR(VLOOKUP(C453,IMPORTRANGE(""https://docs.google.com/spreadsheets/d/1RmEXtNg60OGvqZjyMxiYNPJ6S_kcz01v57qrHugDWVc/edit#gid=0"",""Chegadas!E:AQ""),19,0),"""")"),"")</f>
        <v/>
      </c>
      <c r="U453" s="100"/>
      <c r="V453" s="98"/>
      <c r="W453" s="98"/>
    </row>
    <row r="454" hidden="1">
      <c r="A454" s="95"/>
      <c r="B454" s="95"/>
      <c r="C454" s="54"/>
      <c r="D454" s="83"/>
      <c r="E454" s="96"/>
      <c r="F454" s="42"/>
      <c r="G454" s="97"/>
      <c r="H454" s="96"/>
      <c r="I454" s="96"/>
      <c r="J454" s="98"/>
      <c r="K454" s="99"/>
      <c r="L454" s="96"/>
      <c r="M454" s="42"/>
      <c r="N454" s="42"/>
      <c r="O454" s="42"/>
      <c r="P454" s="83"/>
      <c r="Q454" s="83"/>
      <c r="R454" s="42"/>
      <c r="S454" s="42"/>
      <c r="T454" s="43" t="str">
        <f>IFERROR(__xludf.DUMMYFUNCTION("IFERROR(VLOOKUP(C454,IMPORTRANGE(""https://docs.google.com/spreadsheets/d/1RmEXtNg60OGvqZjyMxiYNPJ6S_kcz01v57qrHugDWVc/edit#gid=0"",""Chegadas!E:AQ""),19,0),"""")"),"")</f>
        <v/>
      </c>
      <c r="U454" s="100"/>
      <c r="V454" s="98"/>
      <c r="W454" s="98"/>
    </row>
    <row r="455" hidden="1">
      <c r="A455" s="95"/>
      <c r="B455" s="95"/>
      <c r="C455" s="54"/>
      <c r="D455" s="83"/>
      <c r="E455" s="96"/>
      <c r="F455" s="42"/>
      <c r="G455" s="97"/>
      <c r="H455" s="96"/>
      <c r="I455" s="96"/>
      <c r="J455" s="98"/>
      <c r="K455" s="99"/>
      <c r="L455" s="96"/>
      <c r="M455" s="42"/>
      <c r="N455" s="42"/>
      <c r="O455" s="42"/>
      <c r="P455" s="83"/>
      <c r="Q455" s="83"/>
      <c r="R455" s="42"/>
      <c r="S455" s="42"/>
      <c r="T455" s="43" t="str">
        <f>IFERROR(__xludf.DUMMYFUNCTION("IFERROR(VLOOKUP(C455,IMPORTRANGE(""https://docs.google.com/spreadsheets/d/1RmEXtNg60OGvqZjyMxiYNPJ6S_kcz01v57qrHugDWVc/edit#gid=0"",""Chegadas!E:AQ""),19,0),"""")"),"")</f>
        <v/>
      </c>
      <c r="U455" s="100"/>
      <c r="V455" s="98"/>
      <c r="W455" s="98"/>
    </row>
    <row r="456" hidden="1">
      <c r="A456" s="95"/>
      <c r="B456" s="95"/>
      <c r="C456" s="54"/>
      <c r="D456" s="83"/>
      <c r="E456" s="96"/>
      <c r="F456" s="42"/>
      <c r="G456" s="97"/>
      <c r="H456" s="96"/>
      <c r="I456" s="96"/>
      <c r="J456" s="98"/>
      <c r="K456" s="99"/>
      <c r="L456" s="96"/>
      <c r="M456" s="42"/>
      <c r="N456" s="42"/>
      <c r="O456" s="42"/>
      <c r="P456" s="83"/>
      <c r="Q456" s="83"/>
      <c r="R456" s="42"/>
      <c r="S456" s="42"/>
      <c r="T456" s="43" t="str">
        <f>IFERROR(__xludf.DUMMYFUNCTION("IFERROR(VLOOKUP(C456,IMPORTRANGE(""https://docs.google.com/spreadsheets/d/1RmEXtNg60OGvqZjyMxiYNPJ6S_kcz01v57qrHugDWVc/edit#gid=0"",""Chegadas!E:AQ""),19,0),"""")"),"")</f>
        <v/>
      </c>
      <c r="U456" s="100"/>
      <c r="V456" s="98"/>
      <c r="W456" s="98"/>
    </row>
    <row r="457" hidden="1">
      <c r="A457" s="95"/>
      <c r="B457" s="95"/>
      <c r="C457" s="54"/>
      <c r="D457" s="83"/>
      <c r="E457" s="96"/>
      <c r="F457" s="42"/>
      <c r="G457" s="97"/>
      <c r="H457" s="96"/>
      <c r="I457" s="96"/>
      <c r="J457" s="98"/>
      <c r="K457" s="99"/>
      <c r="L457" s="96"/>
      <c r="M457" s="42"/>
      <c r="N457" s="42"/>
      <c r="O457" s="42"/>
      <c r="P457" s="83"/>
      <c r="Q457" s="83"/>
      <c r="R457" s="42"/>
      <c r="S457" s="42"/>
      <c r="T457" s="43" t="str">
        <f>IFERROR(__xludf.DUMMYFUNCTION("IFERROR(VLOOKUP(C457,IMPORTRANGE(""https://docs.google.com/spreadsheets/d/1RmEXtNg60OGvqZjyMxiYNPJ6S_kcz01v57qrHugDWVc/edit#gid=0"",""Chegadas!E:AQ""),19,0),"""")"),"")</f>
        <v/>
      </c>
      <c r="U457" s="100"/>
      <c r="V457" s="98"/>
      <c r="W457" s="98"/>
    </row>
    <row r="458" hidden="1">
      <c r="A458" s="95"/>
      <c r="B458" s="95"/>
      <c r="C458" s="54"/>
      <c r="D458" s="83"/>
      <c r="E458" s="96"/>
      <c r="F458" s="42"/>
      <c r="G458" s="97"/>
      <c r="H458" s="96"/>
      <c r="I458" s="96"/>
      <c r="J458" s="98"/>
      <c r="K458" s="99"/>
      <c r="L458" s="96"/>
      <c r="M458" s="42"/>
      <c r="N458" s="42"/>
      <c r="O458" s="42"/>
      <c r="P458" s="83"/>
      <c r="Q458" s="83"/>
      <c r="R458" s="42"/>
      <c r="S458" s="42"/>
      <c r="T458" s="43" t="str">
        <f>IFERROR(__xludf.DUMMYFUNCTION("IFERROR(VLOOKUP(C458,IMPORTRANGE(""https://docs.google.com/spreadsheets/d/1RmEXtNg60OGvqZjyMxiYNPJ6S_kcz01v57qrHugDWVc/edit#gid=0"",""Chegadas!E:AQ""),19,0),"""")"),"")</f>
        <v/>
      </c>
      <c r="U458" s="100"/>
      <c r="V458" s="98"/>
      <c r="W458" s="98"/>
    </row>
    <row r="459" hidden="1">
      <c r="A459" s="95"/>
      <c r="B459" s="95"/>
      <c r="C459" s="54"/>
      <c r="D459" s="83"/>
      <c r="E459" s="96"/>
      <c r="F459" s="42"/>
      <c r="G459" s="97"/>
      <c r="H459" s="96"/>
      <c r="I459" s="96"/>
      <c r="J459" s="98"/>
      <c r="K459" s="99"/>
      <c r="L459" s="96"/>
      <c r="M459" s="42"/>
      <c r="N459" s="42"/>
      <c r="O459" s="42"/>
      <c r="P459" s="83"/>
      <c r="Q459" s="83"/>
      <c r="R459" s="42"/>
      <c r="S459" s="42"/>
      <c r="T459" s="43" t="str">
        <f>IFERROR(__xludf.DUMMYFUNCTION("IFERROR(VLOOKUP(C459,IMPORTRANGE(""https://docs.google.com/spreadsheets/d/1RmEXtNg60OGvqZjyMxiYNPJ6S_kcz01v57qrHugDWVc/edit#gid=0"",""Chegadas!E:AQ""),19,0),"""")"),"")</f>
        <v/>
      </c>
      <c r="U459" s="100"/>
      <c r="V459" s="98"/>
      <c r="W459" s="98"/>
    </row>
    <row r="460" hidden="1">
      <c r="A460" s="95"/>
      <c r="B460" s="95"/>
      <c r="C460" s="54"/>
      <c r="D460" s="83"/>
      <c r="E460" s="96"/>
      <c r="F460" s="42"/>
      <c r="G460" s="97"/>
      <c r="H460" s="96"/>
      <c r="I460" s="96"/>
      <c r="J460" s="98"/>
      <c r="K460" s="99"/>
      <c r="L460" s="96"/>
      <c r="M460" s="42"/>
      <c r="N460" s="42"/>
      <c r="O460" s="42"/>
      <c r="P460" s="83"/>
      <c r="Q460" s="83"/>
      <c r="R460" s="42"/>
      <c r="S460" s="42"/>
      <c r="T460" s="43" t="str">
        <f>IFERROR(__xludf.DUMMYFUNCTION("IFERROR(VLOOKUP(C460,IMPORTRANGE(""https://docs.google.com/spreadsheets/d/1RmEXtNg60OGvqZjyMxiYNPJ6S_kcz01v57qrHugDWVc/edit#gid=0"",""Chegadas!E:AQ""),19,0),"""")"),"")</f>
        <v/>
      </c>
      <c r="U460" s="100"/>
      <c r="V460" s="98"/>
      <c r="W460" s="98"/>
    </row>
    <row r="461" hidden="1">
      <c r="A461" s="95"/>
      <c r="B461" s="95"/>
      <c r="C461" s="54"/>
      <c r="D461" s="83"/>
      <c r="E461" s="96"/>
      <c r="F461" s="42"/>
      <c r="G461" s="97"/>
      <c r="H461" s="96"/>
      <c r="I461" s="96"/>
      <c r="J461" s="98"/>
      <c r="K461" s="99"/>
      <c r="L461" s="96"/>
      <c r="M461" s="42"/>
      <c r="N461" s="42"/>
      <c r="O461" s="42"/>
      <c r="P461" s="83"/>
      <c r="Q461" s="83"/>
      <c r="R461" s="42"/>
      <c r="S461" s="42"/>
      <c r="T461" s="43" t="str">
        <f>IFERROR(__xludf.DUMMYFUNCTION("IFERROR(VLOOKUP(C461,IMPORTRANGE(""https://docs.google.com/spreadsheets/d/1RmEXtNg60OGvqZjyMxiYNPJ6S_kcz01v57qrHugDWVc/edit#gid=0"",""Chegadas!E:AQ""),19,0),"""")"),"")</f>
        <v/>
      </c>
      <c r="U461" s="100"/>
      <c r="V461" s="98"/>
      <c r="W461" s="98"/>
    </row>
    <row r="462" hidden="1">
      <c r="A462" s="95"/>
      <c r="B462" s="95"/>
      <c r="C462" s="54"/>
      <c r="D462" s="83"/>
      <c r="E462" s="96"/>
      <c r="F462" s="42"/>
      <c r="G462" s="97"/>
      <c r="H462" s="96"/>
      <c r="I462" s="96"/>
      <c r="J462" s="98"/>
      <c r="K462" s="99"/>
      <c r="L462" s="96"/>
      <c r="M462" s="42"/>
      <c r="N462" s="42"/>
      <c r="O462" s="42"/>
      <c r="P462" s="83"/>
      <c r="Q462" s="83"/>
      <c r="R462" s="42"/>
      <c r="S462" s="42"/>
      <c r="T462" s="43" t="str">
        <f>IFERROR(__xludf.DUMMYFUNCTION("IFERROR(VLOOKUP(C462,IMPORTRANGE(""https://docs.google.com/spreadsheets/d/1RmEXtNg60OGvqZjyMxiYNPJ6S_kcz01v57qrHugDWVc/edit#gid=0"",""Chegadas!E:AQ""),19,0),"""")"),"")</f>
        <v/>
      </c>
      <c r="U462" s="100"/>
      <c r="V462" s="98"/>
      <c r="W462" s="98"/>
    </row>
    <row r="463" hidden="1">
      <c r="A463" s="95"/>
      <c r="B463" s="95"/>
      <c r="C463" s="54"/>
      <c r="D463" s="83"/>
      <c r="E463" s="96"/>
      <c r="F463" s="42"/>
      <c r="G463" s="97"/>
      <c r="H463" s="96"/>
      <c r="I463" s="96"/>
      <c r="J463" s="98"/>
      <c r="K463" s="99"/>
      <c r="L463" s="96"/>
      <c r="M463" s="42"/>
      <c r="N463" s="42"/>
      <c r="O463" s="42"/>
      <c r="P463" s="83"/>
      <c r="Q463" s="83"/>
      <c r="R463" s="42"/>
      <c r="S463" s="42"/>
      <c r="T463" s="43" t="str">
        <f>IFERROR(__xludf.DUMMYFUNCTION("IFERROR(VLOOKUP(C463,IMPORTRANGE(""https://docs.google.com/spreadsheets/d/1RmEXtNg60OGvqZjyMxiYNPJ6S_kcz01v57qrHugDWVc/edit#gid=0"",""Chegadas!E:AQ""),19,0),"""")"),"")</f>
        <v/>
      </c>
      <c r="U463" s="100"/>
      <c r="V463" s="98"/>
      <c r="W463" s="98"/>
    </row>
    <row r="464" hidden="1">
      <c r="A464" s="95"/>
      <c r="B464" s="95"/>
      <c r="C464" s="54"/>
      <c r="D464" s="83"/>
      <c r="E464" s="96"/>
      <c r="F464" s="42"/>
      <c r="G464" s="97"/>
      <c r="H464" s="96"/>
      <c r="I464" s="96"/>
      <c r="J464" s="98"/>
      <c r="K464" s="99"/>
      <c r="L464" s="96"/>
      <c r="M464" s="42"/>
      <c r="N464" s="42"/>
      <c r="O464" s="42"/>
      <c r="P464" s="83"/>
      <c r="Q464" s="83"/>
      <c r="R464" s="42"/>
      <c r="S464" s="42"/>
      <c r="T464" s="43" t="str">
        <f>IFERROR(__xludf.DUMMYFUNCTION("IFERROR(VLOOKUP(C464,IMPORTRANGE(""https://docs.google.com/spreadsheets/d/1RmEXtNg60OGvqZjyMxiYNPJ6S_kcz01v57qrHugDWVc/edit#gid=0"",""Chegadas!E:AQ""),19,0),"""")"),"")</f>
        <v/>
      </c>
      <c r="U464" s="100"/>
      <c r="V464" s="98"/>
      <c r="W464" s="98"/>
    </row>
    <row r="465" hidden="1">
      <c r="A465" s="95"/>
      <c r="B465" s="95"/>
      <c r="C465" s="54"/>
      <c r="D465" s="83"/>
      <c r="E465" s="96"/>
      <c r="F465" s="42"/>
      <c r="G465" s="97"/>
      <c r="H465" s="96"/>
      <c r="I465" s="96"/>
      <c r="J465" s="98"/>
      <c r="K465" s="99"/>
      <c r="L465" s="96"/>
      <c r="M465" s="42"/>
      <c r="N465" s="42"/>
      <c r="O465" s="42"/>
      <c r="P465" s="83"/>
      <c r="Q465" s="83"/>
      <c r="R465" s="42"/>
      <c r="S465" s="42"/>
      <c r="T465" s="43" t="str">
        <f>IFERROR(__xludf.DUMMYFUNCTION("IFERROR(VLOOKUP(C465,IMPORTRANGE(""https://docs.google.com/spreadsheets/d/1RmEXtNg60OGvqZjyMxiYNPJ6S_kcz01v57qrHugDWVc/edit#gid=0"",""Chegadas!E:AQ""),19,0),"""")"),"")</f>
        <v/>
      </c>
      <c r="U465" s="100"/>
      <c r="V465" s="98"/>
      <c r="W465" s="98"/>
    </row>
    <row r="466" hidden="1">
      <c r="A466" s="95"/>
      <c r="B466" s="95"/>
      <c r="C466" s="54"/>
      <c r="D466" s="83"/>
      <c r="E466" s="96"/>
      <c r="F466" s="42"/>
      <c r="G466" s="97"/>
      <c r="H466" s="96"/>
      <c r="I466" s="96"/>
      <c r="J466" s="98"/>
      <c r="K466" s="99"/>
      <c r="L466" s="96"/>
      <c r="M466" s="42"/>
      <c r="N466" s="42"/>
      <c r="O466" s="42"/>
      <c r="P466" s="83"/>
      <c r="Q466" s="83"/>
      <c r="R466" s="42"/>
      <c r="S466" s="42"/>
      <c r="T466" s="43" t="str">
        <f>IFERROR(__xludf.DUMMYFUNCTION("IFERROR(VLOOKUP(C466,IMPORTRANGE(""https://docs.google.com/spreadsheets/d/1RmEXtNg60OGvqZjyMxiYNPJ6S_kcz01v57qrHugDWVc/edit#gid=0"",""Chegadas!E:AQ""),19,0),"""")"),"")</f>
        <v/>
      </c>
      <c r="U466" s="100"/>
      <c r="V466" s="98"/>
      <c r="W466" s="98"/>
    </row>
    <row r="467" hidden="1">
      <c r="A467" s="95"/>
      <c r="B467" s="95"/>
      <c r="C467" s="54"/>
      <c r="D467" s="83"/>
      <c r="E467" s="96"/>
      <c r="F467" s="42"/>
      <c r="G467" s="97"/>
      <c r="H467" s="96"/>
      <c r="I467" s="96"/>
      <c r="J467" s="98"/>
      <c r="K467" s="99"/>
      <c r="L467" s="96"/>
      <c r="M467" s="42"/>
      <c r="N467" s="42"/>
      <c r="O467" s="42"/>
      <c r="P467" s="83"/>
      <c r="Q467" s="83"/>
      <c r="R467" s="42"/>
      <c r="S467" s="42"/>
      <c r="T467" s="43" t="str">
        <f>IFERROR(__xludf.DUMMYFUNCTION("IFERROR(VLOOKUP(C467,IMPORTRANGE(""https://docs.google.com/spreadsheets/d/1RmEXtNg60OGvqZjyMxiYNPJ6S_kcz01v57qrHugDWVc/edit#gid=0"",""Chegadas!E:AQ""),19,0),"""")"),"")</f>
        <v/>
      </c>
      <c r="U467" s="100"/>
      <c r="V467" s="98"/>
      <c r="W467" s="98"/>
    </row>
    <row r="468" hidden="1">
      <c r="A468" s="95"/>
      <c r="B468" s="95"/>
      <c r="C468" s="54"/>
      <c r="D468" s="83"/>
      <c r="E468" s="96"/>
      <c r="F468" s="42"/>
      <c r="G468" s="97"/>
      <c r="H468" s="96"/>
      <c r="I468" s="96"/>
      <c r="J468" s="98"/>
      <c r="K468" s="99"/>
      <c r="L468" s="96"/>
      <c r="M468" s="42"/>
      <c r="N468" s="42"/>
      <c r="O468" s="42"/>
      <c r="P468" s="83"/>
      <c r="Q468" s="83"/>
      <c r="R468" s="42"/>
      <c r="S468" s="42"/>
      <c r="T468" s="43" t="str">
        <f>IFERROR(__xludf.DUMMYFUNCTION("IFERROR(VLOOKUP(C468,IMPORTRANGE(""https://docs.google.com/spreadsheets/d/1RmEXtNg60OGvqZjyMxiYNPJ6S_kcz01v57qrHugDWVc/edit#gid=0"",""Chegadas!E:AQ""),19,0),"""")"),"")</f>
        <v/>
      </c>
      <c r="U468" s="100"/>
      <c r="V468" s="98"/>
      <c r="W468" s="98"/>
    </row>
    <row r="469" hidden="1">
      <c r="A469" s="95"/>
      <c r="B469" s="95"/>
      <c r="C469" s="54"/>
      <c r="D469" s="83"/>
      <c r="E469" s="96"/>
      <c r="F469" s="42"/>
      <c r="G469" s="97"/>
      <c r="H469" s="96"/>
      <c r="I469" s="96"/>
      <c r="J469" s="98"/>
      <c r="K469" s="99"/>
      <c r="L469" s="96"/>
      <c r="M469" s="42"/>
      <c r="N469" s="42"/>
      <c r="O469" s="42"/>
      <c r="P469" s="83"/>
      <c r="Q469" s="83"/>
      <c r="R469" s="42"/>
      <c r="S469" s="42"/>
      <c r="T469" s="43" t="str">
        <f>IFERROR(__xludf.DUMMYFUNCTION("IFERROR(VLOOKUP(C469,IMPORTRANGE(""https://docs.google.com/spreadsheets/d/1RmEXtNg60OGvqZjyMxiYNPJ6S_kcz01v57qrHugDWVc/edit#gid=0"",""Chegadas!E:AQ""),19,0),"""")"),"")</f>
        <v/>
      </c>
      <c r="U469" s="100"/>
      <c r="V469" s="98"/>
      <c r="W469" s="98"/>
    </row>
    <row r="470" hidden="1">
      <c r="A470" s="95"/>
      <c r="B470" s="95"/>
      <c r="C470" s="54"/>
      <c r="D470" s="83"/>
      <c r="E470" s="96"/>
      <c r="F470" s="42"/>
      <c r="G470" s="97"/>
      <c r="H470" s="96"/>
      <c r="I470" s="96"/>
      <c r="J470" s="98"/>
      <c r="K470" s="99"/>
      <c r="L470" s="96"/>
      <c r="M470" s="42"/>
      <c r="N470" s="42"/>
      <c r="O470" s="42"/>
      <c r="P470" s="83"/>
      <c r="Q470" s="83"/>
      <c r="R470" s="42"/>
      <c r="S470" s="42"/>
      <c r="T470" s="43" t="str">
        <f>IFERROR(__xludf.DUMMYFUNCTION("IFERROR(VLOOKUP(C470,IMPORTRANGE(""https://docs.google.com/spreadsheets/d/1RmEXtNg60OGvqZjyMxiYNPJ6S_kcz01v57qrHugDWVc/edit#gid=0"",""Chegadas!E:AQ""),19,0),"""")"),"")</f>
        <v/>
      </c>
      <c r="U470" s="100"/>
      <c r="V470" s="98"/>
      <c r="W470" s="98"/>
    </row>
    <row r="471" hidden="1">
      <c r="A471" s="95"/>
      <c r="B471" s="95"/>
      <c r="C471" s="54"/>
      <c r="D471" s="83"/>
      <c r="E471" s="96"/>
      <c r="F471" s="42"/>
      <c r="G471" s="97"/>
      <c r="H471" s="96"/>
      <c r="I471" s="96"/>
      <c r="J471" s="98"/>
      <c r="K471" s="99"/>
      <c r="L471" s="96"/>
      <c r="M471" s="42"/>
      <c r="N471" s="42"/>
      <c r="O471" s="42"/>
      <c r="P471" s="83"/>
      <c r="Q471" s="83"/>
      <c r="R471" s="42"/>
      <c r="S471" s="42"/>
      <c r="T471" s="43" t="str">
        <f>IFERROR(__xludf.DUMMYFUNCTION("IFERROR(VLOOKUP(C471,IMPORTRANGE(""https://docs.google.com/spreadsheets/d/1RmEXtNg60OGvqZjyMxiYNPJ6S_kcz01v57qrHugDWVc/edit#gid=0"",""Chegadas!E:AQ""),19,0),"""")"),"")</f>
        <v/>
      </c>
      <c r="U471" s="100"/>
      <c r="V471" s="98"/>
      <c r="W471" s="98"/>
    </row>
    <row r="472" hidden="1">
      <c r="A472" s="95"/>
      <c r="B472" s="95"/>
      <c r="C472" s="54"/>
      <c r="D472" s="83"/>
      <c r="E472" s="96"/>
      <c r="F472" s="42"/>
      <c r="G472" s="97"/>
      <c r="H472" s="96"/>
      <c r="I472" s="96"/>
      <c r="J472" s="98"/>
      <c r="K472" s="99"/>
      <c r="L472" s="96"/>
      <c r="M472" s="42"/>
      <c r="N472" s="42"/>
      <c r="O472" s="42"/>
      <c r="P472" s="83"/>
      <c r="Q472" s="83"/>
      <c r="R472" s="42"/>
      <c r="S472" s="42"/>
      <c r="T472" s="43" t="str">
        <f>IFERROR(__xludf.DUMMYFUNCTION("IFERROR(VLOOKUP(C472,IMPORTRANGE(""https://docs.google.com/spreadsheets/d/1RmEXtNg60OGvqZjyMxiYNPJ6S_kcz01v57qrHugDWVc/edit#gid=0"",""Chegadas!E:AQ""),19,0),"""")"),"")</f>
        <v/>
      </c>
      <c r="U472" s="100"/>
      <c r="V472" s="98"/>
      <c r="W472" s="98"/>
    </row>
    <row r="473" hidden="1">
      <c r="A473" s="95"/>
      <c r="B473" s="95"/>
      <c r="C473" s="54"/>
      <c r="D473" s="83"/>
      <c r="E473" s="96"/>
      <c r="F473" s="42"/>
      <c r="G473" s="97"/>
      <c r="H473" s="96"/>
      <c r="I473" s="96"/>
      <c r="J473" s="98"/>
      <c r="K473" s="99"/>
      <c r="L473" s="96"/>
      <c r="M473" s="42"/>
      <c r="N473" s="42"/>
      <c r="O473" s="42"/>
      <c r="P473" s="83"/>
      <c r="Q473" s="83"/>
      <c r="R473" s="42"/>
      <c r="S473" s="42"/>
      <c r="T473" s="43" t="str">
        <f>IFERROR(__xludf.DUMMYFUNCTION("IFERROR(VLOOKUP(C473,IMPORTRANGE(""https://docs.google.com/spreadsheets/d/1RmEXtNg60OGvqZjyMxiYNPJ6S_kcz01v57qrHugDWVc/edit#gid=0"",""Chegadas!E:AQ""),19,0),"""")"),"")</f>
        <v/>
      </c>
      <c r="U473" s="100"/>
      <c r="V473" s="98"/>
      <c r="W473" s="98"/>
    </row>
    <row r="474" hidden="1">
      <c r="A474" s="95"/>
      <c r="B474" s="95"/>
      <c r="C474" s="54"/>
      <c r="D474" s="83"/>
      <c r="E474" s="96"/>
      <c r="F474" s="42"/>
      <c r="G474" s="97"/>
      <c r="H474" s="96"/>
      <c r="I474" s="96"/>
      <c r="J474" s="98"/>
      <c r="K474" s="99"/>
      <c r="L474" s="96"/>
      <c r="M474" s="42"/>
      <c r="N474" s="42"/>
      <c r="O474" s="42"/>
      <c r="P474" s="83"/>
      <c r="Q474" s="83"/>
      <c r="R474" s="42"/>
      <c r="S474" s="42"/>
      <c r="T474" s="43" t="str">
        <f>IFERROR(__xludf.DUMMYFUNCTION("IFERROR(VLOOKUP(C474,IMPORTRANGE(""https://docs.google.com/spreadsheets/d/1RmEXtNg60OGvqZjyMxiYNPJ6S_kcz01v57qrHugDWVc/edit#gid=0"",""Chegadas!E:AQ""),19,0),"""")"),"")</f>
        <v/>
      </c>
      <c r="U474" s="100"/>
      <c r="V474" s="98"/>
      <c r="W474" s="98"/>
    </row>
    <row r="475" hidden="1">
      <c r="A475" s="95"/>
      <c r="B475" s="95"/>
      <c r="C475" s="54"/>
      <c r="D475" s="83"/>
      <c r="E475" s="96"/>
      <c r="F475" s="42"/>
      <c r="G475" s="97"/>
      <c r="H475" s="96"/>
      <c r="I475" s="96"/>
      <c r="J475" s="98"/>
      <c r="K475" s="99"/>
      <c r="L475" s="96"/>
      <c r="M475" s="42"/>
      <c r="N475" s="42"/>
      <c r="O475" s="42"/>
      <c r="P475" s="83"/>
      <c r="Q475" s="83"/>
      <c r="R475" s="42"/>
      <c r="S475" s="42"/>
      <c r="T475" s="43" t="str">
        <f>IFERROR(__xludf.DUMMYFUNCTION("IFERROR(VLOOKUP(C475,IMPORTRANGE(""https://docs.google.com/spreadsheets/d/1RmEXtNg60OGvqZjyMxiYNPJ6S_kcz01v57qrHugDWVc/edit#gid=0"",""Chegadas!E:AQ""),19,0),"""")"),"")</f>
        <v/>
      </c>
      <c r="U475" s="100"/>
      <c r="V475" s="98"/>
      <c r="W475" s="98"/>
    </row>
    <row r="476" hidden="1">
      <c r="A476" s="95"/>
      <c r="B476" s="95"/>
      <c r="C476" s="54"/>
      <c r="D476" s="83"/>
      <c r="E476" s="96"/>
      <c r="F476" s="42"/>
      <c r="G476" s="97"/>
      <c r="H476" s="96"/>
      <c r="I476" s="96"/>
      <c r="J476" s="98"/>
      <c r="K476" s="99"/>
      <c r="L476" s="96"/>
      <c r="M476" s="42"/>
      <c r="N476" s="42"/>
      <c r="O476" s="42"/>
      <c r="P476" s="83"/>
      <c r="Q476" s="83"/>
      <c r="R476" s="42"/>
      <c r="S476" s="42"/>
      <c r="T476" s="43" t="str">
        <f>IFERROR(__xludf.DUMMYFUNCTION("IFERROR(VLOOKUP(C476,IMPORTRANGE(""https://docs.google.com/spreadsheets/d/1RmEXtNg60OGvqZjyMxiYNPJ6S_kcz01v57qrHugDWVc/edit#gid=0"",""Chegadas!E:AQ""),19,0),"""")"),"")</f>
        <v/>
      </c>
      <c r="U476" s="100"/>
      <c r="V476" s="98"/>
      <c r="W476" s="98"/>
    </row>
    <row r="477" hidden="1">
      <c r="A477" s="95"/>
      <c r="B477" s="95"/>
      <c r="C477" s="54"/>
      <c r="D477" s="83"/>
      <c r="E477" s="96"/>
      <c r="F477" s="42"/>
      <c r="G477" s="97"/>
      <c r="H477" s="96"/>
      <c r="I477" s="96"/>
      <c r="J477" s="98"/>
      <c r="K477" s="99"/>
      <c r="L477" s="96"/>
      <c r="M477" s="42"/>
      <c r="N477" s="42"/>
      <c r="O477" s="42"/>
      <c r="P477" s="83"/>
      <c r="Q477" s="83"/>
      <c r="R477" s="42"/>
      <c r="S477" s="42"/>
      <c r="T477" s="43" t="str">
        <f>IFERROR(__xludf.DUMMYFUNCTION("IFERROR(VLOOKUP(C477,IMPORTRANGE(""https://docs.google.com/spreadsheets/d/1RmEXtNg60OGvqZjyMxiYNPJ6S_kcz01v57qrHugDWVc/edit#gid=0"",""Chegadas!E:AQ""),19,0),"""")"),"")</f>
        <v/>
      </c>
      <c r="U477" s="100"/>
      <c r="V477" s="98"/>
      <c r="W477" s="98"/>
    </row>
    <row r="478" hidden="1">
      <c r="A478" s="95"/>
      <c r="B478" s="95"/>
      <c r="C478" s="54"/>
      <c r="D478" s="83"/>
      <c r="E478" s="96"/>
      <c r="F478" s="42"/>
      <c r="G478" s="97"/>
      <c r="H478" s="96"/>
      <c r="I478" s="96"/>
      <c r="J478" s="98"/>
      <c r="K478" s="99"/>
      <c r="L478" s="96"/>
      <c r="M478" s="42"/>
      <c r="N478" s="42"/>
      <c r="O478" s="42"/>
      <c r="P478" s="83"/>
      <c r="Q478" s="83"/>
      <c r="R478" s="42"/>
      <c r="S478" s="42"/>
      <c r="T478" s="43" t="str">
        <f>IFERROR(__xludf.DUMMYFUNCTION("IFERROR(VLOOKUP(C478,IMPORTRANGE(""https://docs.google.com/spreadsheets/d/1RmEXtNg60OGvqZjyMxiYNPJ6S_kcz01v57qrHugDWVc/edit#gid=0"",""Chegadas!E:AQ""),19,0),"""")"),"")</f>
        <v/>
      </c>
      <c r="U478" s="100"/>
      <c r="V478" s="98"/>
      <c r="W478" s="98"/>
    </row>
    <row r="479" hidden="1">
      <c r="A479" s="95"/>
      <c r="B479" s="95"/>
      <c r="C479" s="54"/>
      <c r="D479" s="83"/>
      <c r="E479" s="96"/>
      <c r="F479" s="42"/>
      <c r="G479" s="97"/>
      <c r="H479" s="96"/>
      <c r="I479" s="96"/>
      <c r="J479" s="98"/>
      <c r="K479" s="99"/>
      <c r="L479" s="96"/>
      <c r="M479" s="42"/>
      <c r="N479" s="42"/>
      <c r="O479" s="42"/>
      <c r="P479" s="83"/>
      <c r="Q479" s="83"/>
      <c r="R479" s="42"/>
      <c r="S479" s="42"/>
      <c r="T479" s="43" t="str">
        <f>IFERROR(__xludf.DUMMYFUNCTION("IFERROR(VLOOKUP(C479,IMPORTRANGE(""https://docs.google.com/spreadsheets/d/1RmEXtNg60OGvqZjyMxiYNPJ6S_kcz01v57qrHugDWVc/edit#gid=0"",""Chegadas!E:AQ""),19,0),"""")"),"")</f>
        <v/>
      </c>
      <c r="U479" s="100"/>
      <c r="V479" s="98"/>
      <c r="W479" s="98"/>
    </row>
    <row r="480" hidden="1">
      <c r="A480" s="95"/>
      <c r="B480" s="95"/>
      <c r="C480" s="54"/>
      <c r="D480" s="83"/>
      <c r="E480" s="96"/>
      <c r="F480" s="42"/>
      <c r="G480" s="97"/>
      <c r="H480" s="96"/>
      <c r="I480" s="96"/>
      <c r="J480" s="98"/>
      <c r="K480" s="99"/>
      <c r="L480" s="96"/>
      <c r="M480" s="42"/>
      <c r="N480" s="42"/>
      <c r="O480" s="42"/>
      <c r="P480" s="83"/>
      <c r="Q480" s="83"/>
      <c r="R480" s="42"/>
      <c r="S480" s="42"/>
      <c r="T480" s="43" t="str">
        <f>IFERROR(__xludf.DUMMYFUNCTION("IFERROR(VLOOKUP(C480,IMPORTRANGE(""https://docs.google.com/spreadsheets/d/1RmEXtNg60OGvqZjyMxiYNPJ6S_kcz01v57qrHugDWVc/edit#gid=0"",""Chegadas!E:AQ""),19,0),"""")"),"")</f>
        <v/>
      </c>
      <c r="U480" s="100"/>
      <c r="V480" s="98"/>
      <c r="W480" s="98"/>
    </row>
    <row r="481" hidden="1">
      <c r="A481" s="95"/>
      <c r="B481" s="95"/>
      <c r="C481" s="54"/>
      <c r="D481" s="83"/>
      <c r="E481" s="96"/>
      <c r="F481" s="42"/>
      <c r="G481" s="97"/>
      <c r="H481" s="96"/>
      <c r="I481" s="96"/>
      <c r="J481" s="98"/>
      <c r="K481" s="99"/>
      <c r="L481" s="96"/>
      <c r="M481" s="42"/>
      <c r="N481" s="42"/>
      <c r="O481" s="42"/>
      <c r="P481" s="83"/>
      <c r="Q481" s="83"/>
      <c r="R481" s="42"/>
      <c r="S481" s="42"/>
      <c r="T481" s="43" t="str">
        <f>IFERROR(__xludf.DUMMYFUNCTION("IFERROR(VLOOKUP(C481,IMPORTRANGE(""https://docs.google.com/spreadsheets/d/1RmEXtNg60OGvqZjyMxiYNPJ6S_kcz01v57qrHugDWVc/edit#gid=0"",""Chegadas!E:AQ""),19,0),"""")"),"")</f>
        <v/>
      </c>
      <c r="U481" s="100"/>
      <c r="V481" s="98"/>
      <c r="W481" s="98"/>
    </row>
    <row r="482" hidden="1">
      <c r="A482" s="95"/>
      <c r="B482" s="95"/>
      <c r="C482" s="54"/>
      <c r="D482" s="83"/>
      <c r="E482" s="96"/>
      <c r="F482" s="42"/>
      <c r="G482" s="97"/>
      <c r="H482" s="96"/>
      <c r="I482" s="96"/>
      <c r="J482" s="98"/>
      <c r="K482" s="99"/>
      <c r="L482" s="96"/>
      <c r="M482" s="42"/>
      <c r="N482" s="42"/>
      <c r="O482" s="42"/>
      <c r="P482" s="83"/>
      <c r="Q482" s="83"/>
      <c r="R482" s="42"/>
      <c r="S482" s="42"/>
      <c r="T482" s="43" t="str">
        <f>IFERROR(__xludf.DUMMYFUNCTION("IFERROR(VLOOKUP(C482,IMPORTRANGE(""https://docs.google.com/spreadsheets/d/1RmEXtNg60OGvqZjyMxiYNPJ6S_kcz01v57qrHugDWVc/edit#gid=0"",""Chegadas!E:AQ""),19,0),"""")"),"")</f>
        <v/>
      </c>
      <c r="U482" s="100"/>
      <c r="V482" s="98"/>
      <c r="W482" s="98"/>
    </row>
    <row r="483" hidden="1">
      <c r="A483" s="95"/>
      <c r="B483" s="95"/>
      <c r="C483" s="54"/>
      <c r="D483" s="83"/>
      <c r="E483" s="96"/>
      <c r="F483" s="42"/>
      <c r="G483" s="97"/>
      <c r="H483" s="96"/>
      <c r="I483" s="96"/>
      <c r="J483" s="98"/>
      <c r="K483" s="99"/>
      <c r="L483" s="96"/>
      <c r="M483" s="42"/>
      <c r="N483" s="42"/>
      <c r="O483" s="42"/>
      <c r="P483" s="83"/>
      <c r="Q483" s="83"/>
      <c r="R483" s="42"/>
      <c r="S483" s="42"/>
      <c r="T483" s="43" t="str">
        <f>IFERROR(__xludf.DUMMYFUNCTION("IFERROR(VLOOKUP(C483,IMPORTRANGE(""https://docs.google.com/spreadsheets/d/1RmEXtNg60OGvqZjyMxiYNPJ6S_kcz01v57qrHugDWVc/edit#gid=0"",""Chegadas!E:AQ""),19,0),"""")"),"")</f>
        <v/>
      </c>
      <c r="U483" s="100"/>
      <c r="V483" s="98"/>
      <c r="W483" s="98"/>
    </row>
    <row r="484" hidden="1">
      <c r="A484" s="95"/>
      <c r="B484" s="95"/>
      <c r="C484" s="54"/>
      <c r="D484" s="83"/>
      <c r="E484" s="96"/>
      <c r="F484" s="42"/>
      <c r="G484" s="97"/>
      <c r="H484" s="96"/>
      <c r="I484" s="96"/>
      <c r="J484" s="98"/>
      <c r="K484" s="99"/>
      <c r="L484" s="96"/>
      <c r="M484" s="42"/>
      <c r="N484" s="42"/>
      <c r="O484" s="42"/>
      <c r="P484" s="83"/>
      <c r="Q484" s="83"/>
      <c r="R484" s="42"/>
      <c r="S484" s="42"/>
      <c r="T484" s="43" t="str">
        <f>IFERROR(__xludf.DUMMYFUNCTION("IFERROR(VLOOKUP(C484,IMPORTRANGE(""https://docs.google.com/spreadsheets/d/1RmEXtNg60OGvqZjyMxiYNPJ6S_kcz01v57qrHugDWVc/edit#gid=0"",""Chegadas!E:AQ""),19,0),"""")"),"")</f>
        <v/>
      </c>
      <c r="U484" s="100"/>
      <c r="V484" s="98"/>
      <c r="W484" s="98"/>
    </row>
    <row r="485" hidden="1">
      <c r="A485" s="95"/>
      <c r="B485" s="95"/>
      <c r="C485" s="54"/>
      <c r="D485" s="83"/>
      <c r="E485" s="96"/>
      <c r="F485" s="42"/>
      <c r="G485" s="97"/>
      <c r="H485" s="96"/>
      <c r="I485" s="96"/>
      <c r="J485" s="98"/>
      <c r="K485" s="99"/>
      <c r="L485" s="96"/>
      <c r="M485" s="42"/>
      <c r="N485" s="42"/>
      <c r="O485" s="42"/>
      <c r="P485" s="83"/>
      <c r="Q485" s="83"/>
      <c r="R485" s="42"/>
      <c r="S485" s="42"/>
      <c r="T485" s="43" t="str">
        <f>IFERROR(__xludf.DUMMYFUNCTION("IFERROR(VLOOKUP(C485,IMPORTRANGE(""https://docs.google.com/spreadsheets/d/1RmEXtNg60OGvqZjyMxiYNPJ6S_kcz01v57qrHugDWVc/edit#gid=0"",""Chegadas!E:AQ""),19,0),"""")"),"")</f>
        <v/>
      </c>
      <c r="U485" s="100"/>
      <c r="V485" s="98"/>
      <c r="W485" s="98"/>
    </row>
    <row r="486" hidden="1">
      <c r="A486" s="95"/>
      <c r="B486" s="95"/>
      <c r="C486" s="54"/>
      <c r="D486" s="83"/>
      <c r="E486" s="96"/>
      <c r="F486" s="42"/>
      <c r="G486" s="97"/>
      <c r="H486" s="96"/>
      <c r="I486" s="96"/>
      <c r="J486" s="98"/>
      <c r="K486" s="99"/>
      <c r="L486" s="96"/>
      <c r="M486" s="42"/>
      <c r="N486" s="42"/>
      <c r="O486" s="42"/>
      <c r="P486" s="83"/>
      <c r="Q486" s="83"/>
      <c r="R486" s="42"/>
      <c r="S486" s="42"/>
      <c r="T486" s="43" t="str">
        <f>IFERROR(__xludf.DUMMYFUNCTION("IFERROR(VLOOKUP(C486,IMPORTRANGE(""https://docs.google.com/spreadsheets/d/1RmEXtNg60OGvqZjyMxiYNPJ6S_kcz01v57qrHugDWVc/edit#gid=0"",""Chegadas!E:AQ""),19,0),"""")"),"")</f>
        <v/>
      </c>
      <c r="U486" s="100"/>
      <c r="V486" s="98"/>
      <c r="W486" s="98"/>
    </row>
    <row r="487" hidden="1">
      <c r="A487" s="95"/>
      <c r="B487" s="95"/>
      <c r="C487" s="54"/>
      <c r="D487" s="83"/>
      <c r="E487" s="96"/>
      <c r="F487" s="42"/>
      <c r="G487" s="97"/>
      <c r="H487" s="96"/>
      <c r="I487" s="96"/>
      <c r="J487" s="98"/>
      <c r="K487" s="99"/>
      <c r="L487" s="96"/>
      <c r="M487" s="42"/>
      <c r="N487" s="42"/>
      <c r="O487" s="42"/>
      <c r="P487" s="83"/>
      <c r="Q487" s="83"/>
      <c r="R487" s="42"/>
      <c r="S487" s="42"/>
      <c r="T487" s="43" t="str">
        <f>IFERROR(__xludf.DUMMYFUNCTION("IFERROR(VLOOKUP(C487,IMPORTRANGE(""https://docs.google.com/spreadsheets/d/1RmEXtNg60OGvqZjyMxiYNPJ6S_kcz01v57qrHugDWVc/edit#gid=0"",""Chegadas!E:AQ""),19,0),"""")"),"")</f>
        <v/>
      </c>
      <c r="U487" s="100"/>
      <c r="V487" s="98"/>
      <c r="W487" s="98"/>
    </row>
    <row r="488" hidden="1">
      <c r="A488" s="95"/>
      <c r="B488" s="95"/>
      <c r="C488" s="54"/>
      <c r="D488" s="83"/>
      <c r="E488" s="96"/>
      <c r="F488" s="42"/>
      <c r="G488" s="97"/>
      <c r="H488" s="96"/>
      <c r="I488" s="96"/>
      <c r="J488" s="98"/>
      <c r="K488" s="99"/>
      <c r="L488" s="96"/>
      <c r="M488" s="42"/>
      <c r="N488" s="42"/>
      <c r="O488" s="42"/>
      <c r="P488" s="83"/>
      <c r="Q488" s="83"/>
      <c r="R488" s="42"/>
      <c r="S488" s="42"/>
      <c r="T488" s="43" t="str">
        <f>IFERROR(__xludf.DUMMYFUNCTION("IFERROR(VLOOKUP(C488,IMPORTRANGE(""https://docs.google.com/spreadsheets/d/1RmEXtNg60OGvqZjyMxiYNPJ6S_kcz01v57qrHugDWVc/edit#gid=0"",""Chegadas!E:AQ""),19,0),"""")"),"")</f>
        <v/>
      </c>
      <c r="U488" s="100"/>
      <c r="V488" s="98"/>
      <c r="W488" s="98"/>
    </row>
    <row r="489" hidden="1">
      <c r="A489" s="95"/>
      <c r="B489" s="95"/>
      <c r="C489" s="54"/>
      <c r="D489" s="83"/>
      <c r="E489" s="96"/>
      <c r="F489" s="42"/>
      <c r="G489" s="97"/>
      <c r="H489" s="96"/>
      <c r="I489" s="96"/>
      <c r="J489" s="98"/>
      <c r="K489" s="99"/>
      <c r="L489" s="96"/>
      <c r="M489" s="42"/>
      <c r="N489" s="42"/>
      <c r="O489" s="42"/>
      <c r="P489" s="83"/>
      <c r="Q489" s="83"/>
      <c r="R489" s="42"/>
      <c r="S489" s="42"/>
      <c r="T489" s="43" t="str">
        <f>IFERROR(__xludf.DUMMYFUNCTION("IFERROR(VLOOKUP(C489,IMPORTRANGE(""https://docs.google.com/spreadsheets/d/1RmEXtNg60OGvqZjyMxiYNPJ6S_kcz01v57qrHugDWVc/edit#gid=0"",""Chegadas!E:AQ""),19,0),"""")"),"")</f>
        <v/>
      </c>
      <c r="U489" s="100"/>
      <c r="V489" s="98"/>
      <c r="W489" s="98"/>
    </row>
    <row r="490" hidden="1">
      <c r="A490" s="95"/>
      <c r="B490" s="95"/>
      <c r="C490" s="54"/>
      <c r="D490" s="83"/>
      <c r="E490" s="96"/>
      <c r="F490" s="42"/>
      <c r="G490" s="97"/>
      <c r="H490" s="96"/>
      <c r="I490" s="96"/>
      <c r="J490" s="98"/>
      <c r="K490" s="99"/>
      <c r="L490" s="96"/>
      <c r="M490" s="42"/>
      <c r="N490" s="42"/>
      <c r="O490" s="42"/>
      <c r="P490" s="83"/>
      <c r="Q490" s="83"/>
      <c r="R490" s="42"/>
      <c r="S490" s="42"/>
      <c r="T490" s="43" t="str">
        <f>IFERROR(__xludf.DUMMYFUNCTION("IFERROR(VLOOKUP(C490,IMPORTRANGE(""https://docs.google.com/spreadsheets/d/1RmEXtNg60OGvqZjyMxiYNPJ6S_kcz01v57qrHugDWVc/edit#gid=0"",""Chegadas!E:AQ""),19,0),"""")"),"")</f>
        <v/>
      </c>
      <c r="U490" s="100"/>
      <c r="V490" s="98"/>
      <c r="W490" s="98"/>
    </row>
    <row r="491" hidden="1">
      <c r="A491" s="95"/>
      <c r="B491" s="95"/>
      <c r="C491" s="54"/>
      <c r="D491" s="83"/>
      <c r="E491" s="96"/>
      <c r="F491" s="42"/>
      <c r="G491" s="97"/>
      <c r="H491" s="96"/>
      <c r="I491" s="96"/>
      <c r="J491" s="98"/>
      <c r="K491" s="99"/>
      <c r="L491" s="96"/>
      <c r="M491" s="42"/>
      <c r="N491" s="42"/>
      <c r="O491" s="42"/>
      <c r="P491" s="83"/>
      <c r="Q491" s="83"/>
      <c r="R491" s="42"/>
      <c r="S491" s="42"/>
      <c r="T491" s="43" t="str">
        <f>IFERROR(__xludf.DUMMYFUNCTION("IFERROR(VLOOKUP(C491,IMPORTRANGE(""https://docs.google.com/spreadsheets/d/1RmEXtNg60OGvqZjyMxiYNPJ6S_kcz01v57qrHugDWVc/edit#gid=0"",""Chegadas!E:AQ""),19,0),"""")"),"")</f>
        <v/>
      </c>
      <c r="U491" s="100"/>
      <c r="V491" s="98"/>
      <c r="W491" s="98"/>
    </row>
    <row r="492" hidden="1">
      <c r="A492" s="95"/>
      <c r="B492" s="95"/>
      <c r="C492" s="54"/>
      <c r="D492" s="83"/>
      <c r="E492" s="96"/>
      <c r="F492" s="42"/>
      <c r="G492" s="97"/>
      <c r="H492" s="96"/>
      <c r="I492" s="96"/>
      <c r="J492" s="98"/>
      <c r="K492" s="99"/>
      <c r="L492" s="96"/>
      <c r="M492" s="42"/>
      <c r="N492" s="42"/>
      <c r="O492" s="42"/>
      <c r="P492" s="83"/>
      <c r="Q492" s="83"/>
      <c r="R492" s="42"/>
      <c r="S492" s="42"/>
      <c r="T492" s="43" t="str">
        <f>IFERROR(__xludf.DUMMYFUNCTION("IFERROR(VLOOKUP(C492,IMPORTRANGE(""https://docs.google.com/spreadsheets/d/1RmEXtNg60OGvqZjyMxiYNPJ6S_kcz01v57qrHugDWVc/edit#gid=0"",""Chegadas!E:AQ""),19,0),"""")"),"")</f>
        <v/>
      </c>
      <c r="U492" s="100"/>
      <c r="V492" s="98"/>
      <c r="W492" s="98"/>
    </row>
    <row r="493" hidden="1">
      <c r="A493" s="95"/>
      <c r="B493" s="95"/>
      <c r="C493" s="54"/>
      <c r="D493" s="83"/>
      <c r="E493" s="96"/>
      <c r="F493" s="42"/>
      <c r="G493" s="97"/>
      <c r="H493" s="96"/>
      <c r="I493" s="96"/>
      <c r="J493" s="98"/>
      <c r="K493" s="99"/>
      <c r="L493" s="96"/>
      <c r="M493" s="42"/>
      <c r="N493" s="42"/>
      <c r="O493" s="42"/>
      <c r="P493" s="83"/>
      <c r="Q493" s="83"/>
      <c r="R493" s="42"/>
      <c r="S493" s="42"/>
      <c r="T493" s="43" t="str">
        <f>IFERROR(__xludf.DUMMYFUNCTION("IFERROR(VLOOKUP(C493,IMPORTRANGE(""https://docs.google.com/spreadsheets/d/1RmEXtNg60OGvqZjyMxiYNPJ6S_kcz01v57qrHugDWVc/edit#gid=0"",""Chegadas!E:AQ""),19,0),"""")"),"")</f>
        <v/>
      </c>
      <c r="U493" s="100"/>
      <c r="V493" s="98"/>
      <c r="W493" s="98"/>
    </row>
    <row r="494" hidden="1">
      <c r="A494" s="95"/>
      <c r="B494" s="95"/>
      <c r="C494" s="54"/>
      <c r="D494" s="83"/>
      <c r="E494" s="96"/>
      <c r="F494" s="42"/>
      <c r="G494" s="97"/>
      <c r="H494" s="96"/>
      <c r="I494" s="96"/>
      <c r="J494" s="98"/>
      <c r="K494" s="99"/>
      <c r="L494" s="96"/>
      <c r="M494" s="42"/>
      <c r="N494" s="42"/>
      <c r="O494" s="42"/>
      <c r="P494" s="83"/>
      <c r="Q494" s="83"/>
      <c r="R494" s="42"/>
      <c r="S494" s="42"/>
      <c r="T494" s="43" t="str">
        <f>IFERROR(__xludf.DUMMYFUNCTION("IFERROR(VLOOKUP(C494,IMPORTRANGE(""https://docs.google.com/spreadsheets/d/1RmEXtNg60OGvqZjyMxiYNPJ6S_kcz01v57qrHugDWVc/edit#gid=0"",""Chegadas!E:AQ""),19,0),"""")"),"")</f>
        <v/>
      </c>
      <c r="U494" s="100"/>
      <c r="V494" s="98"/>
      <c r="W494" s="98"/>
    </row>
    <row r="495" hidden="1">
      <c r="A495" s="95"/>
      <c r="B495" s="95"/>
      <c r="C495" s="54"/>
      <c r="D495" s="83"/>
      <c r="E495" s="96"/>
      <c r="F495" s="42"/>
      <c r="G495" s="97"/>
      <c r="H495" s="96"/>
      <c r="I495" s="96"/>
      <c r="J495" s="98"/>
      <c r="K495" s="99"/>
      <c r="L495" s="96"/>
      <c r="M495" s="42"/>
      <c r="N495" s="42"/>
      <c r="O495" s="42"/>
      <c r="P495" s="83"/>
      <c r="Q495" s="83"/>
      <c r="R495" s="42"/>
      <c r="S495" s="42"/>
      <c r="T495" s="43" t="str">
        <f>IFERROR(__xludf.DUMMYFUNCTION("IFERROR(VLOOKUP(C495,IMPORTRANGE(""https://docs.google.com/spreadsheets/d/1RmEXtNg60OGvqZjyMxiYNPJ6S_kcz01v57qrHugDWVc/edit#gid=0"",""Chegadas!E:AQ""),19,0),"""")"),"")</f>
        <v/>
      </c>
      <c r="U495" s="100"/>
      <c r="V495" s="98"/>
      <c r="W495" s="98"/>
    </row>
    <row r="496" hidden="1">
      <c r="A496" s="95"/>
      <c r="B496" s="95"/>
      <c r="C496" s="54"/>
      <c r="D496" s="83"/>
      <c r="E496" s="96"/>
      <c r="F496" s="42"/>
      <c r="G496" s="97"/>
      <c r="H496" s="96"/>
      <c r="I496" s="96"/>
      <c r="J496" s="98"/>
      <c r="K496" s="99"/>
      <c r="L496" s="96"/>
      <c r="M496" s="42"/>
      <c r="N496" s="42"/>
      <c r="O496" s="42"/>
      <c r="P496" s="83"/>
      <c r="Q496" s="83"/>
      <c r="R496" s="42"/>
      <c r="S496" s="42"/>
      <c r="T496" s="43" t="str">
        <f>IFERROR(__xludf.DUMMYFUNCTION("IFERROR(VLOOKUP(C496,IMPORTRANGE(""https://docs.google.com/spreadsheets/d/1RmEXtNg60OGvqZjyMxiYNPJ6S_kcz01v57qrHugDWVc/edit#gid=0"",""Chegadas!E:AQ""),19,0),"""")"),"")</f>
        <v/>
      </c>
      <c r="U496" s="100"/>
      <c r="V496" s="98"/>
      <c r="W496" s="98"/>
    </row>
    <row r="497" hidden="1">
      <c r="A497" s="95"/>
      <c r="B497" s="95"/>
      <c r="C497" s="54"/>
      <c r="D497" s="83"/>
      <c r="E497" s="96"/>
      <c r="F497" s="42"/>
      <c r="G497" s="97"/>
      <c r="H497" s="96"/>
      <c r="I497" s="96"/>
      <c r="J497" s="98"/>
      <c r="K497" s="99"/>
      <c r="L497" s="96"/>
      <c r="M497" s="42"/>
      <c r="N497" s="42"/>
      <c r="O497" s="42"/>
      <c r="P497" s="83"/>
      <c r="Q497" s="83"/>
      <c r="R497" s="42"/>
      <c r="S497" s="42"/>
      <c r="T497" s="43" t="str">
        <f>IFERROR(__xludf.DUMMYFUNCTION("IFERROR(VLOOKUP(C497,IMPORTRANGE(""https://docs.google.com/spreadsheets/d/1RmEXtNg60OGvqZjyMxiYNPJ6S_kcz01v57qrHugDWVc/edit#gid=0"",""Chegadas!E:AQ""),19,0),"""")"),"")</f>
        <v/>
      </c>
      <c r="U497" s="100"/>
      <c r="V497" s="98"/>
      <c r="W497" s="98"/>
    </row>
    <row r="498" hidden="1">
      <c r="A498" s="95"/>
      <c r="B498" s="95"/>
      <c r="C498" s="54"/>
      <c r="D498" s="83"/>
      <c r="E498" s="96"/>
      <c r="F498" s="42"/>
      <c r="G498" s="97"/>
      <c r="H498" s="96"/>
      <c r="I498" s="96"/>
      <c r="J498" s="98"/>
      <c r="K498" s="99"/>
      <c r="L498" s="96"/>
      <c r="M498" s="42"/>
      <c r="N498" s="42"/>
      <c r="O498" s="42"/>
      <c r="P498" s="83"/>
      <c r="Q498" s="83"/>
      <c r="R498" s="42"/>
      <c r="S498" s="42"/>
      <c r="T498" s="43" t="str">
        <f>IFERROR(__xludf.DUMMYFUNCTION("IFERROR(VLOOKUP(C498,IMPORTRANGE(""https://docs.google.com/spreadsheets/d/1RmEXtNg60OGvqZjyMxiYNPJ6S_kcz01v57qrHugDWVc/edit#gid=0"",""Chegadas!E:AQ""),19,0),"""")"),"")</f>
        <v/>
      </c>
      <c r="U498" s="100"/>
      <c r="V498" s="98"/>
      <c r="W498" s="98"/>
    </row>
    <row r="499" hidden="1">
      <c r="A499" s="95"/>
      <c r="B499" s="95"/>
      <c r="C499" s="54"/>
      <c r="D499" s="83"/>
      <c r="E499" s="96"/>
      <c r="F499" s="42"/>
      <c r="G499" s="97"/>
      <c r="H499" s="96"/>
      <c r="I499" s="96"/>
      <c r="J499" s="98"/>
      <c r="K499" s="99"/>
      <c r="L499" s="96"/>
      <c r="M499" s="42"/>
      <c r="N499" s="42"/>
      <c r="O499" s="42"/>
      <c r="P499" s="83"/>
      <c r="Q499" s="83"/>
      <c r="R499" s="42"/>
      <c r="S499" s="42"/>
      <c r="T499" s="43" t="str">
        <f>IFERROR(__xludf.DUMMYFUNCTION("IFERROR(VLOOKUP(C499,IMPORTRANGE(""https://docs.google.com/spreadsheets/d/1RmEXtNg60OGvqZjyMxiYNPJ6S_kcz01v57qrHugDWVc/edit#gid=0"",""Chegadas!E:AQ""),19,0),"""")"),"")</f>
        <v/>
      </c>
      <c r="U499" s="100"/>
      <c r="V499" s="98"/>
      <c r="W499" s="98"/>
    </row>
    <row r="500" hidden="1">
      <c r="A500" s="95"/>
      <c r="B500" s="95"/>
      <c r="C500" s="54"/>
      <c r="D500" s="83"/>
      <c r="E500" s="96"/>
      <c r="F500" s="42"/>
      <c r="G500" s="97"/>
      <c r="H500" s="96"/>
      <c r="I500" s="96"/>
      <c r="J500" s="98"/>
      <c r="K500" s="99"/>
      <c r="L500" s="96"/>
      <c r="M500" s="42"/>
      <c r="N500" s="42"/>
      <c r="O500" s="42"/>
      <c r="P500" s="83"/>
      <c r="Q500" s="83"/>
      <c r="R500" s="42"/>
      <c r="S500" s="42"/>
      <c r="T500" s="43" t="str">
        <f>IFERROR(__xludf.DUMMYFUNCTION("IFERROR(VLOOKUP(C500,IMPORTRANGE(""https://docs.google.com/spreadsheets/d/1RmEXtNg60OGvqZjyMxiYNPJ6S_kcz01v57qrHugDWVc/edit#gid=0"",""Chegadas!E:AQ""),19,0),"""")"),"")</f>
        <v/>
      </c>
      <c r="U500" s="100"/>
      <c r="V500" s="98"/>
      <c r="W500" s="98"/>
    </row>
    <row r="501" hidden="1">
      <c r="A501" s="95"/>
      <c r="B501" s="95"/>
      <c r="C501" s="54"/>
      <c r="D501" s="83"/>
      <c r="E501" s="96"/>
      <c r="F501" s="42"/>
      <c r="G501" s="97"/>
      <c r="H501" s="96"/>
      <c r="I501" s="96"/>
      <c r="J501" s="98"/>
      <c r="K501" s="99"/>
      <c r="L501" s="96"/>
      <c r="M501" s="42"/>
      <c r="N501" s="42"/>
      <c r="O501" s="42"/>
      <c r="P501" s="83"/>
      <c r="Q501" s="83"/>
      <c r="R501" s="42"/>
      <c r="S501" s="42"/>
      <c r="T501" s="43" t="str">
        <f>IFERROR(__xludf.DUMMYFUNCTION("IFERROR(VLOOKUP(C501,IMPORTRANGE(""https://docs.google.com/spreadsheets/d/1RmEXtNg60OGvqZjyMxiYNPJ6S_kcz01v57qrHugDWVc/edit#gid=0"",""Chegadas!E:AQ""),19,0),"""")"),"")</f>
        <v/>
      </c>
      <c r="U501" s="100"/>
      <c r="V501" s="98"/>
      <c r="W501" s="98"/>
    </row>
    <row r="502" hidden="1">
      <c r="A502" s="95"/>
      <c r="B502" s="95"/>
      <c r="C502" s="54"/>
      <c r="D502" s="83"/>
      <c r="E502" s="96"/>
      <c r="F502" s="42"/>
      <c r="G502" s="97"/>
      <c r="H502" s="96"/>
      <c r="I502" s="96"/>
      <c r="J502" s="98"/>
      <c r="K502" s="99"/>
      <c r="L502" s="96"/>
      <c r="M502" s="42"/>
      <c r="N502" s="42"/>
      <c r="O502" s="42"/>
      <c r="P502" s="83"/>
      <c r="Q502" s="83"/>
      <c r="R502" s="42"/>
      <c r="S502" s="42"/>
      <c r="T502" s="43" t="str">
        <f>IFERROR(__xludf.DUMMYFUNCTION("IFERROR(VLOOKUP(C502,IMPORTRANGE(""https://docs.google.com/spreadsheets/d/1RmEXtNg60OGvqZjyMxiYNPJ6S_kcz01v57qrHugDWVc/edit#gid=0"",""Chegadas!E:AQ""),19,0),"""")"),"")</f>
        <v/>
      </c>
      <c r="U502" s="100"/>
      <c r="V502" s="98"/>
      <c r="W502" s="98"/>
    </row>
    <row r="503" hidden="1">
      <c r="A503" s="95"/>
      <c r="B503" s="95"/>
      <c r="C503" s="54"/>
      <c r="D503" s="83"/>
      <c r="E503" s="96"/>
      <c r="F503" s="42"/>
      <c r="G503" s="97"/>
      <c r="H503" s="96"/>
      <c r="I503" s="96"/>
      <c r="J503" s="98"/>
      <c r="K503" s="99"/>
      <c r="L503" s="96"/>
      <c r="M503" s="42"/>
      <c r="N503" s="42"/>
      <c r="O503" s="42"/>
      <c r="P503" s="83"/>
      <c r="Q503" s="83"/>
      <c r="R503" s="42"/>
      <c r="S503" s="42"/>
      <c r="T503" s="43" t="str">
        <f>IFERROR(__xludf.DUMMYFUNCTION("IFERROR(VLOOKUP(C503,IMPORTRANGE(""https://docs.google.com/spreadsheets/d/1RmEXtNg60OGvqZjyMxiYNPJ6S_kcz01v57qrHugDWVc/edit#gid=0"",""Chegadas!E:AQ""),19,0),"""")"),"")</f>
        <v/>
      </c>
      <c r="U503" s="100"/>
      <c r="V503" s="98"/>
      <c r="W503" s="98"/>
    </row>
    <row r="504" hidden="1">
      <c r="A504" s="95"/>
      <c r="B504" s="95"/>
      <c r="C504" s="54"/>
      <c r="D504" s="83"/>
      <c r="E504" s="96"/>
      <c r="F504" s="42"/>
      <c r="G504" s="97"/>
      <c r="H504" s="96"/>
      <c r="I504" s="96"/>
      <c r="J504" s="98"/>
      <c r="K504" s="99"/>
      <c r="L504" s="96"/>
      <c r="M504" s="42"/>
      <c r="N504" s="42"/>
      <c r="O504" s="42"/>
      <c r="P504" s="83"/>
      <c r="Q504" s="83"/>
      <c r="R504" s="42"/>
      <c r="S504" s="42"/>
      <c r="T504" s="43" t="str">
        <f>IFERROR(__xludf.DUMMYFUNCTION("IFERROR(VLOOKUP(C504,IMPORTRANGE(""https://docs.google.com/spreadsheets/d/1RmEXtNg60OGvqZjyMxiYNPJ6S_kcz01v57qrHugDWVc/edit#gid=0"",""Chegadas!E:AQ""),19,0),"""")"),"")</f>
        <v/>
      </c>
      <c r="U504" s="100"/>
      <c r="V504" s="98"/>
      <c r="W504" s="98"/>
    </row>
    <row r="505" hidden="1">
      <c r="A505" s="95"/>
      <c r="B505" s="95"/>
      <c r="C505" s="54"/>
      <c r="D505" s="83"/>
      <c r="E505" s="96"/>
      <c r="F505" s="42"/>
      <c r="G505" s="97"/>
      <c r="H505" s="96"/>
      <c r="I505" s="96"/>
      <c r="J505" s="98"/>
      <c r="K505" s="99"/>
      <c r="L505" s="96"/>
      <c r="M505" s="42"/>
      <c r="N505" s="42"/>
      <c r="O505" s="42"/>
      <c r="P505" s="83"/>
      <c r="Q505" s="83"/>
      <c r="R505" s="42"/>
      <c r="S505" s="42"/>
      <c r="T505" s="43" t="str">
        <f>IFERROR(__xludf.DUMMYFUNCTION("IFERROR(VLOOKUP(C505,IMPORTRANGE(""https://docs.google.com/spreadsheets/d/1RmEXtNg60OGvqZjyMxiYNPJ6S_kcz01v57qrHugDWVc/edit#gid=0"",""Chegadas!E:AQ""),19,0),"""")"),"")</f>
        <v/>
      </c>
      <c r="U505" s="100"/>
      <c r="V505" s="98"/>
      <c r="W505" s="98"/>
    </row>
    <row r="506" hidden="1">
      <c r="A506" s="95"/>
      <c r="B506" s="95"/>
      <c r="C506" s="54"/>
      <c r="D506" s="83"/>
      <c r="E506" s="96"/>
      <c r="F506" s="42"/>
      <c r="G506" s="97"/>
      <c r="H506" s="96"/>
      <c r="I506" s="96"/>
      <c r="J506" s="98"/>
      <c r="K506" s="99"/>
      <c r="L506" s="96"/>
      <c r="M506" s="42"/>
      <c r="N506" s="42"/>
      <c r="O506" s="42"/>
      <c r="P506" s="83"/>
      <c r="Q506" s="83"/>
      <c r="R506" s="42"/>
      <c r="S506" s="42"/>
      <c r="T506" s="43" t="str">
        <f>IFERROR(__xludf.DUMMYFUNCTION("IFERROR(VLOOKUP(C506,IMPORTRANGE(""https://docs.google.com/spreadsheets/d/1RmEXtNg60OGvqZjyMxiYNPJ6S_kcz01v57qrHugDWVc/edit#gid=0"",""Chegadas!E:AQ""),19,0),"""")"),"")</f>
        <v/>
      </c>
      <c r="U506" s="100"/>
      <c r="V506" s="98"/>
      <c r="W506" s="98"/>
    </row>
    <row r="507" hidden="1">
      <c r="A507" s="95"/>
      <c r="B507" s="95"/>
      <c r="C507" s="54"/>
      <c r="D507" s="83"/>
      <c r="E507" s="96"/>
      <c r="F507" s="42"/>
      <c r="G507" s="97"/>
      <c r="H507" s="96"/>
      <c r="I507" s="96"/>
      <c r="J507" s="98"/>
      <c r="K507" s="99"/>
      <c r="L507" s="96"/>
      <c r="M507" s="42"/>
      <c r="N507" s="42"/>
      <c r="O507" s="42"/>
      <c r="P507" s="83"/>
      <c r="Q507" s="83"/>
      <c r="R507" s="42"/>
      <c r="S507" s="42"/>
      <c r="T507" s="43" t="str">
        <f>IFERROR(__xludf.DUMMYFUNCTION("IFERROR(VLOOKUP(C507,IMPORTRANGE(""https://docs.google.com/spreadsheets/d/1RmEXtNg60OGvqZjyMxiYNPJ6S_kcz01v57qrHugDWVc/edit#gid=0"",""Chegadas!E:AQ""),19,0),"""")"),"")</f>
        <v/>
      </c>
      <c r="U507" s="100"/>
      <c r="V507" s="98"/>
      <c r="W507" s="98"/>
    </row>
    <row r="508" hidden="1">
      <c r="A508" s="95"/>
      <c r="B508" s="95"/>
      <c r="C508" s="54"/>
      <c r="D508" s="83"/>
      <c r="E508" s="96"/>
      <c r="F508" s="42"/>
      <c r="G508" s="97"/>
      <c r="H508" s="96"/>
      <c r="I508" s="96"/>
      <c r="J508" s="98"/>
      <c r="K508" s="99"/>
      <c r="L508" s="96"/>
      <c r="M508" s="42"/>
      <c r="N508" s="42"/>
      <c r="O508" s="42"/>
      <c r="P508" s="83"/>
      <c r="Q508" s="83"/>
      <c r="R508" s="42"/>
      <c r="S508" s="42"/>
      <c r="T508" s="43" t="str">
        <f>IFERROR(__xludf.DUMMYFUNCTION("IFERROR(VLOOKUP(C508,IMPORTRANGE(""https://docs.google.com/spreadsheets/d/1RmEXtNg60OGvqZjyMxiYNPJ6S_kcz01v57qrHugDWVc/edit#gid=0"",""Chegadas!E:AQ""),19,0),"""")"),"")</f>
        <v/>
      </c>
      <c r="U508" s="100"/>
      <c r="V508" s="98"/>
      <c r="W508" s="98"/>
    </row>
    <row r="509" hidden="1">
      <c r="A509" s="95"/>
      <c r="B509" s="95"/>
      <c r="C509" s="54"/>
      <c r="D509" s="83"/>
      <c r="E509" s="96"/>
      <c r="F509" s="42"/>
      <c r="G509" s="97"/>
      <c r="H509" s="96"/>
      <c r="I509" s="96"/>
      <c r="J509" s="98"/>
      <c r="K509" s="99"/>
      <c r="L509" s="96"/>
      <c r="M509" s="42"/>
      <c r="N509" s="42"/>
      <c r="O509" s="42"/>
      <c r="P509" s="83"/>
      <c r="Q509" s="83"/>
      <c r="R509" s="42"/>
      <c r="S509" s="42"/>
      <c r="T509" s="43" t="str">
        <f>IFERROR(__xludf.DUMMYFUNCTION("IFERROR(VLOOKUP(C509,IMPORTRANGE(""https://docs.google.com/spreadsheets/d/1RmEXtNg60OGvqZjyMxiYNPJ6S_kcz01v57qrHugDWVc/edit#gid=0"",""Chegadas!E:AQ""),19,0),"""")"),"")</f>
        <v/>
      </c>
      <c r="U509" s="100"/>
      <c r="V509" s="98"/>
      <c r="W509" s="98"/>
    </row>
    <row r="510" hidden="1">
      <c r="A510" s="95"/>
      <c r="B510" s="95"/>
      <c r="C510" s="54"/>
      <c r="D510" s="83"/>
      <c r="E510" s="96"/>
      <c r="F510" s="42"/>
      <c r="G510" s="97"/>
      <c r="H510" s="96"/>
      <c r="I510" s="96"/>
      <c r="J510" s="98"/>
      <c r="K510" s="99"/>
      <c r="L510" s="96"/>
      <c r="M510" s="42"/>
      <c r="N510" s="42"/>
      <c r="O510" s="42"/>
      <c r="P510" s="83"/>
      <c r="Q510" s="83"/>
      <c r="R510" s="42"/>
      <c r="S510" s="42"/>
      <c r="T510" s="43" t="str">
        <f>IFERROR(__xludf.DUMMYFUNCTION("IFERROR(VLOOKUP(C510,IMPORTRANGE(""https://docs.google.com/spreadsheets/d/1RmEXtNg60OGvqZjyMxiYNPJ6S_kcz01v57qrHugDWVc/edit#gid=0"",""Chegadas!E:AQ""),19,0),"""")"),"")</f>
        <v/>
      </c>
      <c r="U510" s="100"/>
      <c r="V510" s="98"/>
      <c r="W510" s="98"/>
    </row>
    <row r="511" hidden="1">
      <c r="A511" s="95"/>
      <c r="B511" s="95"/>
      <c r="C511" s="54"/>
      <c r="D511" s="83"/>
      <c r="E511" s="96"/>
      <c r="F511" s="42"/>
      <c r="G511" s="97"/>
      <c r="H511" s="96"/>
      <c r="I511" s="96"/>
      <c r="J511" s="98"/>
      <c r="K511" s="99"/>
      <c r="L511" s="96"/>
      <c r="M511" s="42"/>
      <c r="N511" s="42"/>
      <c r="O511" s="42"/>
      <c r="P511" s="83"/>
      <c r="Q511" s="83"/>
      <c r="R511" s="42"/>
      <c r="S511" s="42"/>
      <c r="T511" s="43" t="str">
        <f>IFERROR(__xludf.DUMMYFUNCTION("IFERROR(VLOOKUP(C511,IMPORTRANGE(""https://docs.google.com/spreadsheets/d/1RmEXtNg60OGvqZjyMxiYNPJ6S_kcz01v57qrHugDWVc/edit#gid=0"",""Chegadas!E:AQ""),19,0),"""")"),"")</f>
        <v/>
      </c>
      <c r="U511" s="100"/>
      <c r="V511" s="98"/>
      <c r="W511" s="98"/>
    </row>
    <row r="512" hidden="1">
      <c r="A512" s="95"/>
      <c r="B512" s="95"/>
      <c r="C512" s="54"/>
      <c r="D512" s="83"/>
      <c r="E512" s="96"/>
      <c r="F512" s="42"/>
      <c r="G512" s="97"/>
      <c r="H512" s="96"/>
      <c r="I512" s="96"/>
      <c r="J512" s="98"/>
      <c r="K512" s="99"/>
      <c r="L512" s="96"/>
      <c r="M512" s="42"/>
      <c r="N512" s="42"/>
      <c r="O512" s="42"/>
      <c r="P512" s="83"/>
      <c r="Q512" s="83"/>
      <c r="R512" s="42"/>
      <c r="S512" s="42"/>
      <c r="T512" s="43" t="str">
        <f>IFERROR(__xludf.DUMMYFUNCTION("IFERROR(VLOOKUP(C512,IMPORTRANGE(""https://docs.google.com/spreadsheets/d/1RmEXtNg60OGvqZjyMxiYNPJ6S_kcz01v57qrHugDWVc/edit#gid=0"",""Chegadas!E:AQ""),19,0),"""")"),"")</f>
        <v/>
      </c>
      <c r="U512" s="100"/>
      <c r="V512" s="98"/>
      <c r="W512" s="98"/>
    </row>
    <row r="513" hidden="1">
      <c r="A513" s="95"/>
      <c r="B513" s="95"/>
      <c r="C513" s="54"/>
      <c r="D513" s="83"/>
      <c r="E513" s="96"/>
      <c r="F513" s="42"/>
      <c r="G513" s="97"/>
      <c r="H513" s="96"/>
      <c r="I513" s="96"/>
      <c r="J513" s="98"/>
      <c r="K513" s="99"/>
      <c r="L513" s="96"/>
      <c r="M513" s="42"/>
      <c r="N513" s="42"/>
      <c r="O513" s="42"/>
      <c r="P513" s="83"/>
      <c r="Q513" s="83"/>
      <c r="R513" s="42"/>
      <c r="S513" s="42"/>
      <c r="T513" s="43" t="str">
        <f>IFERROR(__xludf.DUMMYFUNCTION("IFERROR(VLOOKUP(C513,IMPORTRANGE(""https://docs.google.com/spreadsheets/d/1RmEXtNg60OGvqZjyMxiYNPJ6S_kcz01v57qrHugDWVc/edit#gid=0"",""Chegadas!E:AQ""),19,0),"""")"),"")</f>
        <v/>
      </c>
      <c r="U513" s="100"/>
      <c r="V513" s="98"/>
      <c r="W513" s="98"/>
    </row>
    <row r="514" hidden="1">
      <c r="A514" s="95"/>
      <c r="B514" s="95"/>
      <c r="C514" s="54"/>
      <c r="D514" s="83"/>
      <c r="E514" s="96"/>
      <c r="F514" s="42"/>
      <c r="G514" s="97"/>
      <c r="H514" s="96"/>
      <c r="I514" s="96"/>
      <c r="J514" s="98"/>
      <c r="K514" s="99"/>
      <c r="L514" s="96"/>
      <c r="M514" s="42"/>
      <c r="N514" s="42"/>
      <c r="O514" s="42"/>
      <c r="P514" s="83"/>
      <c r="Q514" s="83"/>
      <c r="R514" s="42"/>
      <c r="S514" s="42"/>
      <c r="T514" s="43" t="str">
        <f>IFERROR(__xludf.DUMMYFUNCTION("IFERROR(VLOOKUP(C514,IMPORTRANGE(""https://docs.google.com/spreadsheets/d/1RmEXtNg60OGvqZjyMxiYNPJ6S_kcz01v57qrHugDWVc/edit#gid=0"",""Chegadas!E:AQ""),19,0),"""")"),"")</f>
        <v/>
      </c>
      <c r="U514" s="100"/>
      <c r="V514" s="98"/>
      <c r="W514" s="98"/>
    </row>
    <row r="515" hidden="1">
      <c r="A515" s="95"/>
      <c r="B515" s="95"/>
      <c r="C515" s="54"/>
      <c r="D515" s="83"/>
      <c r="E515" s="96"/>
      <c r="F515" s="42"/>
      <c r="G515" s="97"/>
      <c r="H515" s="96"/>
      <c r="I515" s="96"/>
      <c r="J515" s="98"/>
      <c r="K515" s="99"/>
      <c r="L515" s="96"/>
      <c r="M515" s="42"/>
      <c r="N515" s="42"/>
      <c r="O515" s="42"/>
      <c r="P515" s="83"/>
      <c r="Q515" s="83"/>
      <c r="R515" s="42"/>
      <c r="S515" s="42"/>
      <c r="T515" s="43" t="str">
        <f>IFERROR(__xludf.DUMMYFUNCTION("IFERROR(VLOOKUP(C515,IMPORTRANGE(""https://docs.google.com/spreadsheets/d/1RmEXtNg60OGvqZjyMxiYNPJ6S_kcz01v57qrHugDWVc/edit#gid=0"",""Chegadas!E:AQ""),19,0),"""")"),"")</f>
        <v/>
      </c>
      <c r="U515" s="100"/>
      <c r="V515" s="98"/>
      <c r="W515" s="98"/>
    </row>
    <row r="516" hidden="1">
      <c r="A516" s="95"/>
      <c r="B516" s="95"/>
      <c r="C516" s="54"/>
      <c r="D516" s="83"/>
      <c r="E516" s="96"/>
      <c r="F516" s="42"/>
      <c r="G516" s="97"/>
      <c r="H516" s="96"/>
      <c r="I516" s="96"/>
      <c r="J516" s="98"/>
      <c r="K516" s="99"/>
      <c r="L516" s="96"/>
      <c r="M516" s="42"/>
      <c r="N516" s="42"/>
      <c r="O516" s="42"/>
      <c r="P516" s="83"/>
      <c r="Q516" s="83"/>
      <c r="R516" s="42"/>
      <c r="S516" s="42"/>
      <c r="T516" s="43" t="str">
        <f>IFERROR(__xludf.DUMMYFUNCTION("IFERROR(VLOOKUP(C516,IMPORTRANGE(""https://docs.google.com/spreadsheets/d/1RmEXtNg60OGvqZjyMxiYNPJ6S_kcz01v57qrHugDWVc/edit#gid=0"",""Chegadas!E:AQ""),19,0),"""")"),"")</f>
        <v/>
      </c>
      <c r="U516" s="100"/>
      <c r="V516" s="98"/>
      <c r="W516" s="98"/>
    </row>
    <row r="517" hidden="1">
      <c r="A517" s="95"/>
      <c r="B517" s="95"/>
      <c r="C517" s="54"/>
      <c r="D517" s="83"/>
      <c r="E517" s="96"/>
      <c r="F517" s="42"/>
      <c r="G517" s="97"/>
      <c r="H517" s="96"/>
      <c r="I517" s="96"/>
      <c r="J517" s="98"/>
      <c r="K517" s="99"/>
      <c r="L517" s="96"/>
      <c r="M517" s="42"/>
      <c r="N517" s="42"/>
      <c r="O517" s="42"/>
      <c r="P517" s="83"/>
      <c r="Q517" s="83"/>
      <c r="R517" s="42"/>
      <c r="S517" s="42"/>
      <c r="T517" s="43" t="str">
        <f>IFERROR(__xludf.DUMMYFUNCTION("IFERROR(VLOOKUP(C517,IMPORTRANGE(""https://docs.google.com/spreadsheets/d/1RmEXtNg60OGvqZjyMxiYNPJ6S_kcz01v57qrHugDWVc/edit#gid=0"",""Chegadas!E:AQ""),19,0),"""")"),"")</f>
        <v/>
      </c>
      <c r="U517" s="100"/>
      <c r="V517" s="98"/>
      <c r="W517" s="98"/>
    </row>
    <row r="518" hidden="1">
      <c r="A518" s="95"/>
      <c r="B518" s="95"/>
      <c r="C518" s="54"/>
      <c r="D518" s="83"/>
      <c r="E518" s="96"/>
      <c r="F518" s="42"/>
      <c r="G518" s="97"/>
      <c r="H518" s="96"/>
      <c r="I518" s="96"/>
      <c r="J518" s="98"/>
      <c r="K518" s="99"/>
      <c r="L518" s="96"/>
      <c r="M518" s="42"/>
      <c r="N518" s="42"/>
      <c r="O518" s="42"/>
      <c r="P518" s="83"/>
      <c r="Q518" s="83"/>
      <c r="R518" s="42"/>
      <c r="S518" s="42"/>
      <c r="T518" s="43" t="str">
        <f>IFERROR(__xludf.DUMMYFUNCTION("IFERROR(VLOOKUP(C518,IMPORTRANGE(""https://docs.google.com/spreadsheets/d/1RmEXtNg60OGvqZjyMxiYNPJ6S_kcz01v57qrHugDWVc/edit#gid=0"",""Chegadas!E:AQ""),19,0),"""")"),"")</f>
        <v/>
      </c>
      <c r="U518" s="100"/>
      <c r="V518" s="98"/>
      <c r="W518" s="98"/>
    </row>
    <row r="519" hidden="1">
      <c r="A519" s="95"/>
      <c r="B519" s="95"/>
      <c r="C519" s="54"/>
      <c r="D519" s="83"/>
      <c r="E519" s="96"/>
      <c r="F519" s="42"/>
      <c r="G519" s="97"/>
      <c r="H519" s="96"/>
      <c r="I519" s="96"/>
      <c r="J519" s="98"/>
      <c r="K519" s="99"/>
      <c r="L519" s="96"/>
      <c r="M519" s="42"/>
      <c r="N519" s="42"/>
      <c r="O519" s="42"/>
      <c r="P519" s="83"/>
      <c r="Q519" s="83"/>
      <c r="R519" s="42"/>
      <c r="S519" s="42"/>
      <c r="T519" s="43" t="str">
        <f>IFERROR(__xludf.DUMMYFUNCTION("IFERROR(VLOOKUP(C519,IMPORTRANGE(""https://docs.google.com/spreadsheets/d/1RmEXtNg60OGvqZjyMxiYNPJ6S_kcz01v57qrHugDWVc/edit#gid=0"",""Chegadas!E:AQ""),19,0),"""")"),"")</f>
        <v/>
      </c>
      <c r="U519" s="100"/>
      <c r="V519" s="98"/>
      <c r="W519" s="98"/>
    </row>
    <row r="520" hidden="1">
      <c r="A520" s="95"/>
      <c r="B520" s="95"/>
      <c r="C520" s="54"/>
      <c r="D520" s="83"/>
      <c r="E520" s="96"/>
      <c r="F520" s="42"/>
      <c r="G520" s="97"/>
      <c r="H520" s="96"/>
      <c r="I520" s="96"/>
      <c r="J520" s="98"/>
      <c r="K520" s="99"/>
      <c r="L520" s="96"/>
      <c r="M520" s="42"/>
      <c r="N520" s="42"/>
      <c r="O520" s="42"/>
      <c r="P520" s="83"/>
      <c r="Q520" s="83"/>
      <c r="R520" s="42"/>
      <c r="S520" s="42"/>
      <c r="T520" s="43" t="str">
        <f>IFERROR(__xludf.DUMMYFUNCTION("IFERROR(VLOOKUP(C520,IMPORTRANGE(""https://docs.google.com/spreadsheets/d/1RmEXtNg60OGvqZjyMxiYNPJ6S_kcz01v57qrHugDWVc/edit#gid=0"",""Chegadas!E:AQ""),19,0),"""")"),"")</f>
        <v/>
      </c>
      <c r="U520" s="100"/>
      <c r="V520" s="98"/>
      <c r="W520" s="98"/>
    </row>
    <row r="521" hidden="1">
      <c r="A521" s="95"/>
      <c r="B521" s="95"/>
      <c r="C521" s="54"/>
      <c r="D521" s="83"/>
      <c r="E521" s="96"/>
      <c r="F521" s="42"/>
      <c r="G521" s="97"/>
      <c r="H521" s="96"/>
      <c r="I521" s="96"/>
      <c r="J521" s="98"/>
      <c r="K521" s="99"/>
      <c r="L521" s="96"/>
      <c r="M521" s="42"/>
      <c r="N521" s="42"/>
      <c r="O521" s="42"/>
      <c r="P521" s="83"/>
      <c r="Q521" s="83"/>
      <c r="R521" s="42"/>
      <c r="S521" s="42"/>
      <c r="T521" s="43" t="str">
        <f>IFERROR(__xludf.DUMMYFUNCTION("IFERROR(VLOOKUP(C521,IMPORTRANGE(""https://docs.google.com/spreadsheets/d/1RmEXtNg60OGvqZjyMxiYNPJ6S_kcz01v57qrHugDWVc/edit#gid=0"",""Chegadas!E:AQ""),19,0),"""")"),"")</f>
        <v/>
      </c>
      <c r="U521" s="100"/>
      <c r="V521" s="98"/>
      <c r="W521" s="98"/>
    </row>
    <row r="522" hidden="1">
      <c r="A522" s="95"/>
      <c r="B522" s="95"/>
      <c r="C522" s="54"/>
      <c r="D522" s="83"/>
      <c r="E522" s="96"/>
      <c r="F522" s="42"/>
      <c r="G522" s="97"/>
      <c r="H522" s="96"/>
      <c r="I522" s="96"/>
      <c r="J522" s="98"/>
      <c r="K522" s="99"/>
      <c r="L522" s="96"/>
      <c r="M522" s="42"/>
      <c r="N522" s="42"/>
      <c r="O522" s="42"/>
      <c r="P522" s="83"/>
      <c r="Q522" s="83"/>
      <c r="R522" s="42"/>
      <c r="S522" s="42"/>
      <c r="T522" s="43" t="str">
        <f>IFERROR(__xludf.DUMMYFUNCTION("IFERROR(VLOOKUP(C522,IMPORTRANGE(""https://docs.google.com/spreadsheets/d/1RmEXtNg60OGvqZjyMxiYNPJ6S_kcz01v57qrHugDWVc/edit#gid=0"",""Chegadas!E:AQ""),19,0),"""")"),"")</f>
        <v/>
      </c>
      <c r="U522" s="100"/>
      <c r="V522" s="98"/>
      <c r="W522" s="98"/>
    </row>
    <row r="523" hidden="1">
      <c r="A523" s="95"/>
      <c r="B523" s="95"/>
      <c r="C523" s="54"/>
      <c r="D523" s="83"/>
      <c r="E523" s="96"/>
      <c r="F523" s="42"/>
      <c r="G523" s="97"/>
      <c r="H523" s="96"/>
      <c r="I523" s="96"/>
      <c r="J523" s="98"/>
      <c r="K523" s="99"/>
      <c r="L523" s="96"/>
      <c r="M523" s="42"/>
      <c r="N523" s="42"/>
      <c r="O523" s="42"/>
      <c r="P523" s="83"/>
      <c r="Q523" s="83"/>
      <c r="R523" s="42"/>
      <c r="S523" s="42"/>
      <c r="T523" s="43" t="str">
        <f>IFERROR(__xludf.DUMMYFUNCTION("IFERROR(VLOOKUP(C523,IMPORTRANGE(""https://docs.google.com/spreadsheets/d/1RmEXtNg60OGvqZjyMxiYNPJ6S_kcz01v57qrHugDWVc/edit#gid=0"",""Chegadas!E:AQ""),19,0),"""")"),"")</f>
        <v/>
      </c>
      <c r="U523" s="100"/>
      <c r="V523" s="98"/>
      <c r="W523" s="98"/>
    </row>
    <row r="524" hidden="1">
      <c r="A524" s="95"/>
      <c r="B524" s="95"/>
      <c r="C524" s="54"/>
      <c r="D524" s="83"/>
      <c r="E524" s="96"/>
      <c r="F524" s="42"/>
      <c r="G524" s="97"/>
      <c r="H524" s="96"/>
      <c r="I524" s="96"/>
      <c r="J524" s="98"/>
      <c r="K524" s="99"/>
      <c r="L524" s="96"/>
      <c r="M524" s="42"/>
      <c r="N524" s="42"/>
      <c r="O524" s="42"/>
      <c r="P524" s="83"/>
      <c r="Q524" s="83"/>
      <c r="R524" s="42"/>
      <c r="S524" s="42"/>
      <c r="T524" s="43" t="str">
        <f>IFERROR(__xludf.DUMMYFUNCTION("IFERROR(VLOOKUP(C524,IMPORTRANGE(""https://docs.google.com/spreadsheets/d/1RmEXtNg60OGvqZjyMxiYNPJ6S_kcz01v57qrHugDWVc/edit#gid=0"",""Chegadas!E:AQ""),19,0),"""")"),"")</f>
        <v/>
      </c>
      <c r="U524" s="100"/>
      <c r="V524" s="98"/>
      <c r="W524" s="98"/>
    </row>
    <row r="525" hidden="1">
      <c r="A525" s="95"/>
      <c r="B525" s="95"/>
      <c r="C525" s="54"/>
      <c r="D525" s="83"/>
      <c r="E525" s="96"/>
      <c r="F525" s="42"/>
      <c r="G525" s="97"/>
      <c r="H525" s="96"/>
      <c r="I525" s="96"/>
      <c r="J525" s="98"/>
      <c r="K525" s="99"/>
      <c r="L525" s="96"/>
      <c r="M525" s="42"/>
      <c r="N525" s="42"/>
      <c r="O525" s="42"/>
      <c r="P525" s="83"/>
      <c r="Q525" s="83"/>
      <c r="R525" s="42"/>
      <c r="S525" s="42"/>
      <c r="T525" s="43" t="str">
        <f>IFERROR(__xludf.DUMMYFUNCTION("IFERROR(VLOOKUP(C525,IMPORTRANGE(""https://docs.google.com/spreadsheets/d/1RmEXtNg60OGvqZjyMxiYNPJ6S_kcz01v57qrHugDWVc/edit#gid=0"",""Chegadas!E:AQ""),19,0),"""")"),"")</f>
        <v/>
      </c>
      <c r="U525" s="100"/>
      <c r="V525" s="98"/>
      <c r="W525" s="98"/>
    </row>
    <row r="526" hidden="1">
      <c r="A526" s="95"/>
      <c r="B526" s="95"/>
      <c r="C526" s="54"/>
      <c r="D526" s="83"/>
      <c r="E526" s="96"/>
      <c r="F526" s="42"/>
      <c r="G526" s="97"/>
      <c r="H526" s="96"/>
      <c r="I526" s="96"/>
      <c r="J526" s="98"/>
      <c r="K526" s="99"/>
      <c r="L526" s="96"/>
      <c r="M526" s="42"/>
      <c r="N526" s="42"/>
      <c r="O526" s="42"/>
      <c r="P526" s="83"/>
      <c r="Q526" s="83"/>
      <c r="R526" s="42"/>
      <c r="S526" s="42"/>
      <c r="T526" s="43" t="str">
        <f>IFERROR(__xludf.DUMMYFUNCTION("IFERROR(VLOOKUP(C526,IMPORTRANGE(""https://docs.google.com/spreadsheets/d/1RmEXtNg60OGvqZjyMxiYNPJ6S_kcz01v57qrHugDWVc/edit#gid=0"",""Chegadas!E:AQ""),19,0),"""")"),"")</f>
        <v/>
      </c>
      <c r="U526" s="100"/>
      <c r="V526" s="98"/>
      <c r="W526" s="98"/>
    </row>
    <row r="527" hidden="1">
      <c r="A527" s="95"/>
      <c r="B527" s="95"/>
      <c r="C527" s="54"/>
      <c r="D527" s="83"/>
      <c r="E527" s="96"/>
      <c r="F527" s="42"/>
      <c r="G527" s="97"/>
      <c r="H527" s="96"/>
      <c r="I527" s="96"/>
      <c r="J527" s="98"/>
      <c r="K527" s="99"/>
      <c r="L527" s="96"/>
      <c r="M527" s="42"/>
      <c r="N527" s="42"/>
      <c r="O527" s="42"/>
      <c r="P527" s="83"/>
      <c r="Q527" s="83"/>
      <c r="R527" s="42"/>
      <c r="S527" s="42"/>
      <c r="T527" s="43" t="str">
        <f>IFERROR(__xludf.DUMMYFUNCTION("IFERROR(VLOOKUP(C527,IMPORTRANGE(""https://docs.google.com/spreadsheets/d/1RmEXtNg60OGvqZjyMxiYNPJ6S_kcz01v57qrHugDWVc/edit#gid=0"",""Chegadas!E:AQ""),19,0),"""")"),"")</f>
        <v/>
      </c>
      <c r="U527" s="100"/>
      <c r="V527" s="98"/>
      <c r="W527" s="98"/>
    </row>
    <row r="528" hidden="1">
      <c r="A528" s="95"/>
      <c r="B528" s="95"/>
      <c r="C528" s="54"/>
      <c r="D528" s="83"/>
      <c r="E528" s="96"/>
      <c r="F528" s="42"/>
      <c r="G528" s="97"/>
      <c r="H528" s="96"/>
      <c r="I528" s="96"/>
      <c r="J528" s="98"/>
      <c r="K528" s="99"/>
      <c r="L528" s="96"/>
      <c r="M528" s="42"/>
      <c r="N528" s="42"/>
      <c r="O528" s="42"/>
      <c r="P528" s="83"/>
      <c r="Q528" s="83"/>
      <c r="R528" s="42"/>
      <c r="S528" s="42"/>
      <c r="T528" s="43" t="str">
        <f>IFERROR(__xludf.DUMMYFUNCTION("IFERROR(VLOOKUP(C528,IMPORTRANGE(""https://docs.google.com/spreadsheets/d/1RmEXtNg60OGvqZjyMxiYNPJ6S_kcz01v57qrHugDWVc/edit#gid=0"",""Chegadas!E:AQ""),19,0),"""")"),"")</f>
        <v/>
      </c>
      <c r="U528" s="100"/>
      <c r="V528" s="98"/>
      <c r="W528" s="98"/>
    </row>
    <row r="529" hidden="1">
      <c r="A529" s="95"/>
      <c r="B529" s="95"/>
      <c r="C529" s="54"/>
      <c r="D529" s="83"/>
      <c r="E529" s="96"/>
      <c r="F529" s="42"/>
      <c r="G529" s="97"/>
      <c r="H529" s="96"/>
      <c r="I529" s="96"/>
      <c r="J529" s="98"/>
      <c r="K529" s="99"/>
      <c r="L529" s="96"/>
      <c r="M529" s="42"/>
      <c r="N529" s="42"/>
      <c r="O529" s="42"/>
      <c r="P529" s="83"/>
      <c r="Q529" s="83"/>
      <c r="R529" s="42"/>
      <c r="S529" s="42"/>
      <c r="T529" s="43" t="str">
        <f>IFERROR(__xludf.DUMMYFUNCTION("IFERROR(VLOOKUP(C529,IMPORTRANGE(""https://docs.google.com/spreadsheets/d/1RmEXtNg60OGvqZjyMxiYNPJ6S_kcz01v57qrHugDWVc/edit#gid=0"",""Chegadas!E:AQ""),19,0),"""")"),"")</f>
        <v/>
      </c>
      <c r="U529" s="100"/>
      <c r="V529" s="98"/>
      <c r="W529" s="98"/>
    </row>
    <row r="530" hidden="1">
      <c r="A530" s="95"/>
      <c r="B530" s="95"/>
      <c r="C530" s="54"/>
      <c r="D530" s="83"/>
      <c r="E530" s="96"/>
      <c r="F530" s="42"/>
      <c r="G530" s="97"/>
      <c r="H530" s="96"/>
      <c r="I530" s="96"/>
      <c r="J530" s="98"/>
      <c r="K530" s="99"/>
      <c r="L530" s="96"/>
      <c r="M530" s="42"/>
      <c r="N530" s="42"/>
      <c r="O530" s="42"/>
      <c r="P530" s="83"/>
      <c r="Q530" s="83"/>
      <c r="R530" s="42"/>
      <c r="S530" s="42"/>
      <c r="T530" s="43" t="str">
        <f>IFERROR(__xludf.DUMMYFUNCTION("IFERROR(VLOOKUP(C530,IMPORTRANGE(""https://docs.google.com/spreadsheets/d/1RmEXtNg60OGvqZjyMxiYNPJ6S_kcz01v57qrHugDWVc/edit#gid=0"",""Chegadas!E:AQ""),19,0),"""")"),"")</f>
        <v/>
      </c>
      <c r="U530" s="100"/>
      <c r="V530" s="98"/>
      <c r="W530" s="98"/>
    </row>
    <row r="531" hidden="1">
      <c r="A531" s="95"/>
      <c r="B531" s="95"/>
      <c r="C531" s="54"/>
      <c r="D531" s="83"/>
      <c r="E531" s="96"/>
      <c r="F531" s="42"/>
      <c r="G531" s="97"/>
      <c r="H531" s="96"/>
      <c r="I531" s="96"/>
      <c r="J531" s="98"/>
      <c r="K531" s="99"/>
      <c r="L531" s="96"/>
      <c r="M531" s="42"/>
      <c r="N531" s="42"/>
      <c r="O531" s="42"/>
      <c r="P531" s="83"/>
      <c r="Q531" s="83"/>
      <c r="R531" s="42"/>
      <c r="S531" s="42"/>
      <c r="T531" s="43" t="str">
        <f>IFERROR(__xludf.DUMMYFUNCTION("IFERROR(VLOOKUP(C531,IMPORTRANGE(""https://docs.google.com/spreadsheets/d/1RmEXtNg60OGvqZjyMxiYNPJ6S_kcz01v57qrHugDWVc/edit#gid=0"",""Chegadas!E:AQ""),19,0),"""")"),"")</f>
        <v/>
      </c>
      <c r="U531" s="100"/>
      <c r="V531" s="98"/>
      <c r="W531" s="98"/>
    </row>
    <row r="532" hidden="1">
      <c r="A532" s="95"/>
      <c r="B532" s="95"/>
      <c r="C532" s="54"/>
      <c r="D532" s="83"/>
      <c r="E532" s="96"/>
      <c r="F532" s="42"/>
      <c r="G532" s="97"/>
      <c r="H532" s="96"/>
      <c r="I532" s="96"/>
      <c r="J532" s="98"/>
      <c r="K532" s="99"/>
      <c r="L532" s="96"/>
      <c r="M532" s="42"/>
      <c r="N532" s="42"/>
      <c r="O532" s="42"/>
      <c r="P532" s="83"/>
      <c r="Q532" s="83"/>
      <c r="R532" s="42"/>
      <c r="S532" s="42"/>
      <c r="T532" s="43" t="str">
        <f>IFERROR(__xludf.DUMMYFUNCTION("IFERROR(VLOOKUP(C532,IMPORTRANGE(""https://docs.google.com/spreadsheets/d/1RmEXtNg60OGvqZjyMxiYNPJ6S_kcz01v57qrHugDWVc/edit#gid=0"",""Chegadas!E:AQ""),19,0),"""")"),"")</f>
        <v/>
      </c>
      <c r="U532" s="100"/>
      <c r="V532" s="98"/>
      <c r="W532" s="98"/>
    </row>
    <row r="533" hidden="1">
      <c r="A533" s="95"/>
      <c r="B533" s="95"/>
      <c r="C533" s="54"/>
      <c r="D533" s="83"/>
      <c r="E533" s="96"/>
      <c r="F533" s="42"/>
      <c r="G533" s="97"/>
      <c r="H533" s="96"/>
      <c r="I533" s="96"/>
      <c r="J533" s="98"/>
      <c r="K533" s="99"/>
      <c r="L533" s="96"/>
      <c r="M533" s="42"/>
      <c r="N533" s="42"/>
      <c r="O533" s="42"/>
      <c r="P533" s="83"/>
      <c r="Q533" s="83"/>
      <c r="R533" s="42"/>
      <c r="S533" s="42"/>
      <c r="T533" s="43" t="str">
        <f>IFERROR(__xludf.DUMMYFUNCTION("IFERROR(VLOOKUP(C533,IMPORTRANGE(""https://docs.google.com/spreadsheets/d/1RmEXtNg60OGvqZjyMxiYNPJ6S_kcz01v57qrHugDWVc/edit#gid=0"",""Chegadas!E:AQ""),19,0),"""")"),"")</f>
        <v/>
      </c>
      <c r="U533" s="100"/>
      <c r="V533" s="98"/>
      <c r="W533" s="98"/>
    </row>
    <row r="534" hidden="1">
      <c r="A534" s="95"/>
      <c r="B534" s="95"/>
      <c r="C534" s="54"/>
      <c r="D534" s="83"/>
      <c r="E534" s="96"/>
      <c r="F534" s="42"/>
      <c r="G534" s="97"/>
      <c r="H534" s="96"/>
      <c r="I534" s="96"/>
      <c r="J534" s="98"/>
      <c r="K534" s="99"/>
      <c r="L534" s="96"/>
      <c r="M534" s="42"/>
      <c r="N534" s="42"/>
      <c r="O534" s="42"/>
      <c r="P534" s="83"/>
      <c r="Q534" s="83"/>
      <c r="R534" s="42"/>
      <c r="S534" s="42"/>
      <c r="T534" s="43" t="str">
        <f>IFERROR(__xludf.DUMMYFUNCTION("IFERROR(VLOOKUP(C534,IMPORTRANGE(""https://docs.google.com/spreadsheets/d/1RmEXtNg60OGvqZjyMxiYNPJ6S_kcz01v57qrHugDWVc/edit#gid=0"",""Chegadas!E:AQ""),19,0),"""")"),"")</f>
        <v/>
      </c>
      <c r="U534" s="100"/>
      <c r="V534" s="98"/>
      <c r="W534" s="98"/>
    </row>
    <row r="535" hidden="1">
      <c r="A535" s="95"/>
      <c r="B535" s="95"/>
      <c r="C535" s="54"/>
      <c r="D535" s="83"/>
      <c r="E535" s="96"/>
      <c r="F535" s="42"/>
      <c r="G535" s="97"/>
      <c r="H535" s="96"/>
      <c r="I535" s="96"/>
      <c r="J535" s="98"/>
      <c r="K535" s="99"/>
      <c r="L535" s="96"/>
      <c r="M535" s="42"/>
      <c r="N535" s="42"/>
      <c r="O535" s="42"/>
      <c r="P535" s="83"/>
      <c r="Q535" s="83"/>
      <c r="R535" s="42"/>
      <c r="S535" s="42"/>
      <c r="T535" s="43" t="str">
        <f>IFERROR(__xludf.DUMMYFUNCTION("IFERROR(VLOOKUP(C535,IMPORTRANGE(""https://docs.google.com/spreadsheets/d/1RmEXtNg60OGvqZjyMxiYNPJ6S_kcz01v57qrHugDWVc/edit#gid=0"",""Chegadas!E:AQ""),19,0),"""")"),"")</f>
        <v/>
      </c>
      <c r="U535" s="100"/>
      <c r="V535" s="98"/>
      <c r="W535" s="98"/>
    </row>
    <row r="536" hidden="1">
      <c r="A536" s="95"/>
      <c r="B536" s="95"/>
      <c r="C536" s="54"/>
      <c r="D536" s="83"/>
      <c r="E536" s="96"/>
      <c r="F536" s="42"/>
      <c r="G536" s="97"/>
      <c r="H536" s="96"/>
      <c r="I536" s="96"/>
      <c r="J536" s="98"/>
      <c r="K536" s="99"/>
      <c r="L536" s="96"/>
      <c r="M536" s="42"/>
      <c r="N536" s="42"/>
      <c r="O536" s="42"/>
      <c r="P536" s="83"/>
      <c r="Q536" s="83"/>
      <c r="R536" s="42"/>
      <c r="S536" s="42"/>
      <c r="T536" s="43" t="str">
        <f>IFERROR(__xludf.DUMMYFUNCTION("IFERROR(VLOOKUP(C536,IMPORTRANGE(""https://docs.google.com/spreadsheets/d/1RmEXtNg60OGvqZjyMxiYNPJ6S_kcz01v57qrHugDWVc/edit#gid=0"",""Chegadas!E:AQ""),19,0),"""")"),"")</f>
        <v/>
      </c>
      <c r="U536" s="100"/>
      <c r="V536" s="98"/>
      <c r="W536" s="98"/>
    </row>
    <row r="537" hidden="1">
      <c r="A537" s="95"/>
      <c r="B537" s="95"/>
      <c r="C537" s="54"/>
      <c r="D537" s="83"/>
      <c r="E537" s="96"/>
      <c r="F537" s="42"/>
      <c r="G537" s="97"/>
      <c r="H537" s="96"/>
      <c r="I537" s="96"/>
      <c r="J537" s="98"/>
      <c r="K537" s="99"/>
      <c r="L537" s="96"/>
      <c r="M537" s="42"/>
      <c r="N537" s="42"/>
      <c r="O537" s="42"/>
      <c r="P537" s="83"/>
      <c r="Q537" s="83"/>
      <c r="R537" s="42"/>
      <c r="S537" s="42"/>
      <c r="T537" s="43" t="str">
        <f>IFERROR(__xludf.DUMMYFUNCTION("IFERROR(VLOOKUP(C537,IMPORTRANGE(""https://docs.google.com/spreadsheets/d/1RmEXtNg60OGvqZjyMxiYNPJ6S_kcz01v57qrHugDWVc/edit#gid=0"",""Chegadas!E:AQ""),19,0),"""")"),"")</f>
        <v/>
      </c>
      <c r="U537" s="100"/>
      <c r="V537" s="98"/>
      <c r="W537" s="98"/>
    </row>
    <row r="538" hidden="1">
      <c r="A538" s="95"/>
      <c r="B538" s="95"/>
      <c r="C538" s="54"/>
      <c r="D538" s="83"/>
      <c r="E538" s="96"/>
      <c r="F538" s="42"/>
      <c r="G538" s="97"/>
      <c r="H538" s="96"/>
      <c r="I538" s="96"/>
      <c r="J538" s="98"/>
      <c r="K538" s="99"/>
      <c r="L538" s="96"/>
      <c r="M538" s="42"/>
      <c r="N538" s="42"/>
      <c r="O538" s="42"/>
      <c r="P538" s="83"/>
      <c r="Q538" s="83"/>
      <c r="R538" s="42"/>
      <c r="S538" s="42"/>
      <c r="T538" s="43" t="str">
        <f>IFERROR(__xludf.DUMMYFUNCTION("IFERROR(VLOOKUP(C538,IMPORTRANGE(""https://docs.google.com/spreadsheets/d/1RmEXtNg60OGvqZjyMxiYNPJ6S_kcz01v57qrHugDWVc/edit#gid=0"",""Chegadas!E:AQ""),19,0),"""")"),"")</f>
        <v/>
      </c>
      <c r="U538" s="100"/>
      <c r="V538" s="98"/>
      <c r="W538" s="98"/>
    </row>
    <row r="539" hidden="1">
      <c r="A539" s="95"/>
      <c r="B539" s="95"/>
      <c r="C539" s="54"/>
      <c r="D539" s="83"/>
      <c r="E539" s="96"/>
      <c r="F539" s="42"/>
      <c r="G539" s="97"/>
      <c r="H539" s="96"/>
      <c r="I539" s="96"/>
      <c r="J539" s="98"/>
      <c r="K539" s="99"/>
      <c r="L539" s="96"/>
      <c r="M539" s="42"/>
      <c r="N539" s="42"/>
      <c r="O539" s="42"/>
      <c r="P539" s="83"/>
      <c r="Q539" s="83"/>
      <c r="R539" s="42"/>
      <c r="S539" s="42"/>
      <c r="T539" s="43" t="str">
        <f>IFERROR(__xludf.DUMMYFUNCTION("IFERROR(VLOOKUP(C539,IMPORTRANGE(""https://docs.google.com/spreadsheets/d/1RmEXtNg60OGvqZjyMxiYNPJ6S_kcz01v57qrHugDWVc/edit#gid=0"",""Chegadas!E:AQ""),19,0),"""")"),"")</f>
        <v/>
      </c>
      <c r="U539" s="100"/>
      <c r="V539" s="98"/>
      <c r="W539" s="98"/>
    </row>
    <row r="540" hidden="1">
      <c r="A540" s="95"/>
      <c r="B540" s="95"/>
      <c r="C540" s="54"/>
      <c r="D540" s="83"/>
      <c r="E540" s="96"/>
      <c r="F540" s="42"/>
      <c r="G540" s="97"/>
      <c r="H540" s="96"/>
      <c r="I540" s="96"/>
      <c r="J540" s="98"/>
      <c r="K540" s="99"/>
      <c r="L540" s="96"/>
      <c r="M540" s="42"/>
      <c r="N540" s="42"/>
      <c r="O540" s="42"/>
      <c r="P540" s="83"/>
      <c r="Q540" s="83"/>
      <c r="R540" s="42"/>
      <c r="S540" s="42"/>
      <c r="T540" s="43" t="str">
        <f>IFERROR(__xludf.DUMMYFUNCTION("IFERROR(VLOOKUP(C540,IMPORTRANGE(""https://docs.google.com/spreadsheets/d/1RmEXtNg60OGvqZjyMxiYNPJ6S_kcz01v57qrHugDWVc/edit#gid=0"",""Chegadas!E:AQ""),19,0),"""")"),"")</f>
        <v/>
      </c>
      <c r="U540" s="100"/>
      <c r="V540" s="98"/>
      <c r="W540" s="98"/>
    </row>
    <row r="541" hidden="1">
      <c r="A541" s="95"/>
      <c r="B541" s="95"/>
      <c r="C541" s="54"/>
      <c r="D541" s="83"/>
      <c r="E541" s="96"/>
      <c r="F541" s="42"/>
      <c r="G541" s="97"/>
      <c r="H541" s="96"/>
      <c r="I541" s="96"/>
      <c r="J541" s="98"/>
      <c r="K541" s="99"/>
      <c r="L541" s="96"/>
      <c r="M541" s="42"/>
      <c r="N541" s="42"/>
      <c r="O541" s="42"/>
      <c r="P541" s="83"/>
      <c r="Q541" s="83"/>
      <c r="R541" s="42"/>
      <c r="S541" s="42"/>
      <c r="T541" s="43" t="str">
        <f>IFERROR(__xludf.DUMMYFUNCTION("IFERROR(VLOOKUP(C541,IMPORTRANGE(""https://docs.google.com/spreadsheets/d/1RmEXtNg60OGvqZjyMxiYNPJ6S_kcz01v57qrHugDWVc/edit#gid=0"",""Chegadas!E:AQ""),19,0),"""")"),"")</f>
        <v/>
      </c>
      <c r="U541" s="100"/>
      <c r="V541" s="98"/>
      <c r="W541" s="98"/>
    </row>
    <row r="542" hidden="1">
      <c r="A542" s="95"/>
      <c r="B542" s="95"/>
      <c r="C542" s="54"/>
      <c r="D542" s="83"/>
      <c r="E542" s="96"/>
      <c r="F542" s="42"/>
      <c r="G542" s="97"/>
      <c r="H542" s="96"/>
      <c r="I542" s="96"/>
      <c r="J542" s="98"/>
      <c r="K542" s="99"/>
      <c r="L542" s="96"/>
      <c r="M542" s="42"/>
      <c r="N542" s="42"/>
      <c r="O542" s="42"/>
      <c r="P542" s="83"/>
      <c r="Q542" s="83"/>
      <c r="R542" s="42"/>
      <c r="S542" s="42"/>
      <c r="T542" s="43" t="str">
        <f>IFERROR(__xludf.DUMMYFUNCTION("IFERROR(VLOOKUP(C542,IMPORTRANGE(""https://docs.google.com/spreadsheets/d/1RmEXtNg60OGvqZjyMxiYNPJ6S_kcz01v57qrHugDWVc/edit#gid=0"",""Chegadas!E:AQ""),19,0),"""")"),"")</f>
        <v/>
      </c>
      <c r="U542" s="100"/>
      <c r="V542" s="98"/>
      <c r="W542" s="98"/>
    </row>
    <row r="543" hidden="1">
      <c r="A543" s="95"/>
      <c r="B543" s="95"/>
      <c r="C543" s="54"/>
      <c r="D543" s="83"/>
      <c r="E543" s="96"/>
      <c r="F543" s="42"/>
      <c r="G543" s="97"/>
      <c r="H543" s="96"/>
      <c r="I543" s="96"/>
      <c r="J543" s="98"/>
      <c r="K543" s="99"/>
      <c r="L543" s="96"/>
      <c r="M543" s="42"/>
      <c r="N543" s="42"/>
      <c r="O543" s="42"/>
      <c r="P543" s="83"/>
      <c r="Q543" s="83"/>
      <c r="R543" s="42"/>
      <c r="S543" s="42"/>
      <c r="T543" s="43" t="str">
        <f>IFERROR(__xludf.DUMMYFUNCTION("IFERROR(VLOOKUP(C543,IMPORTRANGE(""https://docs.google.com/spreadsheets/d/1RmEXtNg60OGvqZjyMxiYNPJ6S_kcz01v57qrHugDWVc/edit#gid=0"",""Chegadas!E:AQ""),19,0),"""")"),"")</f>
        <v/>
      </c>
      <c r="U543" s="100"/>
      <c r="V543" s="98"/>
      <c r="W543" s="98"/>
    </row>
    <row r="544" hidden="1">
      <c r="A544" s="95"/>
      <c r="B544" s="95"/>
      <c r="C544" s="54"/>
      <c r="D544" s="83"/>
      <c r="E544" s="96"/>
      <c r="F544" s="42"/>
      <c r="G544" s="97"/>
      <c r="H544" s="96"/>
      <c r="I544" s="96"/>
      <c r="J544" s="98"/>
      <c r="K544" s="99"/>
      <c r="L544" s="96"/>
      <c r="M544" s="42"/>
      <c r="N544" s="42"/>
      <c r="O544" s="42"/>
      <c r="P544" s="83"/>
      <c r="Q544" s="83"/>
      <c r="R544" s="42"/>
      <c r="S544" s="42"/>
      <c r="T544" s="43" t="str">
        <f>IFERROR(__xludf.DUMMYFUNCTION("IFERROR(VLOOKUP(C544,IMPORTRANGE(""https://docs.google.com/spreadsheets/d/1RmEXtNg60OGvqZjyMxiYNPJ6S_kcz01v57qrHugDWVc/edit#gid=0"",""Chegadas!E:AQ""),19,0),"""")"),"")</f>
        <v/>
      </c>
      <c r="U544" s="100"/>
      <c r="V544" s="98"/>
      <c r="W544" s="98"/>
    </row>
    <row r="545" hidden="1">
      <c r="A545" s="95"/>
      <c r="B545" s="95"/>
      <c r="C545" s="54"/>
      <c r="D545" s="83"/>
      <c r="E545" s="96"/>
      <c r="F545" s="42"/>
      <c r="G545" s="97"/>
      <c r="H545" s="96"/>
      <c r="I545" s="96"/>
      <c r="J545" s="98"/>
      <c r="K545" s="99"/>
      <c r="L545" s="96"/>
      <c r="M545" s="42"/>
      <c r="N545" s="42"/>
      <c r="O545" s="42"/>
      <c r="P545" s="83"/>
      <c r="Q545" s="83"/>
      <c r="R545" s="42"/>
      <c r="S545" s="42"/>
      <c r="T545" s="43" t="str">
        <f>IFERROR(__xludf.DUMMYFUNCTION("IFERROR(VLOOKUP(C545,IMPORTRANGE(""https://docs.google.com/spreadsheets/d/1RmEXtNg60OGvqZjyMxiYNPJ6S_kcz01v57qrHugDWVc/edit#gid=0"",""Chegadas!E:AQ""),19,0),"""")"),"")</f>
        <v/>
      </c>
      <c r="U545" s="100"/>
      <c r="V545" s="98"/>
      <c r="W545" s="98"/>
    </row>
    <row r="546" hidden="1">
      <c r="A546" s="95"/>
      <c r="B546" s="95"/>
      <c r="C546" s="54"/>
      <c r="D546" s="83"/>
      <c r="E546" s="96"/>
      <c r="F546" s="42"/>
      <c r="G546" s="97"/>
      <c r="H546" s="96"/>
      <c r="I546" s="96"/>
      <c r="J546" s="98"/>
      <c r="K546" s="99"/>
      <c r="L546" s="96"/>
      <c r="M546" s="42"/>
      <c r="N546" s="42"/>
      <c r="O546" s="42"/>
      <c r="P546" s="83"/>
      <c r="Q546" s="83"/>
      <c r="R546" s="42"/>
      <c r="S546" s="42"/>
      <c r="T546" s="43" t="str">
        <f>IFERROR(__xludf.DUMMYFUNCTION("IFERROR(VLOOKUP(C546,IMPORTRANGE(""https://docs.google.com/spreadsheets/d/1RmEXtNg60OGvqZjyMxiYNPJ6S_kcz01v57qrHugDWVc/edit#gid=0"",""Chegadas!E:AQ""),19,0),"""")"),"")</f>
        <v/>
      </c>
      <c r="U546" s="100"/>
      <c r="V546" s="98"/>
      <c r="W546" s="98"/>
    </row>
    <row r="547" hidden="1">
      <c r="A547" s="95"/>
      <c r="B547" s="95"/>
      <c r="C547" s="54"/>
      <c r="D547" s="83"/>
      <c r="E547" s="96"/>
      <c r="F547" s="42"/>
      <c r="G547" s="97"/>
      <c r="H547" s="96"/>
      <c r="I547" s="96"/>
      <c r="J547" s="98"/>
      <c r="K547" s="99"/>
      <c r="L547" s="96"/>
      <c r="M547" s="42"/>
      <c r="N547" s="42"/>
      <c r="O547" s="42"/>
      <c r="P547" s="83"/>
      <c r="Q547" s="83"/>
      <c r="R547" s="42"/>
      <c r="S547" s="42"/>
      <c r="T547" s="43" t="str">
        <f>IFERROR(__xludf.DUMMYFUNCTION("IFERROR(VLOOKUP(C547,IMPORTRANGE(""https://docs.google.com/spreadsheets/d/1RmEXtNg60OGvqZjyMxiYNPJ6S_kcz01v57qrHugDWVc/edit#gid=0"",""Chegadas!E:AQ""),19,0),"""")"),"")</f>
        <v/>
      </c>
      <c r="U547" s="100"/>
      <c r="V547" s="98"/>
      <c r="W547" s="98"/>
    </row>
    <row r="548" hidden="1">
      <c r="A548" s="95"/>
      <c r="B548" s="95"/>
      <c r="C548" s="54"/>
      <c r="D548" s="83"/>
      <c r="E548" s="96"/>
      <c r="F548" s="42"/>
      <c r="G548" s="97"/>
      <c r="H548" s="96"/>
      <c r="I548" s="96"/>
      <c r="J548" s="98"/>
      <c r="K548" s="99"/>
      <c r="L548" s="96"/>
      <c r="M548" s="42"/>
      <c r="N548" s="42"/>
      <c r="O548" s="42"/>
      <c r="P548" s="83"/>
      <c r="Q548" s="83"/>
      <c r="R548" s="42"/>
      <c r="S548" s="42"/>
      <c r="T548" s="43" t="str">
        <f>IFERROR(__xludf.DUMMYFUNCTION("IFERROR(VLOOKUP(C548,IMPORTRANGE(""https://docs.google.com/spreadsheets/d/1RmEXtNg60OGvqZjyMxiYNPJ6S_kcz01v57qrHugDWVc/edit#gid=0"",""Chegadas!E:AQ""),19,0),"""")"),"")</f>
        <v/>
      </c>
      <c r="U548" s="100"/>
      <c r="V548" s="98"/>
      <c r="W548" s="98"/>
    </row>
    <row r="549" hidden="1">
      <c r="A549" s="95"/>
      <c r="B549" s="95"/>
      <c r="C549" s="54"/>
      <c r="D549" s="83"/>
      <c r="E549" s="96"/>
      <c r="F549" s="42"/>
      <c r="G549" s="97"/>
      <c r="H549" s="96"/>
      <c r="I549" s="96"/>
      <c r="J549" s="98"/>
      <c r="K549" s="99"/>
      <c r="L549" s="96"/>
      <c r="M549" s="42"/>
      <c r="N549" s="42"/>
      <c r="O549" s="42"/>
      <c r="P549" s="83"/>
      <c r="Q549" s="83"/>
      <c r="R549" s="42"/>
      <c r="S549" s="42"/>
      <c r="T549" s="43" t="str">
        <f>IFERROR(__xludf.DUMMYFUNCTION("IFERROR(VLOOKUP(C549,IMPORTRANGE(""https://docs.google.com/spreadsheets/d/1RmEXtNg60OGvqZjyMxiYNPJ6S_kcz01v57qrHugDWVc/edit#gid=0"",""Chegadas!E:AQ""),19,0),"""")"),"")</f>
        <v/>
      </c>
      <c r="U549" s="100"/>
      <c r="V549" s="98"/>
      <c r="W549" s="98"/>
    </row>
    <row r="550" hidden="1">
      <c r="A550" s="95"/>
      <c r="B550" s="95"/>
      <c r="C550" s="54"/>
      <c r="D550" s="83"/>
      <c r="E550" s="96"/>
      <c r="F550" s="42"/>
      <c r="G550" s="97"/>
      <c r="H550" s="96"/>
      <c r="I550" s="96"/>
      <c r="J550" s="98"/>
      <c r="K550" s="99"/>
      <c r="L550" s="96"/>
      <c r="M550" s="42"/>
      <c r="N550" s="42"/>
      <c r="O550" s="42"/>
      <c r="P550" s="83"/>
      <c r="Q550" s="83"/>
      <c r="R550" s="42"/>
      <c r="S550" s="42"/>
      <c r="T550" s="43" t="str">
        <f>IFERROR(__xludf.DUMMYFUNCTION("IFERROR(VLOOKUP(C550,IMPORTRANGE(""https://docs.google.com/spreadsheets/d/1RmEXtNg60OGvqZjyMxiYNPJ6S_kcz01v57qrHugDWVc/edit#gid=0"",""Chegadas!E:AQ""),19,0),"""")"),"")</f>
        <v/>
      </c>
      <c r="U550" s="100"/>
      <c r="V550" s="98"/>
      <c r="W550" s="98"/>
    </row>
    <row r="551" hidden="1">
      <c r="A551" s="95"/>
      <c r="B551" s="95"/>
      <c r="C551" s="54"/>
      <c r="D551" s="83"/>
      <c r="E551" s="96"/>
      <c r="F551" s="42"/>
      <c r="G551" s="97"/>
      <c r="H551" s="96"/>
      <c r="I551" s="96"/>
      <c r="J551" s="98"/>
      <c r="K551" s="99"/>
      <c r="L551" s="96"/>
      <c r="M551" s="42"/>
      <c r="N551" s="42"/>
      <c r="O551" s="42"/>
      <c r="P551" s="83"/>
      <c r="Q551" s="83"/>
      <c r="R551" s="42"/>
      <c r="S551" s="42"/>
      <c r="T551" s="43" t="str">
        <f>IFERROR(__xludf.DUMMYFUNCTION("IFERROR(VLOOKUP(C551,IMPORTRANGE(""https://docs.google.com/spreadsheets/d/1RmEXtNg60OGvqZjyMxiYNPJ6S_kcz01v57qrHugDWVc/edit#gid=0"",""Chegadas!E:AQ""),19,0),"""")"),"")</f>
        <v/>
      </c>
      <c r="U551" s="100"/>
      <c r="V551" s="98"/>
      <c r="W551" s="98"/>
    </row>
    <row r="552" hidden="1">
      <c r="A552" s="95"/>
      <c r="B552" s="95"/>
      <c r="C552" s="54"/>
      <c r="D552" s="83"/>
      <c r="E552" s="96"/>
      <c r="F552" s="42"/>
      <c r="G552" s="97"/>
      <c r="H552" s="96"/>
      <c r="I552" s="96"/>
      <c r="J552" s="98"/>
      <c r="K552" s="99"/>
      <c r="L552" s="96"/>
      <c r="M552" s="42"/>
      <c r="N552" s="42"/>
      <c r="O552" s="42"/>
      <c r="P552" s="83"/>
      <c r="Q552" s="83"/>
      <c r="R552" s="42"/>
      <c r="S552" s="42"/>
      <c r="T552" s="43" t="str">
        <f>IFERROR(__xludf.DUMMYFUNCTION("IFERROR(VLOOKUP(C552,IMPORTRANGE(""https://docs.google.com/spreadsheets/d/1RmEXtNg60OGvqZjyMxiYNPJ6S_kcz01v57qrHugDWVc/edit#gid=0"",""Chegadas!E:AQ""),19,0),"""")"),"")</f>
        <v/>
      </c>
      <c r="U552" s="100"/>
      <c r="V552" s="98"/>
      <c r="W552" s="98"/>
    </row>
    <row r="553" hidden="1">
      <c r="A553" s="95"/>
      <c r="B553" s="95"/>
      <c r="C553" s="54"/>
      <c r="D553" s="83"/>
      <c r="E553" s="96"/>
      <c r="F553" s="42"/>
      <c r="G553" s="97"/>
      <c r="H553" s="96"/>
      <c r="I553" s="96"/>
      <c r="J553" s="98"/>
      <c r="K553" s="99"/>
      <c r="L553" s="96"/>
      <c r="M553" s="42"/>
      <c r="N553" s="42"/>
      <c r="O553" s="42"/>
      <c r="P553" s="83"/>
      <c r="Q553" s="83"/>
      <c r="R553" s="42"/>
      <c r="S553" s="42"/>
      <c r="T553" s="43" t="str">
        <f>IFERROR(__xludf.DUMMYFUNCTION("IFERROR(VLOOKUP(C553,IMPORTRANGE(""https://docs.google.com/spreadsheets/d/1RmEXtNg60OGvqZjyMxiYNPJ6S_kcz01v57qrHugDWVc/edit#gid=0"",""Chegadas!E:AQ""),19,0),"""")"),"")</f>
        <v/>
      </c>
      <c r="U553" s="100"/>
      <c r="V553" s="98"/>
      <c r="W553" s="98"/>
    </row>
    <row r="554" hidden="1">
      <c r="A554" s="95"/>
      <c r="B554" s="95"/>
      <c r="C554" s="54"/>
      <c r="D554" s="83"/>
      <c r="E554" s="96"/>
      <c r="F554" s="42"/>
      <c r="G554" s="97"/>
      <c r="H554" s="96"/>
      <c r="I554" s="96"/>
      <c r="J554" s="98"/>
      <c r="K554" s="99"/>
      <c r="L554" s="96"/>
      <c r="M554" s="42"/>
      <c r="N554" s="42"/>
      <c r="O554" s="42"/>
      <c r="P554" s="83"/>
      <c r="Q554" s="83"/>
      <c r="R554" s="42"/>
      <c r="S554" s="42"/>
      <c r="T554" s="43" t="str">
        <f>IFERROR(__xludf.DUMMYFUNCTION("IFERROR(VLOOKUP(C554,IMPORTRANGE(""https://docs.google.com/spreadsheets/d/1RmEXtNg60OGvqZjyMxiYNPJ6S_kcz01v57qrHugDWVc/edit#gid=0"",""Chegadas!E:AQ""),19,0),"""")"),"")</f>
        <v/>
      </c>
      <c r="U554" s="100"/>
      <c r="V554" s="98"/>
      <c r="W554" s="98"/>
    </row>
    <row r="555" hidden="1">
      <c r="A555" s="95"/>
      <c r="B555" s="95"/>
      <c r="C555" s="54"/>
      <c r="D555" s="83"/>
      <c r="E555" s="96"/>
      <c r="F555" s="42"/>
      <c r="G555" s="97"/>
      <c r="H555" s="96"/>
      <c r="I555" s="96"/>
      <c r="J555" s="98"/>
      <c r="K555" s="99"/>
      <c r="L555" s="96"/>
      <c r="M555" s="42"/>
      <c r="N555" s="42"/>
      <c r="O555" s="42"/>
      <c r="P555" s="83"/>
      <c r="Q555" s="83"/>
      <c r="R555" s="42"/>
      <c r="S555" s="42"/>
      <c r="T555" s="43" t="str">
        <f>IFERROR(__xludf.DUMMYFUNCTION("IFERROR(VLOOKUP(C555,IMPORTRANGE(""https://docs.google.com/spreadsheets/d/1RmEXtNg60OGvqZjyMxiYNPJ6S_kcz01v57qrHugDWVc/edit#gid=0"",""Chegadas!E:AQ""),19,0),"""")"),"")</f>
        <v/>
      </c>
      <c r="U555" s="100"/>
      <c r="V555" s="98"/>
      <c r="W555" s="98"/>
    </row>
    <row r="556" hidden="1">
      <c r="A556" s="95"/>
      <c r="B556" s="95"/>
      <c r="C556" s="54"/>
      <c r="D556" s="83"/>
      <c r="E556" s="96"/>
      <c r="F556" s="42"/>
      <c r="G556" s="97"/>
      <c r="H556" s="96"/>
      <c r="I556" s="96"/>
      <c r="J556" s="98"/>
      <c r="K556" s="99"/>
      <c r="L556" s="96"/>
      <c r="M556" s="42"/>
      <c r="N556" s="42"/>
      <c r="O556" s="42"/>
      <c r="P556" s="83"/>
      <c r="Q556" s="83"/>
      <c r="R556" s="42"/>
      <c r="S556" s="42"/>
      <c r="T556" s="43" t="str">
        <f>IFERROR(__xludf.DUMMYFUNCTION("IFERROR(VLOOKUP(C556,IMPORTRANGE(""https://docs.google.com/spreadsheets/d/1RmEXtNg60OGvqZjyMxiYNPJ6S_kcz01v57qrHugDWVc/edit#gid=0"",""Chegadas!E:AQ""),19,0),"""")"),"")</f>
        <v/>
      </c>
      <c r="U556" s="100"/>
      <c r="V556" s="98"/>
      <c r="W556" s="98"/>
    </row>
    <row r="557" hidden="1">
      <c r="A557" s="95"/>
      <c r="B557" s="95"/>
      <c r="C557" s="54"/>
      <c r="D557" s="83"/>
      <c r="E557" s="96"/>
      <c r="F557" s="42"/>
      <c r="G557" s="97"/>
      <c r="H557" s="96"/>
      <c r="I557" s="96"/>
      <c r="J557" s="98"/>
      <c r="K557" s="99"/>
      <c r="L557" s="96"/>
      <c r="M557" s="42"/>
      <c r="N557" s="42"/>
      <c r="O557" s="42"/>
      <c r="P557" s="83"/>
      <c r="Q557" s="83"/>
      <c r="R557" s="42"/>
      <c r="S557" s="42"/>
      <c r="T557" s="43" t="str">
        <f>IFERROR(__xludf.DUMMYFUNCTION("IFERROR(VLOOKUP(C557,IMPORTRANGE(""https://docs.google.com/spreadsheets/d/1RmEXtNg60OGvqZjyMxiYNPJ6S_kcz01v57qrHugDWVc/edit#gid=0"",""Chegadas!E:AQ""),19,0),"""")"),"")</f>
        <v/>
      </c>
      <c r="U557" s="100"/>
      <c r="V557" s="98"/>
      <c r="W557" s="98"/>
    </row>
    <row r="558" hidden="1">
      <c r="A558" s="95"/>
      <c r="B558" s="95"/>
      <c r="C558" s="54"/>
      <c r="D558" s="83"/>
      <c r="E558" s="96"/>
      <c r="F558" s="42"/>
      <c r="G558" s="97"/>
      <c r="H558" s="96"/>
      <c r="I558" s="96"/>
      <c r="J558" s="98"/>
      <c r="K558" s="99"/>
      <c r="L558" s="96"/>
      <c r="M558" s="42"/>
      <c r="N558" s="42"/>
      <c r="O558" s="42"/>
      <c r="P558" s="83"/>
      <c r="Q558" s="83"/>
      <c r="R558" s="42"/>
      <c r="S558" s="42"/>
      <c r="T558" s="43" t="str">
        <f>IFERROR(__xludf.DUMMYFUNCTION("IFERROR(VLOOKUP(C558,IMPORTRANGE(""https://docs.google.com/spreadsheets/d/1RmEXtNg60OGvqZjyMxiYNPJ6S_kcz01v57qrHugDWVc/edit#gid=0"",""Chegadas!E:AQ""),19,0),"""")"),"")</f>
        <v/>
      </c>
      <c r="U558" s="100"/>
      <c r="V558" s="98"/>
      <c r="W558" s="98"/>
    </row>
    <row r="559" hidden="1">
      <c r="A559" s="95"/>
      <c r="B559" s="95"/>
      <c r="C559" s="54"/>
      <c r="D559" s="83"/>
      <c r="E559" s="96"/>
      <c r="F559" s="42"/>
      <c r="G559" s="97"/>
      <c r="H559" s="96"/>
      <c r="I559" s="96"/>
      <c r="J559" s="98"/>
      <c r="K559" s="99"/>
      <c r="L559" s="96"/>
      <c r="M559" s="42"/>
      <c r="N559" s="42"/>
      <c r="O559" s="42"/>
      <c r="P559" s="83"/>
      <c r="Q559" s="83"/>
      <c r="R559" s="42"/>
      <c r="S559" s="42"/>
      <c r="T559" s="43" t="str">
        <f>IFERROR(__xludf.DUMMYFUNCTION("IFERROR(VLOOKUP(C559,IMPORTRANGE(""https://docs.google.com/spreadsheets/d/1RmEXtNg60OGvqZjyMxiYNPJ6S_kcz01v57qrHugDWVc/edit#gid=0"",""Chegadas!E:AQ""),19,0),"""")"),"")</f>
        <v/>
      </c>
      <c r="U559" s="100"/>
      <c r="V559" s="98"/>
      <c r="W559" s="98"/>
    </row>
    <row r="560" hidden="1">
      <c r="A560" s="95"/>
      <c r="B560" s="95"/>
      <c r="C560" s="54"/>
      <c r="D560" s="83"/>
      <c r="E560" s="96"/>
      <c r="F560" s="42"/>
      <c r="G560" s="97"/>
      <c r="H560" s="96"/>
      <c r="I560" s="96"/>
      <c r="J560" s="98"/>
      <c r="K560" s="99"/>
      <c r="L560" s="96"/>
      <c r="M560" s="42"/>
      <c r="N560" s="42"/>
      <c r="O560" s="42"/>
      <c r="P560" s="83"/>
      <c r="Q560" s="83"/>
      <c r="R560" s="42"/>
      <c r="S560" s="42"/>
      <c r="T560" s="43" t="str">
        <f>IFERROR(__xludf.DUMMYFUNCTION("IFERROR(VLOOKUP(C560,IMPORTRANGE(""https://docs.google.com/spreadsheets/d/1RmEXtNg60OGvqZjyMxiYNPJ6S_kcz01v57qrHugDWVc/edit#gid=0"",""Chegadas!E:AQ""),19,0),"""")"),"")</f>
        <v/>
      </c>
      <c r="U560" s="100"/>
      <c r="V560" s="98"/>
      <c r="W560" s="98"/>
    </row>
    <row r="561" hidden="1">
      <c r="A561" s="95"/>
      <c r="B561" s="95"/>
      <c r="C561" s="54"/>
      <c r="D561" s="83"/>
      <c r="E561" s="96"/>
      <c r="F561" s="42"/>
      <c r="G561" s="97"/>
      <c r="H561" s="96"/>
      <c r="I561" s="96"/>
      <c r="J561" s="98"/>
      <c r="K561" s="99"/>
      <c r="L561" s="96"/>
      <c r="M561" s="42"/>
      <c r="N561" s="42"/>
      <c r="O561" s="42"/>
      <c r="P561" s="83"/>
      <c r="Q561" s="83"/>
      <c r="R561" s="42"/>
      <c r="S561" s="42"/>
      <c r="T561" s="43" t="str">
        <f>IFERROR(__xludf.DUMMYFUNCTION("IFERROR(VLOOKUP(C561,IMPORTRANGE(""https://docs.google.com/spreadsheets/d/1RmEXtNg60OGvqZjyMxiYNPJ6S_kcz01v57qrHugDWVc/edit#gid=0"",""Chegadas!E:AQ""),19,0),"""")"),"")</f>
        <v/>
      </c>
      <c r="U561" s="100"/>
      <c r="V561" s="98"/>
      <c r="W561" s="98"/>
    </row>
    <row r="562" hidden="1">
      <c r="A562" s="95"/>
      <c r="B562" s="95"/>
      <c r="C562" s="54"/>
      <c r="D562" s="83"/>
      <c r="E562" s="96"/>
      <c r="F562" s="42"/>
      <c r="G562" s="97"/>
      <c r="H562" s="96"/>
      <c r="I562" s="96"/>
      <c r="J562" s="98"/>
      <c r="K562" s="99"/>
      <c r="L562" s="96"/>
      <c r="M562" s="42"/>
      <c r="N562" s="42"/>
      <c r="O562" s="42"/>
      <c r="P562" s="83"/>
      <c r="Q562" s="83"/>
      <c r="R562" s="42"/>
      <c r="S562" s="42"/>
      <c r="T562" s="43" t="str">
        <f>IFERROR(__xludf.DUMMYFUNCTION("IFERROR(VLOOKUP(C562,IMPORTRANGE(""https://docs.google.com/spreadsheets/d/1RmEXtNg60OGvqZjyMxiYNPJ6S_kcz01v57qrHugDWVc/edit#gid=0"",""Chegadas!E:AQ""),19,0),"""")"),"")</f>
        <v/>
      </c>
      <c r="U562" s="100"/>
      <c r="V562" s="98"/>
      <c r="W562" s="98"/>
    </row>
    <row r="563" hidden="1">
      <c r="A563" s="95"/>
      <c r="B563" s="95"/>
      <c r="C563" s="54"/>
      <c r="D563" s="83"/>
      <c r="E563" s="96"/>
      <c r="F563" s="42"/>
      <c r="G563" s="97"/>
      <c r="H563" s="96"/>
      <c r="I563" s="96"/>
      <c r="J563" s="98"/>
      <c r="K563" s="99"/>
      <c r="L563" s="96"/>
      <c r="M563" s="42"/>
      <c r="N563" s="42"/>
      <c r="O563" s="42"/>
      <c r="P563" s="83"/>
      <c r="Q563" s="83"/>
      <c r="R563" s="42"/>
      <c r="S563" s="42"/>
      <c r="T563" s="43" t="str">
        <f>IFERROR(__xludf.DUMMYFUNCTION("IFERROR(VLOOKUP(C563,IMPORTRANGE(""https://docs.google.com/spreadsheets/d/1RmEXtNg60OGvqZjyMxiYNPJ6S_kcz01v57qrHugDWVc/edit#gid=0"",""Chegadas!E:AQ""),19,0),"""")"),"")</f>
        <v/>
      </c>
      <c r="U563" s="100"/>
      <c r="V563" s="98"/>
      <c r="W563" s="98"/>
    </row>
    <row r="564" hidden="1">
      <c r="A564" s="95"/>
      <c r="B564" s="95"/>
      <c r="C564" s="54"/>
      <c r="D564" s="83"/>
      <c r="E564" s="96"/>
      <c r="F564" s="42"/>
      <c r="G564" s="97"/>
      <c r="H564" s="96"/>
      <c r="I564" s="96"/>
      <c r="J564" s="98"/>
      <c r="K564" s="99"/>
      <c r="L564" s="96"/>
      <c r="M564" s="42"/>
      <c r="N564" s="42"/>
      <c r="O564" s="42"/>
      <c r="P564" s="83"/>
      <c r="Q564" s="83"/>
      <c r="R564" s="42"/>
      <c r="S564" s="42"/>
      <c r="T564" s="43" t="str">
        <f>IFERROR(__xludf.DUMMYFUNCTION("IFERROR(VLOOKUP(C564,IMPORTRANGE(""https://docs.google.com/spreadsheets/d/1RmEXtNg60OGvqZjyMxiYNPJ6S_kcz01v57qrHugDWVc/edit#gid=0"",""Chegadas!E:AQ""),19,0),"""")"),"")</f>
        <v/>
      </c>
      <c r="U564" s="100"/>
      <c r="V564" s="98"/>
      <c r="W564" s="98"/>
    </row>
    <row r="565" hidden="1">
      <c r="A565" s="95"/>
      <c r="B565" s="95"/>
      <c r="C565" s="54"/>
      <c r="D565" s="83"/>
      <c r="E565" s="96"/>
      <c r="F565" s="42"/>
      <c r="G565" s="97"/>
      <c r="H565" s="96"/>
      <c r="I565" s="96"/>
      <c r="J565" s="98"/>
      <c r="K565" s="99"/>
      <c r="L565" s="96"/>
      <c r="M565" s="42"/>
      <c r="N565" s="42"/>
      <c r="O565" s="42"/>
      <c r="P565" s="83"/>
      <c r="Q565" s="83"/>
      <c r="R565" s="42"/>
      <c r="S565" s="42"/>
      <c r="T565" s="43" t="str">
        <f>IFERROR(__xludf.DUMMYFUNCTION("IFERROR(VLOOKUP(C565,IMPORTRANGE(""https://docs.google.com/spreadsheets/d/1RmEXtNg60OGvqZjyMxiYNPJ6S_kcz01v57qrHugDWVc/edit#gid=0"",""Chegadas!E:AQ""),19,0),"""")"),"")</f>
        <v/>
      </c>
      <c r="U565" s="100"/>
      <c r="V565" s="98"/>
      <c r="W565" s="98"/>
    </row>
    <row r="566" hidden="1">
      <c r="A566" s="95"/>
      <c r="B566" s="95"/>
      <c r="C566" s="54"/>
      <c r="D566" s="83"/>
      <c r="E566" s="96"/>
      <c r="F566" s="42"/>
      <c r="G566" s="97"/>
      <c r="H566" s="96"/>
      <c r="I566" s="96"/>
      <c r="J566" s="98"/>
      <c r="K566" s="99"/>
      <c r="L566" s="96"/>
      <c r="M566" s="42"/>
      <c r="N566" s="42"/>
      <c r="O566" s="42"/>
      <c r="P566" s="83"/>
      <c r="Q566" s="83"/>
      <c r="R566" s="42"/>
      <c r="S566" s="42"/>
      <c r="T566" s="43" t="str">
        <f>IFERROR(__xludf.DUMMYFUNCTION("IFERROR(VLOOKUP(C566,IMPORTRANGE(""https://docs.google.com/spreadsheets/d/1RmEXtNg60OGvqZjyMxiYNPJ6S_kcz01v57qrHugDWVc/edit#gid=0"",""Chegadas!E:AQ""),19,0),"""")"),"")</f>
        <v/>
      </c>
      <c r="U566" s="100"/>
      <c r="V566" s="98"/>
      <c r="W566" s="98"/>
    </row>
    <row r="567" hidden="1">
      <c r="A567" s="95"/>
      <c r="B567" s="95"/>
      <c r="C567" s="54"/>
      <c r="D567" s="83"/>
      <c r="E567" s="96"/>
      <c r="F567" s="42"/>
      <c r="G567" s="97"/>
      <c r="H567" s="96"/>
      <c r="I567" s="96"/>
      <c r="J567" s="98"/>
      <c r="K567" s="99"/>
      <c r="L567" s="96"/>
      <c r="M567" s="42"/>
      <c r="N567" s="42"/>
      <c r="O567" s="42"/>
      <c r="P567" s="83"/>
      <c r="Q567" s="83"/>
      <c r="R567" s="42"/>
      <c r="S567" s="42"/>
      <c r="T567" s="43" t="str">
        <f>IFERROR(__xludf.DUMMYFUNCTION("IFERROR(VLOOKUP(C567,IMPORTRANGE(""https://docs.google.com/spreadsheets/d/1RmEXtNg60OGvqZjyMxiYNPJ6S_kcz01v57qrHugDWVc/edit#gid=0"",""Chegadas!E:AQ""),19,0),"""")"),"")</f>
        <v/>
      </c>
      <c r="U567" s="100"/>
      <c r="V567" s="98"/>
      <c r="W567" s="98"/>
    </row>
    <row r="568" hidden="1">
      <c r="A568" s="95"/>
      <c r="B568" s="95"/>
      <c r="C568" s="54"/>
      <c r="D568" s="83"/>
      <c r="E568" s="96"/>
      <c r="F568" s="42"/>
      <c r="G568" s="97"/>
      <c r="H568" s="96"/>
      <c r="I568" s="96"/>
      <c r="J568" s="98"/>
      <c r="K568" s="99"/>
      <c r="L568" s="96"/>
      <c r="M568" s="42"/>
      <c r="N568" s="42"/>
      <c r="O568" s="42"/>
      <c r="P568" s="83"/>
      <c r="Q568" s="83"/>
      <c r="R568" s="42"/>
      <c r="S568" s="42"/>
      <c r="T568" s="43" t="str">
        <f>IFERROR(__xludf.DUMMYFUNCTION("IFERROR(VLOOKUP(C568,IMPORTRANGE(""https://docs.google.com/spreadsheets/d/1RmEXtNg60OGvqZjyMxiYNPJ6S_kcz01v57qrHugDWVc/edit#gid=0"",""Chegadas!E:AQ""),19,0),"""")"),"")</f>
        <v/>
      </c>
      <c r="U568" s="100"/>
      <c r="V568" s="98"/>
      <c r="W568" s="98"/>
    </row>
    <row r="569" hidden="1">
      <c r="A569" s="95"/>
      <c r="B569" s="95"/>
      <c r="C569" s="54"/>
      <c r="D569" s="83"/>
      <c r="E569" s="96"/>
      <c r="F569" s="42"/>
      <c r="G569" s="97"/>
      <c r="H569" s="96"/>
      <c r="I569" s="96"/>
      <c r="J569" s="98"/>
      <c r="K569" s="99"/>
      <c r="L569" s="96"/>
      <c r="M569" s="42"/>
      <c r="N569" s="42"/>
      <c r="O569" s="42"/>
      <c r="P569" s="83"/>
      <c r="Q569" s="83"/>
      <c r="R569" s="42"/>
      <c r="S569" s="42"/>
      <c r="T569" s="43" t="str">
        <f>IFERROR(__xludf.DUMMYFUNCTION("IFERROR(VLOOKUP(C569,IMPORTRANGE(""https://docs.google.com/spreadsheets/d/1RmEXtNg60OGvqZjyMxiYNPJ6S_kcz01v57qrHugDWVc/edit#gid=0"",""Chegadas!E:AQ""),19,0),"""")"),"")</f>
        <v/>
      </c>
      <c r="U569" s="100"/>
      <c r="V569" s="98"/>
      <c r="W569" s="98"/>
    </row>
    <row r="570" hidden="1">
      <c r="A570" s="95"/>
      <c r="B570" s="95"/>
      <c r="C570" s="54"/>
      <c r="D570" s="83"/>
      <c r="E570" s="96"/>
      <c r="F570" s="42"/>
      <c r="G570" s="97"/>
      <c r="H570" s="96"/>
      <c r="I570" s="96"/>
      <c r="J570" s="98"/>
      <c r="K570" s="99"/>
      <c r="L570" s="96"/>
      <c r="M570" s="42"/>
      <c r="N570" s="42"/>
      <c r="O570" s="42"/>
      <c r="P570" s="83"/>
      <c r="Q570" s="83"/>
      <c r="R570" s="42"/>
      <c r="S570" s="42"/>
      <c r="T570" s="43" t="str">
        <f>IFERROR(__xludf.DUMMYFUNCTION("IFERROR(VLOOKUP(C570,IMPORTRANGE(""https://docs.google.com/spreadsheets/d/1RmEXtNg60OGvqZjyMxiYNPJ6S_kcz01v57qrHugDWVc/edit#gid=0"",""Chegadas!E:AQ""),19,0),"""")"),"")</f>
        <v/>
      </c>
      <c r="U570" s="100"/>
      <c r="V570" s="98"/>
      <c r="W570" s="98"/>
    </row>
    <row r="571" hidden="1">
      <c r="A571" s="95"/>
      <c r="B571" s="95"/>
      <c r="C571" s="54"/>
      <c r="D571" s="83"/>
      <c r="E571" s="96"/>
      <c r="F571" s="42"/>
      <c r="G571" s="97"/>
      <c r="H571" s="96"/>
      <c r="I571" s="96"/>
      <c r="J571" s="98"/>
      <c r="K571" s="99"/>
      <c r="L571" s="96"/>
      <c r="M571" s="42"/>
      <c r="N571" s="42"/>
      <c r="O571" s="42"/>
      <c r="P571" s="83"/>
      <c r="Q571" s="83"/>
      <c r="R571" s="42"/>
      <c r="S571" s="42"/>
      <c r="T571" s="43" t="str">
        <f>IFERROR(__xludf.DUMMYFUNCTION("IFERROR(VLOOKUP(C571,IMPORTRANGE(""https://docs.google.com/spreadsheets/d/1RmEXtNg60OGvqZjyMxiYNPJ6S_kcz01v57qrHugDWVc/edit#gid=0"",""Chegadas!E:AQ""),19,0),"""")"),"")</f>
        <v/>
      </c>
      <c r="U571" s="100"/>
      <c r="V571" s="98"/>
      <c r="W571" s="98"/>
    </row>
    <row r="572" hidden="1">
      <c r="A572" s="95"/>
      <c r="B572" s="95"/>
      <c r="C572" s="54"/>
      <c r="D572" s="83"/>
      <c r="E572" s="96"/>
      <c r="F572" s="42"/>
      <c r="G572" s="97"/>
      <c r="H572" s="96"/>
      <c r="I572" s="96"/>
      <c r="J572" s="98"/>
      <c r="K572" s="99"/>
      <c r="L572" s="96"/>
      <c r="M572" s="42"/>
      <c r="N572" s="42"/>
      <c r="O572" s="42"/>
      <c r="P572" s="83"/>
      <c r="Q572" s="83"/>
      <c r="R572" s="42"/>
      <c r="S572" s="42"/>
      <c r="T572" s="43" t="str">
        <f>IFERROR(__xludf.DUMMYFUNCTION("IFERROR(VLOOKUP(C572,IMPORTRANGE(""https://docs.google.com/spreadsheets/d/1RmEXtNg60OGvqZjyMxiYNPJ6S_kcz01v57qrHugDWVc/edit#gid=0"",""Chegadas!E:AQ""),19,0),"""")"),"")</f>
        <v/>
      </c>
      <c r="U572" s="100"/>
      <c r="V572" s="98"/>
      <c r="W572" s="98"/>
    </row>
    <row r="573" hidden="1">
      <c r="A573" s="95"/>
      <c r="B573" s="95"/>
      <c r="C573" s="54"/>
      <c r="D573" s="83"/>
      <c r="E573" s="96"/>
      <c r="F573" s="42"/>
      <c r="G573" s="97"/>
      <c r="H573" s="96"/>
      <c r="I573" s="96"/>
      <c r="J573" s="98"/>
      <c r="K573" s="99"/>
      <c r="L573" s="96"/>
      <c r="M573" s="42"/>
      <c r="N573" s="42"/>
      <c r="O573" s="42"/>
      <c r="P573" s="83"/>
      <c r="Q573" s="83"/>
      <c r="R573" s="42"/>
      <c r="S573" s="42"/>
      <c r="T573" s="43" t="str">
        <f>IFERROR(__xludf.DUMMYFUNCTION("IFERROR(VLOOKUP(C573,IMPORTRANGE(""https://docs.google.com/spreadsheets/d/1RmEXtNg60OGvqZjyMxiYNPJ6S_kcz01v57qrHugDWVc/edit#gid=0"",""Chegadas!E:AQ""),19,0),"""")"),"")</f>
        <v/>
      </c>
      <c r="U573" s="100"/>
      <c r="V573" s="98"/>
      <c r="W573" s="98"/>
    </row>
    <row r="574" hidden="1">
      <c r="A574" s="95"/>
      <c r="B574" s="95"/>
      <c r="C574" s="54"/>
      <c r="D574" s="83"/>
      <c r="E574" s="96"/>
      <c r="F574" s="42"/>
      <c r="G574" s="97"/>
      <c r="H574" s="96"/>
      <c r="I574" s="96"/>
      <c r="J574" s="98"/>
      <c r="K574" s="99"/>
      <c r="L574" s="96"/>
      <c r="M574" s="42"/>
      <c r="N574" s="42"/>
      <c r="O574" s="42"/>
      <c r="P574" s="83"/>
      <c r="Q574" s="83"/>
      <c r="R574" s="42"/>
      <c r="S574" s="42"/>
      <c r="T574" s="43" t="str">
        <f>IFERROR(__xludf.DUMMYFUNCTION("IFERROR(VLOOKUP(C574,IMPORTRANGE(""https://docs.google.com/spreadsheets/d/1RmEXtNg60OGvqZjyMxiYNPJ6S_kcz01v57qrHugDWVc/edit#gid=0"",""Chegadas!E:AQ""),19,0),"""")"),"")</f>
        <v/>
      </c>
      <c r="U574" s="100"/>
      <c r="V574" s="98"/>
      <c r="W574" s="98"/>
    </row>
    <row r="575" hidden="1">
      <c r="A575" s="95"/>
      <c r="B575" s="95"/>
      <c r="C575" s="54"/>
      <c r="D575" s="83"/>
      <c r="E575" s="96"/>
      <c r="F575" s="42"/>
      <c r="G575" s="97"/>
      <c r="H575" s="96"/>
      <c r="I575" s="96"/>
      <c r="J575" s="98"/>
      <c r="K575" s="99"/>
      <c r="L575" s="96"/>
      <c r="M575" s="42"/>
      <c r="N575" s="42"/>
      <c r="O575" s="42"/>
      <c r="P575" s="83"/>
      <c r="Q575" s="83"/>
      <c r="R575" s="42"/>
      <c r="S575" s="42"/>
      <c r="T575" s="43" t="str">
        <f>IFERROR(__xludf.DUMMYFUNCTION("IFERROR(VLOOKUP(C575,IMPORTRANGE(""https://docs.google.com/spreadsheets/d/1RmEXtNg60OGvqZjyMxiYNPJ6S_kcz01v57qrHugDWVc/edit#gid=0"",""Chegadas!E:AQ""),19,0),"""")"),"")</f>
        <v/>
      </c>
      <c r="U575" s="100"/>
      <c r="V575" s="98"/>
      <c r="W575" s="98"/>
    </row>
    <row r="576" hidden="1">
      <c r="A576" s="95"/>
      <c r="B576" s="95"/>
      <c r="C576" s="54"/>
      <c r="D576" s="83"/>
      <c r="E576" s="96"/>
      <c r="F576" s="42"/>
      <c r="G576" s="97"/>
      <c r="H576" s="96"/>
      <c r="I576" s="96"/>
      <c r="J576" s="98"/>
      <c r="K576" s="99"/>
      <c r="L576" s="96"/>
      <c r="M576" s="42"/>
      <c r="N576" s="42"/>
      <c r="O576" s="42"/>
      <c r="P576" s="83"/>
      <c r="Q576" s="83"/>
      <c r="R576" s="42"/>
      <c r="S576" s="42"/>
      <c r="T576" s="43" t="str">
        <f>IFERROR(__xludf.DUMMYFUNCTION("IFERROR(VLOOKUP(C576,IMPORTRANGE(""https://docs.google.com/spreadsheets/d/1RmEXtNg60OGvqZjyMxiYNPJ6S_kcz01v57qrHugDWVc/edit#gid=0"",""Chegadas!E:AQ""),19,0),"""")"),"")</f>
        <v/>
      </c>
      <c r="U576" s="100"/>
      <c r="V576" s="98"/>
      <c r="W576" s="98"/>
    </row>
    <row r="577" hidden="1">
      <c r="A577" s="95"/>
      <c r="B577" s="95"/>
      <c r="C577" s="54"/>
      <c r="D577" s="83"/>
      <c r="E577" s="96"/>
      <c r="F577" s="42"/>
      <c r="G577" s="97"/>
      <c r="H577" s="96"/>
      <c r="I577" s="96"/>
      <c r="J577" s="98"/>
      <c r="K577" s="99"/>
      <c r="L577" s="96"/>
      <c r="M577" s="42"/>
      <c r="N577" s="42"/>
      <c r="O577" s="42"/>
      <c r="P577" s="83"/>
      <c r="Q577" s="83"/>
      <c r="R577" s="42"/>
      <c r="S577" s="42"/>
      <c r="T577" s="43" t="str">
        <f>IFERROR(__xludf.DUMMYFUNCTION("IFERROR(VLOOKUP(C577,IMPORTRANGE(""https://docs.google.com/spreadsheets/d/1RmEXtNg60OGvqZjyMxiYNPJ6S_kcz01v57qrHugDWVc/edit#gid=0"",""Chegadas!E:AQ""),19,0),"""")"),"")</f>
        <v/>
      </c>
      <c r="U577" s="100"/>
      <c r="V577" s="98"/>
      <c r="W577" s="98"/>
    </row>
    <row r="578" hidden="1">
      <c r="A578" s="95"/>
      <c r="B578" s="95"/>
      <c r="C578" s="54"/>
      <c r="D578" s="83"/>
      <c r="E578" s="96"/>
      <c r="F578" s="42"/>
      <c r="G578" s="97"/>
      <c r="H578" s="96"/>
      <c r="I578" s="96"/>
      <c r="J578" s="98"/>
      <c r="K578" s="99"/>
      <c r="L578" s="96"/>
      <c r="M578" s="42"/>
      <c r="N578" s="42"/>
      <c r="O578" s="42"/>
      <c r="P578" s="83"/>
      <c r="Q578" s="83"/>
      <c r="R578" s="42"/>
      <c r="S578" s="42"/>
      <c r="T578" s="43" t="str">
        <f>IFERROR(__xludf.DUMMYFUNCTION("IFERROR(VLOOKUP(C578,IMPORTRANGE(""https://docs.google.com/spreadsheets/d/1RmEXtNg60OGvqZjyMxiYNPJ6S_kcz01v57qrHugDWVc/edit#gid=0"",""Chegadas!E:AQ""),19,0),"""")"),"")</f>
        <v/>
      </c>
      <c r="U578" s="100"/>
      <c r="V578" s="98"/>
      <c r="W578" s="98"/>
    </row>
    <row r="579" hidden="1">
      <c r="A579" s="95"/>
      <c r="B579" s="95"/>
      <c r="C579" s="54"/>
      <c r="D579" s="83"/>
      <c r="E579" s="96"/>
      <c r="F579" s="42"/>
      <c r="G579" s="97"/>
      <c r="H579" s="96"/>
      <c r="I579" s="96"/>
      <c r="J579" s="98"/>
      <c r="K579" s="99"/>
      <c r="L579" s="96"/>
      <c r="M579" s="42"/>
      <c r="N579" s="42"/>
      <c r="O579" s="42"/>
      <c r="P579" s="83"/>
      <c r="Q579" s="83"/>
      <c r="R579" s="42"/>
      <c r="S579" s="42"/>
      <c r="T579" s="43" t="str">
        <f>IFERROR(__xludf.DUMMYFUNCTION("IFERROR(VLOOKUP(C579,IMPORTRANGE(""https://docs.google.com/spreadsheets/d/1RmEXtNg60OGvqZjyMxiYNPJ6S_kcz01v57qrHugDWVc/edit#gid=0"",""Chegadas!E:AQ""),19,0),"""")"),"")</f>
        <v/>
      </c>
      <c r="U579" s="100"/>
      <c r="V579" s="98"/>
      <c r="W579" s="98"/>
    </row>
    <row r="580" hidden="1">
      <c r="A580" s="95"/>
      <c r="B580" s="95"/>
      <c r="C580" s="54"/>
      <c r="D580" s="83"/>
      <c r="E580" s="96"/>
      <c r="F580" s="42"/>
      <c r="G580" s="97"/>
      <c r="H580" s="96"/>
      <c r="I580" s="96"/>
      <c r="J580" s="98"/>
      <c r="K580" s="99"/>
      <c r="L580" s="96"/>
      <c r="M580" s="42"/>
      <c r="N580" s="42"/>
      <c r="O580" s="42"/>
      <c r="P580" s="83"/>
      <c r="Q580" s="83"/>
      <c r="R580" s="42"/>
      <c r="S580" s="42"/>
      <c r="T580" s="43" t="str">
        <f>IFERROR(__xludf.DUMMYFUNCTION("IFERROR(VLOOKUP(C580,IMPORTRANGE(""https://docs.google.com/spreadsheets/d/1RmEXtNg60OGvqZjyMxiYNPJ6S_kcz01v57qrHugDWVc/edit#gid=0"",""Chegadas!E:AQ""),19,0),"""")"),"")</f>
        <v/>
      </c>
      <c r="U580" s="100"/>
      <c r="V580" s="98"/>
      <c r="W580" s="98"/>
    </row>
    <row r="581" hidden="1">
      <c r="A581" s="95"/>
      <c r="B581" s="95"/>
      <c r="C581" s="54"/>
      <c r="D581" s="83"/>
      <c r="E581" s="96"/>
      <c r="F581" s="42"/>
      <c r="G581" s="97"/>
      <c r="H581" s="96"/>
      <c r="I581" s="96"/>
      <c r="J581" s="98"/>
      <c r="K581" s="99"/>
      <c r="L581" s="96"/>
      <c r="M581" s="42"/>
      <c r="N581" s="42"/>
      <c r="O581" s="42"/>
      <c r="P581" s="83"/>
      <c r="Q581" s="83"/>
      <c r="R581" s="42"/>
      <c r="S581" s="42"/>
      <c r="T581" s="43" t="str">
        <f>IFERROR(__xludf.DUMMYFUNCTION("IFERROR(VLOOKUP(C581,IMPORTRANGE(""https://docs.google.com/spreadsheets/d/1RmEXtNg60OGvqZjyMxiYNPJ6S_kcz01v57qrHugDWVc/edit#gid=0"",""Chegadas!E:AQ""),19,0),"""")"),"")</f>
        <v/>
      </c>
      <c r="U581" s="100"/>
      <c r="V581" s="98"/>
      <c r="W581" s="98"/>
    </row>
    <row r="582" hidden="1">
      <c r="A582" s="95"/>
      <c r="B582" s="95"/>
      <c r="C582" s="54"/>
      <c r="D582" s="83"/>
      <c r="E582" s="96"/>
      <c r="F582" s="42"/>
      <c r="G582" s="97"/>
      <c r="H582" s="96"/>
      <c r="I582" s="96"/>
      <c r="J582" s="98"/>
      <c r="K582" s="99"/>
      <c r="L582" s="96"/>
      <c r="M582" s="42"/>
      <c r="N582" s="42"/>
      <c r="O582" s="42"/>
      <c r="P582" s="83"/>
      <c r="Q582" s="83"/>
      <c r="R582" s="42"/>
      <c r="S582" s="42"/>
      <c r="T582" s="43" t="str">
        <f>IFERROR(__xludf.DUMMYFUNCTION("IFERROR(VLOOKUP(C582,IMPORTRANGE(""https://docs.google.com/spreadsheets/d/1RmEXtNg60OGvqZjyMxiYNPJ6S_kcz01v57qrHugDWVc/edit#gid=0"",""Chegadas!E:AQ""),19,0),"""")"),"")</f>
        <v/>
      </c>
      <c r="U582" s="100"/>
      <c r="V582" s="98"/>
      <c r="W582" s="98"/>
    </row>
    <row r="583" hidden="1">
      <c r="A583" s="95"/>
      <c r="B583" s="95"/>
      <c r="C583" s="54"/>
      <c r="D583" s="83"/>
      <c r="E583" s="96"/>
      <c r="F583" s="42"/>
      <c r="G583" s="97"/>
      <c r="H583" s="96"/>
      <c r="I583" s="96"/>
      <c r="J583" s="98"/>
      <c r="K583" s="99"/>
      <c r="L583" s="96"/>
      <c r="M583" s="42"/>
      <c r="N583" s="42"/>
      <c r="O583" s="42"/>
      <c r="P583" s="83"/>
      <c r="Q583" s="83"/>
      <c r="R583" s="42"/>
      <c r="S583" s="42"/>
      <c r="T583" s="43" t="str">
        <f>IFERROR(__xludf.DUMMYFUNCTION("IFERROR(VLOOKUP(C583,IMPORTRANGE(""https://docs.google.com/spreadsheets/d/1RmEXtNg60OGvqZjyMxiYNPJ6S_kcz01v57qrHugDWVc/edit#gid=0"",""Chegadas!E:AQ""),19,0),"""")"),"")</f>
        <v/>
      </c>
      <c r="U583" s="100"/>
      <c r="V583" s="98"/>
      <c r="W583" s="98"/>
    </row>
    <row r="584" hidden="1">
      <c r="A584" s="95"/>
      <c r="B584" s="95"/>
      <c r="C584" s="54"/>
      <c r="D584" s="83"/>
      <c r="E584" s="96"/>
      <c r="F584" s="42"/>
      <c r="G584" s="97"/>
      <c r="H584" s="96"/>
      <c r="I584" s="96"/>
      <c r="J584" s="98"/>
      <c r="K584" s="99"/>
      <c r="L584" s="96"/>
      <c r="M584" s="42"/>
      <c r="N584" s="42"/>
      <c r="O584" s="42"/>
      <c r="P584" s="83"/>
      <c r="Q584" s="83"/>
      <c r="R584" s="42"/>
      <c r="S584" s="42"/>
      <c r="T584" s="43" t="str">
        <f>IFERROR(__xludf.DUMMYFUNCTION("IFERROR(VLOOKUP(C584,IMPORTRANGE(""https://docs.google.com/spreadsheets/d/1RmEXtNg60OGvqZjyMxiYNPJ6S_kcz01v57qrHugDWVc/edit#gid=0"",""Chegadas!E:AQ""),19,0),"""")"),"")</f>
        <v/>
      </c>
      <c r="U584" s="100"/>
      <c r="V584" s="98"/>
      <c r="W584" s="98"/>
    </row>
    <row r="585" hidden="1">
      <c r="A585" s="95"/>
      <c r="B585" s="95"/>
      <c r="C585" s="54"/>
      <c r="D585" s="83"/>
      <c r="E585" s="96"/>
      <c r="F585" s="42"/>
      <c r="G585" s="97"/>
      <c r="H585" s="96"/>
      <c r="I585" s="96"/>
      <c r="J585" s="98"/>
      <c r="K585" s="99"/>
      <c r="L585" s="96"/>
      <c r="M585" s="42"/>
      <c r="N585" s="42"/>
      <c r="O585" s="42"/>
      <c r="P585" s="83"/>
      <c r="Q585" s="83"/>
      <c r="R585" s="42"/>
      <c r="S585" s="42"/>
      <c r="T585" s="43" t="str">
        <f>IFERROR(__xludf.DUMMYFUNCTION("IFERROR(VLOOKUP(C585,IMPORTRANGE(""https://docs.google.com/spreadsheets/d/1RmEXtNg60OGvqZjyMxiYNPJ6S_kcz01v57qrHugDWVc/edit#gid=0"",""Chegadas!E:AQ""),19,0),"""")"),"")</f>
        <v/>
      </c>
      <c r="U585" s="100"/>
      <c r="V585" s="98"/>
      <c r="W585" s="98"/>
    </row>
    <row r="586" hidden="1">
      <c r="A586" s="95"/>
      <c r="B586" s="95"/>
      <c r="C586" s="54"/>
      <c r="D586" s="83"/>
      <c r="E586" s="96"/>
      <c r="F586" s="42"/>
      <c r="G586" s="97"/>
      <c r="H586" s="96"/>
      <c r="I586" s="96"/>
      <c r="J586" s="98"/>
      <c r="K586" s="99"/>
      <c r="L586" s="96"/>
      <c r="M586" s="42"/>
      <c r="N586" s="42"/>
      <c r="O586" s="42"/>
      <c r="P586" s="83"/>
      <c r="Q586" s="83"/>
      <c r="R586" s="42"/>
      <c r="S586" s="42"/>
      <c r="T586" s="43" t="str">
        <f>IFERROR(__xludf.DUMMYFUNCTION("IFERROR(VLOOKUP(C586,IMPORTRANGE(""https://docs.google.com/spreadsheets/d/1RmEXtNg60OGvqZjyMxiYNPJ6S_kcz01v57qrHugDWVc/edit#gid=0"",""Chegadas!E:AQ""),19,0),"""")"),"")</f>
        <v/>
      </c>
      <c r="U586" s="100"/>
      <c r="V586" s="98"/>
      <c r="W586" s="98"/>
    </row>
    <row r="587" hidden="1">
      <c r="A587" s="95"/>
      <c r="B587" s="95"/>
      <c r="C587" s="54"/>
      <c r="D587" s="83"/>
      <c r="E587" s="96"/>
      <c r="F587" s="42"/>
      <c r="G587" s="97"/>
      <c r="H587" s="96"/>
      <c r="I587" s="96"/>
      <c r="J587" s="98"/>
      <c r="K587" s="99"/>
      <c r="L587" s="96"/>
      <c r="M587" s="42"/>
      <c r="N587" s="42"/>
      <c r="O587" s="42"/>
      <c r="P587" s="83"/>
      <c r="Q587" s="83"/>
      <c r="R587" s="42"/>
      <c r="S587" s="42"/>
      <c r="T587" s="43" t="str">
        <f>IFERROR(__xludf.DUMMYFUNCTION("IFERROR(VLOOKUP(C587,IMPORTRANGE(""https://docs.google.com/spreadsheets/d/1RmEXtNg60OGvqZjyMxiYNPJ6S_kcz01v57qrHugDWVc/edit#gid=0"",""Chegadas!E:AQ""),19,0),"""")"),"")</f>
        <v/>
      </c>
      <c r="U587" s="100"/>
      <c r="V587" s="98"/>
      <c r="W587" s="98"/>
    </row>
    <row r="588" hidden="1">
      <c r="A588" s="95"/>
      <c r="B588" s="95"/>
      <c r="C588" s="54"/>
      <c r="D588" s="83"/>
      <c r="E588" s="96"/>
      <c r="F588" s="42"/>
      <c r="G588" s="97"/>
      <c r="H588" s="96"/>
      <c r="I588" s="96"/>
      <c r="J588" s="98"/>
      <c r="K588" s="99"/>
      <c r="L588" s="96"/>
      <c r="M588" s="42"/>
      <c r="N588" s="42"/>
      <c r="O588" s="42"/>
      <c r="P588" s="83"/>
      <c r="Q588" s="83"/>
      <c r="R588" s="42"/>
      <c r="S588" s="42"/>
      <c r="T588" s="43" t="str">
        <f>IFERROR(__xludf.DUMMYFUNCTION("IFERROR(VLOOKUP(C588,IMPORTRANGE(""https://docs.google.com/spreadsheets/d/1RmEXtNg60OGvqZjyMxiYNPJ6S_kcz01v57qrHugDWVc/edit#gid=0"",""Chegadas!E:AQ""),19,0),"""")"),"")</f>
        <v/>
      </c>
      <c r="U588" s="100"/>
      <c r="V588" s="98"/>
      <c r="W588" s="98"/>
    </row>
    <row r="589" hidden="1">
      <c r="A589" s="95"/>
      <c r="B589" s="95"/>
      <c r="C589" s="54"/>
      <c r="D589" s="83"/>
      <c r="E589" s="96"/>
      <c r="F589" s="42"/>
      <c r="G589" s="97"/>
      <c r="H589" s="96"/>
      <c r="I589" s="96"/>
      <c r="J589" s="98"/>
      <c r="K589" s="99"/>
      <c r="L589" s="96"/>
      <c r="M589" s="42"/>
      <c r="N589" s="42"/>
      <c r="O589" s="42"/>
      <c r="P589" s="83"/>
      <c r="Q589" s="83"/>
      <c r="R589" s="42"/>
      <c r="S589" s="42"/>
      <c r="T589" s="43" t="str">
        <f>IFERROR(__xludf.DUMMYFUNCTION("IFERROR(VLOOKUP(C589,IMPORTRANGE(""https://docs.google.com/spreadsheets/d/1RmEXtNg60OGvqZjyMxiYNPJ6S_kcz01v57qrHugDWVc/edit#gid=0"",""Chegadas!E:AQ""),19,0),"""")"),"")</f>
        <v/>
      </c>
      <c r="U589" s="100"/>
      <c r="V589" s="98"/>
      <c r="W589" s="98"/>
    </row>
    <row r="590" hidden="1">
      <c r="A590" s="95"/>
      <c r="B590" s="95"/>
      <c r="C590" s="54"/>
      <c r="D590" s="83"/>
      <c r="E590" s="96"/>
      <c r="F590" s="42"/>
      <c r="G590" s="97"/>
      <c r="H590" s="96"/>
      <c r="I590" s="96"/>
      <c r="J590" s="98"/>
      <c r="K590" s="99"/>
      <c r="L590" s="96"/>
      <c r="M590" s="42"/>
      <c r="N590" s="42"/>
      <c r="O590" s="42"/>
      <c r="P590" s="83"/>
      <c r="Q590" s="83"/>
      <c r="R590" s="42"/>
      <c r="S590" s="42"/>
      <c r="T590" s="43" t="str">
        <f>IFERROR(__xludf.DUMMYFUNCTION("IFERROR(VLOOKUP(C590,IMPORTRANGE(""https://docs.google.com/spreadsheets/d/1RmEXtNg60OGvqZjyMxiYNPJ6S_kcz01v57qrHugDWVc/edit#gid=0"",""Chegadas!E:AQ""),19,0),"""")"),"")</f>
        <v/>
      </c>
      <c r="U590" s="100"/>
      <c r="V590" s="98"/>
      <c r="W590" s="98"/>
    </row>
    <row r="591" hidden="1">
      <c r="A591" s="95"/>
      <c r="B591" s="95"/>
      <c r="C591" s="54"/>
      <c r="D591" s="83"/>
      <c r="E591" s="96"/>
      <c r="F591" s="42"/>
      <c r="G591" s="97"/>
      <c r="H591" s="96"/>
      <c r="I591" s="96"/>
      <c r="J591" s="98"/>
      <c r="K591" s="99"/>
      <c r="L591" s="96"/>
      <c r="M591" s="42"/>
      <c r="N591" s="42"/>
      <c r="O591" s="42"/>
      <c r="P591" s="83"/>
      <c r="Q591" s="83"/>
      <c r="R591" s="42"/>
      <c r="S591" s="42"/>
      <c r="T591" s="43" t="str">
        <f>IFERROR(__xludf.DUMMYFUNCTION("IFERROR(VLOOKUP(C591,IMPORTRANGE(""https://docs.google.com/spreadsheets/d/1RmEXtNg60OGvqZjyMxiYNPJ6S_kcz01v57qrHugDWVc/edit#gid=0"",""Chegadas!E:AQ""),19,0),"""")"),"")</f>
        <v/>
      </c>
      <c r="U591" s="100"/>
      <c r="V591" s="98"/>
      <c r="W591" s="98"/>
    </row>
    <row r="592" hidden="1">
      <c r="A592" s="95"/>
      <c r="B592" s="95"/>
      <c r="C592" s="54"/>
      <c r="D592" s="83"/>
      <c r="E592" s="96"/>
      <c r="F592" s="42"/>
      <c r="G592" s="97"/>
      <c r="H592" s="96"/>
      <c r="I592" s="96"/>
      <c r="J592" s="98"/>
      <c r="K592" s="99"/>
      <c r="L592" s="96"/>
      <c r="M592" s="42"/>
      <c r="N592" s="42"/>
      <c r="O592" s="42"/>
      <c r="P592" s="83"/>
      <c r="Q592" s="83"/>
      <c r="R592" s="42"/>
      <c r="S592" s="42"/>
      <c r="T592" s="43" t="str">
        <f>IFERROR(__xludf.DUMMYFUNCTION("IFERROR(VLOOKUP(C592,IMPORTRANGE(""https://docs.google.com/spreadsheets/d/1RmEXtNg60OGvqZjyMxiYNPJ6S_kcz01v57qrHugDWVc/edit#gid=0"",""Chegadas!E:AQ""),19,0),"""")"),"")</f>
        <v/>
      </c>
      <c r="U592" s="100"/>
      <c r="V592" s="98"/>
      <c r="W592" s="98"/>
    </row>
    <row r="593" hidden="1">
      <c r="A593" s="95"/>
      <c r="B593" s="95"/>
      <c r="C593" s="54"/>
      <c r="D593" s="83"/>
      <c r="E593" s="96"/>
      <c r="F593" s="42"/>
      <c r="G593" s="97"/>
      <c r="H593" s="96"/>
      <c r="I593" s="96"/>
      <c r="J593" s="98"/>
      <c r="K593" s="99"/>
      <c r="L593" s="96"/>
      <c r="M593" s="42"/>
      <c r="N593" s="42"/>
      <c r="O593" s="42"/>
      <c r="P593" s="83"/>
      <c r="Q593" s="83"/>
      <c r="R593" s="42"/>
      <c r="S593" s="42"/>
      <c r="T593" s="43" t="str">
        <f>IFERROR(__xludf.DUMMYFUNCTION("IFERROR(VLOOKUP(C593,IMPORTRANGE(""https://docs.google.com/spreadsheets/d/1RmEXtNg60OGvqZjyMxiYNPJ6S_kcz01v57qrHugDWVc/edit#gid=0"",""Chegadas!E:AQ""),19,0),"""")"),"")</f>
        <v/>
      </c>
      <c r="U593" s="100"/>
      <c r="V593" s="98"/>
      <c r="W593" s="98"/>
    </row>
    <row r="594" hidden="1">
      <c r="A594" s="95"/>
      <c r="B594" s="95"/>
      <c r="C594" s="54"/>
      <c r="D594" s="83"/>
      <c r="E594" s="96"/>
      <c r="F594" s="42"/>
      <c r="G594" s="97"/>
      <c r="H594" s="96"/>
      <c r="I594" s="96"/>
      <c r="J594" s="98"/>
      <c r="K594" s="99"/>
      <c r="L594" s="96"/>
      <c r="M594" s="42"/>
      <c r="N594" s="42"/>
      <c r="O594" s="42"/>
      <c r="P594" s="83"/>
      <c r="Q594" s="83"/>
      <c r="R594" s="42"/>
      <c r="S594" s="42"/>
      <c r="T594" s="43" t="str">
        <f>IFERROR(__xludf.DUMMYFUNCTION("IFERROR(VLOOKUP(C594,IMPORTRANGE(""https://docs.google.com/spreadsheets/d/1RmEXtNg60OGvqZjyMxiYNPJ6S_kcz01v57qrHugDWVc/edit#gid=0"",""Chegadas!E:AQ""),19,0),"""")"),"")</f>
        <v/>
      </c>
      <c r="U594" s="100"/>
      <c r="V594" s="98"/>
      <c r="W594" s="98"/>
    </row>
    <row r="595" hidden="1">
      <c r="A595" s="95"/>
      <c r="B595" s="95"/>
      <c r="C595" s="54"/>
      <c r="D595" s="83"/>
      <c r="E595" s="96"/>
      <c r="F595" s="42"/>
      <c r="G595" s="97"/>
      <c r="H595" s="96"/>
      <c r="I595" s="96"/>
      <c r="J595" s="98"/>
      <c r="K595" s="99"/>
      <c r="L595" s="96"/>
      <c r="M595" s="42"/>
      <c r="N595" s="42"/>
      <c r="O595" s="42"/>
      <c r="P595" s="83"/>
      <c r="Q595" s="83"/>
      <c r="R595" s="42"/>
      <c r="S595" s="42"/>
      <c r="T595" s="43" t="str">
        <f>IFERROR(__xludf.DUMMYFUNCTION("IFERROR(VLOOKUP(C595,IMPORTRANGE(""https://docs.google.com/spreadsheets/d/1RmEXtNg60OGvqZjyMxiYNPJ6S_kcz01v57qrHugDWVc/edit#gid=0"",""Chegadas!E:AQ""),19,0),"""")"),"")</f>
        <v/>
      </c>
      <c r="U595" s="100"/>
      <c r="V595" s="98"/>
      <c r="W595" s="98"/>
    </row>
    <row r="596" hidden="1">
      <c r="A596" s="95"/>
      <c r="B596" s="95"/>
      <c r="C596" s="54"/>
      <c r="D596" s="83"/>
      <c r="E596" s="96"/>
      <c r="F596" s="42"/>
      <c r="G596" s="97"/>
      <c r="H596" s="96"/>
      <c r="I596" s="96"/>
      <c r="J596" s="98"/>
      <c r="K596" s="99"/>
      <c r="L596" s="96"/>
      <c r="M596" s="42"/>
      <c r="N596" s="42"/>
      <c r="O596" s="42"/>
      <c r="P596" s="83"/>
      <c r="Q596" s="83"/>
      <c r="R596" s="42"/>
      <c r="S596" s="42"/>
      <c r="T596" s="43" t="str">
        <f>IFERROR(__xludf.DUMMYFUNCTION("IFERROR(VLOOKUP(C596,IMPORTRANGE(""https://docs.google.com/spreadsheets/d/1RmEXtNg60OGvqZjyMxiYNPJ6S_kcz01v57qrHugDWVc/edit#gid=0"",""Chegadas!E:AQ""),19,0),"""")"),"")</f>
        <v/>
      </c>
      <c r="U596" s="100"/>
      <c r="V596" s="98"/>
      <c r="W596" s="98"/>
    </row>
    <row r="597" hidden="1">
      <c r="A597" s="95"/>
      <c r="B597" s="95"/>
      <c r="C597" s="54"/>
      <c r="D597" s="83"/>
      <c r="E597" s="96"/>
      <c r="F597" s="42"/>
      <c r="G597" s="97"/>
      <c r="H597" s="96"/>
      <c r="I597" s="96"/>
      <c r="J597" s="98"/>
      <c r="K597" s="99"/>
      <c r="L597" s="96"/>
      <c r="M597" s="42"/>
      <c r="N597" s="42"/>
      <c r="O597" s="42"/>
      <c r="P597" s="83"/>
      <c r="Q597" s="83"/>
      <c r="R597" s="42"/>
      <c r="S597" s="42"/>
      <c r="T597" s="43" t="str">
        <f>IFERROR(__xludf.DUMMYFUNCTION("IFERROR(VLOOKUP(C597,IMPORTRANGE(""https://docs.google.com/spreadsheets/d/1RmEXtNg60OGvqZjyMxiYNPJ6S_kcz01v57qrHugDWVc/edit#gid=0"",""Chegadas!E:AQ""),19,0),"""")"),"")</f>
        <v/>
      </c>
      <c r="U597" s="100"/>
      <c r="V597" s="98"/>
      <c r="W597" s="98"/>
    </row>
    <row r="598" hidden="1">
      <c r="A598" s="95"/>
      <c r="B598" s="95"/>
      <c r="C598" s="54"/>
      <c r="D598" s="83"/>
      <c r="E598" s="96"/>
      <c r="F598" s="42"/>
      <c r="G598" s="97"/>
      <c r="H598" s="96"/>
      <c r="I598" s="96"/>
      <c r="J598" s="98"/>
      <c r="K598" s="99"/>
      <c r="L598" s="96"/>
      <c r="M598" s="42"/>
      <c r="N598" s="42"/>
      <c r="O598" s="42"/>
      <c r="P598" s="83"/>
      <c r="Q598" s="83"/>
      <c r="R598" s="42"/>
      <c r="S598" s="42"/>
      <c r="T598" s="43" t="str">
        <f>IFERROR(__xludf.DUMMYFUNCTION("IFERROR(VLOOKUP(C598,IMPORTRANGE(""https://docs.google.com/spreadsheets/d/1RmEXtNg60OGvqZjyMxiYNPJ6S_kcz01v57qrHugDWVc/edit#gid=0"",""Chegadas!E:AQ""),19,0),"""")"),"")</f>
        <v/>
      </c>
      <c r="U598" s="100"/>
      <c r="V598" s="98"/>
      <c r="W598" s="98"/>
    </row>
    <row r="599" hidden="1">
      <c r="A599" s="95"/>
      <c r="B599" s="95"/>
      <c r="C599" s="54"/>
      <c r="D599" s="83"/>
      <c r="E599" s="96"/>
      <c r="F599" s="42"/>
      <c r="G599" s="97"/>
      <c r="H599" s="96"/>
      <c r="I599" s="96"/>
      <c r="J599" s="98"/>
      <c r="K599" s="99"/>
      <c r="L599" s="96"/>
      <c r="M599" s="42"/>
      <c r="N599" s="42"/>
      <c r="O599" s="42"/>
      <c r="P599" s="83"/>
      <c r="Q599" s="83"/>
      <c r="R599" s="42"/>
      <c r="S599" s="42"/>
      <c r="T599" s="43" t="str">
        <f>IFERROR(__xludf.DUMMYFUNCTION("IFERROR(VLOOKUP(C599,IMPORTRANGE(""https://docs.google.com/spreadsheets/d/1RmEXtNg60OGvqZjyMxiYNPJ6S_kcz01v57qrHugDWVc/edit#gid=0"",""Chegadas!E:AQ""),19,0),"""")"),"")</f>
        <v/>
      </c>
      <c r="U599" s="100"/>
      <c r="V599" s="98"/>
      <c r="W599" s="98"/>
    </row>
    <row r="600" hidden="1">
      <c r="A600" s="95"/>
      <c r="B600" s="95"/>
      <c r="C600" s="54"/>
      <c r="D600" s="83"/>
      <c r="E600" s="96"/>
      <c r="F600" s="42"/>
      <c r="G600" s="97"/>
      <c r="H600" s="96"/>
      <c r="I600" s="96"/>
      <c r="J600" s="98"/>
      <c r="K600" s="99"/>
      <c r="L600" s="96"/>
      <c r="M600" s="42"/>
      <c r="N600" s="42"/>
      <c r="O600" s="42"/>
      <c r="P600" s="83"/>
      <c r="Q600" s="83"/>
      <c r="R600" s="42"/>
      <c r="S600" s="42"/>
      <c r="T600" s="43" t="str">
        <f>IFERROR(__xludf.DUMMYFUNCTION("IFERROR(VLOOKUP(C600,IMPORTRANGE(""https://docs.google.com/spreadsheets/d/1RmEXtNg60OGvqZjyMxiYNPJ6S_kcz01v57qrHugDWVc/edit#gid=0"",""Chegadas!E:AQ""),19,0),"""")"),"")</f>
        <v/>
      </c>
      <c r="U600" s="100"/>
      <c r="V600" s="98"/>
      <c r="W600" s="98"/>
    </row>
    <row r="601" hidden="1">
      <c r="A601" s="95"/>
      <c r="B601" s="95"/>
      <c r="C601" s="54"/>
      <c r="D601" s="83"/>
      <c r="E601" s="96"/>
      <c r="F601" s="42"/>
      <c r="G601" s="97"/>
      <c r="H601" s="96"/>
      <c r="I601" s="96"/>
      <c r="J601" s="98"/>
      <c r="K601" s="99"/>
      <c r="L601" s="96"/>
      <c r="M601" s="42"/>
      <c r="N601" s="42"/>
      <c r="O601" s="42"/>
      <c r="P601" s="83"/>
      <c r="Q601" s="83"/>
      <c r="R601" s="42"/>
      <c r="S601" s="42"/>
      <c r="T601" s="43" t="str">
        <f>IFERROR(__xludf.DUMMYFUNCTION("IFERROR(VLOOKUP(C601,IMPORTRANGE(""https://docs.google.com/spreadsheets/d/1RmEXtNg60OGvqZjyMxiYNPJ6S_kcz01v57qrHugDWVc/edit#gid=0"",""Chegadas!E:AQ""),19,0),"""")"),"")</f>
        <v/>
      </c>
      <c r="U601" s="100"/>
      <c r="V601" s="98"/>
      <c r="W601" s="98"/>
    </row>
    <row r="602" hidden="1">
      <c r="A602" s="95"/>
      <c r="B602" s="95"/>
      <c r="C602" s="54"/>
      <c r="D602" s="83"/>
      <c r="E602" s="96"/>
      <c r="F602" s="42"/>
      <c r="G602" s="97"/>
      <c r="H602" s="96"/>
      <c r="I602" s="96"/>
      <c r="J602" s="98"/>
      <c r="K602" s="99"/>
      <c r="L602" s="96"/>
      <c r="M602" s="42"/>
      <c r="N602" s="42"/>
      <c r="O602" s="42"/>
      <c r="P602" s="83"/>
      <c r="Q602" s="83"/>
      <c r="R602" s="42"/>
      <c r="S602" s="42"/>
      <c r="T602" s="43" t="str">
        <f>IFERROR(__xludf.DUMMYFUNCTION("IFERROR(VLOOKUP(C602,IMPORTRANGE(""https://docs.google.com/spreadsheets/d/1RmEXtNg60OGvqZjyMxiYNPJ6S_kcz01v57qrHugDWVc/edit#gid=0"",""Chegadas!E:AQ""),19,0),"""")"),"")</f>
        <v/>
      </c>
      <c r="U602" s="100"/>
      <c r="V602" s="98"/>
      <c r="W602" s="98"/>
    </row>
    <row r="603" hidden="1">
      <c r="A603" s="95"/>
      <c r="B603" s="95"/>
      <c r="C603" s="54"/>
      <c r="D603" s="83"/>
      <c r="E603" s="96"/>
      <c r="F603" s="42"/>
      <c r="G603" s="97"/>
      <c r="H603" s="96"/>
      <c r="I603" s="96"/>
      <c r="J603" s="98"/>
      <c r="K603" s="99"/>
      <c r="L603" s="96"/>
      <c r="M603" s="42"/>
      <c r="N603" s="42"/>
      <c r="O603" s="42"/>
      <c r="P603" s="83"/>
      <c r="Q603" s="83"/>
      <c r="R603" s="42"/>
      <c r="S603" s="42"/>
      <c r="T603" s="43" t="str">
        <f>IFERROR(__xludf.DUMMYFUNCTION("IFERROR(VLOOKUP(C603,IMPORTRANGE(""https://docs.google.com/spreadsheets/d/1RmEXtNg60OGvqZjyMxiYNPJ6S_kcz01v57qrHugDWVc/edit#gid=0"",""Chegadas!E:AQ""),19,0),"""")"),"")</f>
        <v/>
      </c>
      <c r="U603" s="100"/>
      <c r="V603" s="98"/>
      <c r="W603" s="98"/>
    </row>
    <row r="604" hidden="1">
      <c r="A604" s="95"/>
      <c r="B604" s="95"/>
      <c r="C604" s="54"/>
      <c r="D604" s="83"/>
      <c r="E604" s="96"/>
      <c r="F604" s="42"/>
      <c r="G604" s="97"/>
      <c r="H604" s="96"/>
      <c r="I604" s="96"/>
      <c r="J604" s="98"/>
      <c r="K604" s="99"/>
      <c r="L604" s="96"/>
      <c r="M604" s="42"/>
      <c r="N604" s="42"/>
      <c r="O604" s="42"/>
      <c r="P604" s="83"/>
      <c r="Q604" s="83"/>
      <c r="R604" s="42"/>
      <c r="S604" s="42"/>
      <c r="T604" s="43" t="str">
        <f>IFERROR(__xludf.DUMMYFUNCTION("IFERROR(VLOOKUP(C604,IMPORTRANGE(""https://docs.google.com/spreadsheets/d/1RmEXtNg60OGvqZjyMxiYNPJ6S_kcz01v57qrHugDWVc/edit#gid=0"",""Chegadas!E:AQ""),19,0),"""")"),"")</f>
        <v/>
      </c>
      <c r="U604" s="100"/>
      <c r="V604" s="98"/>
      <c r="W604" s="98"/>
    </row>
    <row r="605" hidden="1">
      <c r="A605" s="95"/>
      <c r="B605" s="95"/>
      <c r="C605" s="54"/>
      <c r="D605" s="83"/>
      <c r="E605" s="96"/>
      <c r="F605" s="42"/>
      <c r="G605" s="97"/>
      <c r="H605" s="96"/>
      <c r="I605" s="96"/>
      <c r="J605" s="98"/>
      <c r="K605" s="99"/>
      <c r="L605" s="96"/>
      <c r="M605" s="42"/>
      <c r="N605" s="42"/>
      <c r="O605" s="42"/>
      <c r="P605" s="83"/>
      <c r="Q605" s="83"/>
      <c r="R605" s="42"/>
      <c r="S605" s="42"/>
      <c r="T605" s="43" t="str">
        <f>IFERROR(__xludf.DUMMYFUNCTION("IFERROR(VLOOKUP(C605,IMPORTRANGE(""https://docs.google.com/spreadsheets/d/1RmEXtNg60OGvqZjyMxiYNPJ6S_kcz01v57qrHugDWVc/edit#gid=0"",""Chegadas!E:AQ""),19,0),"""")"),"")</f>
        <v/>
      </c>
      <c r="U605" s="100"/>
      <c r="V605" s="98"/>
      <c r="W605" s="98"/>
    </row>
    <row r="606" hidden="1">
      <c r="A606" s="95"/>
      <c r="B606" s="95"/>
      <c r="C606" s="54"/>
      <c r="D606" s="83"/>
      <c r="E606" s="96"/>
      <c r="F606" s="42"/>
      <c r="G606" s="97"/>
      <c r="H606" s="96"/>
      <c r="I606" s="96"/>
      <c r="J606" s="98"/>
      <c r="K606" s="99"/>
      <c r="L606" s="96"/>
      <c r="M606" s="42"/>
      <c r="N606" s="42"/>
      <c r="O606" s="42"/>
      <c r="P606" s="83"/>
      <c r="Q606" s="83"/>
      <c r="R606" s="42"/>
      <c r="S606" s="42"/>
      <c r="T606" s="43" t="str">
        <f>IFERROR(__xludf.DUMMYFUNCTION("IFERROR(VLOOKUP(C606,IMPORTRANGE(""https://docs.google.com/spreadsheets/d/1RmEXtNg60OGvqZjyMxiYNPJ6S_kcz01v57qrHugDWVc/edit#gid=0"",""Chegadas!E:AQ""),19,0),"""")"),"")</f>
        <v/>
      </c>
      <c r="U606" s="100"/>
      <c r="V606" s="98"/>
      <c r="W606" s="98"/>
    </row>
    <row r="607" hidden="1">
      <c r="A607" s="95"/>
      <c r="B607" s="95"/>
      <c r="C607" s="54"/>
      <c r="D607" s="83"/>
      <c r="E607" s="96"/>
      <c r="F607" s="42"/>
      <c r="G607" s="97"/>
      <c r="H607" s="96"/>
      <c r="I607" s="96"/>
      <c r="J607" s="98"/>
      <c r="K607" s="99"/>
      <c r="L607" s="96"/>
      <c r="M607" s="42"/>
      <c r="N607" s="42"/>
      <c r="O607" s="42"/>
      <c r="P607" s="83"/>
      <c r="Q607" s="83"/>
      <c r="R607" s="42"/>
      <c r="S607" s="42"/>
      <c r="T607" s="43" t="str">
        <f>IFERROR(__xludf.DUMMYFUNCTION("IFERROR(VLOOKUP(C607,IMPORTRANGE(""https://docs.google.com/spreadsheets/d/1RmEXtNg60OGvqZjyMxiYNPJ6S_kcz01v57qrHugDWVc/edit#gid=0"",""Chegadas!E:AQ""),19,0),"""")"),"")</f>
        <v/>
      </c>
      <c r="U607" s="100"/>
      <c r="V607" s="98"/>
      <c r="W607" s="98"/>
    </row>
    <row r="608" hidden="1">
      <c r="A608" s="95"/>
      <c r="B608" s="95"/>
      <c r="C608" s="54"/>
      <c r="D608" s="83"/>
      <c r="E608" s="96"/>
      <c r="F608" s="42"/>
      <c r="G608" s="97"/>
      <c r="H608" s="96"/>
      <c r="I608" s="96"/>
      <c r="J608" s="98"/>
      <c r="K608" s="99"/>
      <c r="L608" s="96"/>
      <c r="M608" s="42"/>
      <c r="N608" s="42"/>
      <c r="O608" s="42"/>
      <c r="P608" s="83"/>
      <c r="Q608" s="83"/>
      <c r="R608" s="42"/>
      <c r="S608" s="42"/>
      <c r="T608" s="43" t="str">
        <f>IFERROR(__xludf.DUMMYFUNCTION("IFERROR(VLOOKUP(C608,IMPORTRANGE(""https://docs.google.com/spreadsheets/d/1RmEXtNg60OGvqZjyMxiYNPJ6S_kcz01v57qrHugDWVc/edit#gid=0"",""Chegadas!E:AQ""),19,0),"""")"),"")</f>
        <v/>
      </c>
      <c r="U608" s="100"/>
      <c r="V608" s="98"/>
      <c r="W608" s="98"/>
    </row>
    <row r="609" hidden="1">
      <c r="A609" s="95"/>
      <c r="B609" s="95"/>
      <c r="C609" s="54"/>
      <c r="D609" s="83"/>
      <c r="E609" s="96"/>
      <c r="F609" s="42"/>
      <c r="G609" s="97"/>
      <c r="H609" s="96"/>
      <c r="I609" s="96"/>
      <c r="J609" s="98"/>
      <c r="K609" s="99"/>
      <c r="L609" s="96"/>
      <c r="M609" s="42"/>
      <c r="N609" s="42"/>
      <c r="O609" s="42"/>
      <c r="P609" s="83"/>
      <c r="Q609" s="83"/>
      <c r="R609" s="42"/>
      <c r="S609" s="42"/>
      <c r="T609" s="43" t="str">
        <f>IFERROR(__xludf.DUMMYFUNCTION("IFERROR(VLOOKUP(C609,IMPORTRANGE(""https://docs.google.com/spreadsheets/d/1RmEXtNg60OGvqZjyMxiYNPJ6S_kcz01v57qrHugDWVc/edit#gid=0"",""Chegadas!E:AQ""),19,0),"""")"),"")</f>
        <v/>
      </c>
      <c r="U609" s="100"/>
      <c r="V609" s="98"/>
      <c r="W609" s="98"/>
    </row>
    <row r="610" hidden="1">
      <c r="A610" s="95"/>
      <c r="B610" s="95"/>
      <c r="C610" s="54"/>
      <c r="D610" s="83"/>
      <c r="E610" s="96"/>
      <c r="F610" s="42"/>
      <c r="G610" s="97"/>
      <c r="H610" s="96"/>
      <c r="I610" s="96"/>
      <c r="J610" s="98"/>
      <c r="K610" s="99"/>
      <c r="L610" s="96"/>
      <c r="M610" s="42"/>
      <c r="N610" s="42"/>
      <c r="O610" s="42"/>
      <c r="P610" s="83"/>
      <c r="Q610" s="83"/>
      <c r="R610" s="42"/>
      <c r="S610" s="42"/>
      <c r="T610" s="43" t="str">
        <f>IFERROR(__xludf.DUMMYFUNCTION("IFERROR(VLOOKUP(C610,IMPORTRANGE(""https://docs.google.com/spreadsheets/d/1RmEXtNg60OGvqZjyMxiYNPJ6S_kcz01v57qrHugDWVc/edit#gid=0"",""Chegadas!E:AQ""),19,0),"""")"),"")</f>
        <v/>
      </c>
      <c r="U610" s="100"/>
      <c r="V610" s="98"/>
      <c r="W610" s="98"/>
    </row>
    <row r="611" hidden="1">
      <c r="A611" s="95"/>
      <c r="B611" s="95"/>
      <c r="C611" s="54"/>
      <c r="D611" s="83"/>
      <c r="E611" s="96"/>
      <c r="F611" s="42"/>
      <c r="G611" s="97"/>
      <c r="H611" s="96"/>
      <c r="I611" s="96"/>
      <c r="J611" s="98"/>
      <c r="K611" s="99"/>
      <c r="L611" s="96"/>
      <c r="M611" s="42"/>
      <c r="N611" s="42"/>
      <c r="O611" s="42"/>
      <c r="P611" s="83"/>
      <c r="Q611" s="83"/>
      <c r="R611" s="42"/>
      <c r="S611" s="42"/>
      <c r="T611" s="43" t="str">
        <f>IFERROR(__xludf.DUMMYFUNCTION("IFERROR(VLOOKUP(C611,IMPORTRANGE(""https://docs.google.com/spreadsheets/d/1RmEXtNg60OGvqZjyMxiYNPJ6S_kcz01v57qrHugDWVc/edit#gid=0"",""Chegadas!E:AQ""),19,0),"""")"),"")</f>
        <v/>
      </c>
      <c r="U611" s="100"/>
      <c r="V611" s="98"/>
      <c r="W611" s="98"/>
    </row>
    <row r="612" hidden="1">
      <c r="A612" s="95"/>
      <c r="B612" s="95"/>
      <c r="C612" s="54"/>
      <c r="D612" s="83"/>
      <c r="E612" s="96"/>
      <c r="F612" s="42"/>
      <c r="G612" s="97"/>
      <c r="H612" s="96"/>
      <c r="I612" s="96"/>
      <c r="J612" s="98"/>
      <c r="K612" s="99"/>
      <c r="L612" s="96"/>
      <c r="M612" s="42"/>
      <c r="N612" s="42"/>
      <c r="O612" s="42"/>
      <c r="P612" s="83"/>
      <c r="Q612" s="83"/>
      <c r="R612" s="42"/>
      <c r="S612" s="42"/>
      <c r="T612" s="43" t="str">
        <f>IFERROR(__xludf.DUMMYFUNCTION("IFERROR(VLOOKUP(C612,IMPORTRANGE(""https://docs.google.com/spreadsheets/d/1RmEXtNg60OGvqZjyMxiYNPJ6S_kcz01v57qrHugDWVc/edit#gid=0"",""Chegadas!E:AQ""),19,0),"""")"),"")</f>
        <v/>
      </c>
      <c r="U612" s="100"/>
      <c r="V612" s="98"/>
      <c r="W612" s="98"/>
    </row>
    <row r="613" hidden="1">
      <c r="A613" s="95"/>
      <c r="B613" s="95"/>
      <c r="C613" s="54"/>
      <c r="D613" s="83"/>
      <c r="E613" s="96"/>
      <c r="F613" s="42"/>
      <c r="G613" s="97"/>
      <c r="H613" s="96"/>
      <c r="I613" s="96"/>
      <c r="J613" s="98"/>
      <c r="K613" s="99"/>
      <c r="L613" s="96"/>
      <c r="M613" s="42"/>
      <c r="N613" s="42"/>
      <c r="O613" s="42"/>
      <c r="P613" s="83"/>
      <c r="Q613" s="83"/>
      <c r="R613" s="42"/>
      <c r="S613" s="42"/>
      <c r="T613" s="43" t="str">
        <f>IFERROR(__xludf.DUMMYFUNCTION("IFERROR(VLOOKUP(C613,IMPORTRANGE(""https://docs.google.com/spreadsheets/d/1RmEXtNg60OGvqZjyMxiYNPJ6S_kcz01v57qrHugDWVc/edit#gid=0"",""Chegadas!E:AQ""),19,0),"""")"),"")</f>
        <v/>
      </c>
      <c r="U613" s="100"/>
      <c r="V613" s="98"/>
      <c r="W613" s="98"/>
    </row>
    <row r="614" hidden="1">
      <c r="A614" s="95"/>
      <c r="B614" s="95"/>
      <c r="C614" s="54"/>
      <c r="D614" s="83"/>
      <c r="E614" s="96"/>
      <c r="F614" s="42"/>
      <c r="G614" s="97"/>
      <c r="H614" s="96"/>
      <c r="I614" s="96"/>
      <c r="J614" s="98"/>
      <c r="K614" s="99"/>
      <c r="L614" s="96"/>
      <c r="M614" s="42"/>
      <c r="N614" s="42"/>
      <c r="O614" s="42"/>
      <c r="P614" s="83"/>
      <c r="Q614" s="83"/>
      <c r="R614" s="42"/>
      <c r="S614" s="42"/>
      <c r="T614" s="43" t="str">
        <f>IFERROR(__xludf.DUMMYFUNCTION("IFERROR(VLOOKUP(C614,IMPORTRANGE(""https://docs.google.com/spreadsheets/d/1RmEXtNg60OGvqZjyMxiYNPJ6S_kcz01v57qrHugDWVc/edit#gid=0"",""Chegadas!E:AQ""),19,0),"""")"),"")</f>
        <v/>
      </c>
      <c r="U614" s="100"/>
      <c r="V614" s="98"/>
      <c r="W614" s="98"/>
    </row>
    <row r="615" hidden="1">
      <c r="A615" s="95"/>
      <c r="B615" s="95"/>
      <c r="C615" s="54"/>
      <c r="D615" s="83"/>
      <c r="E615" s="96"/>
      <c r="F615" s="42"/>
      <c r="G615" s="97"/>
      <c r="H615" s="96"/>
      <c r="I615" s="96"/>
      <c r="J615" s="98"/>
      <c r="K615" s="99"/>
      <c r="L615" s="96"/>
      <c r="M615" s="42"/>
      <c r="N615" s="42"/>
      <c r="O615" s="42"/>
      <c r="P615" s="83"/>
      <c r="Q615" s="83"/>
      <c r="R615" s="42"/>
      <c r="S615" s="42"/>
      <c r="T615" s="43" t="str">
        <f>IFERROR(__xludf.DUMMYFUNCTION("IFERROR(VLOOKUP(C615,IMPORTRANGE(""https://docs.google.com/spreadsheets/d/1RmEXtNg60OGvqZjyMxiYNPJ6S_kcz01v57qrHugDWVc/edit#gid=0"",""Chegadas!E:AQ""),19,0),"""")"),"")</f>
        <v/>
      </c>
      <c r="U615" s="100"/>
      <c r="V615" s="98"/>
      <c r="W615" s="98"/>
    </row>
    <row r="616" hidden="1">
      <c r="A616" s="95"/>
      <c r="B616" s="95"/>
      <c r="C616" s="54"/>
      <c r="D616" s="83"/>
      <c r="E616" s="96"/>
      <c r="F616" s="42"/>
      <c r="G616" s="97"/>
      <c r="H616" s="96"/>
      <c r="I616" s="96"/>
      <c r="J616" s="98"/>
      <c r="K616" s="99"/>
      <c r="L616" s="96"/>
      <c r="M616" s="42"/>
      <c r="N616" s="42"/>
      <c r="O616" s="42"/>
      <c r="P616" s="83"/>
      <c r="Q616" s="83"/>
      <c r="R616" s="42"/>
      <c r="S616" s="42"/>
      <c r="T616" s="43" t="str">
        <f>IFERROR(__xludf.DUMMYFUNCTION("IFERROR(VLOOKUP(C616,IMPORTRANGE(""https://docs.google.com/spreadsheets/d/1RmEXtNg60OGvqZjyMxiYNPJ6S_kcz01v57qrHugDWVc/edit#gid=0"",""Chegadas!E:AQ""),19,0),"""")"),"")</f>
        <v/>
      </c>
      <c r="U616" s="100"/>
      <c r="V616" s="98"/>
      <c r="W616" s="98"/>
    </row>
    <row r="617" hidden="1">
      <c r="A617" s="95"/>
      <c r="B617" s="95"/>
      <c r="C617" s="54"/>
      <c r="D617" s="83"/>
      <c r="E617" s="96"/>
      <c r="F617" s="42"/>
      <c r="G617" s="97"/>
      <c r="H617" s="96"/>
      <c r="I617" s="96"/>
      <c r="J617" s="98"/>
      <c r="K617" s="99"/>
      <c r="L617" s="96"/>
      <c r="M617" s="42"/>
      <c r="N617" s="42"/>
      <c r="O617" s="42"/>
      <c r="P617" s="83"/>
      <c r="Q617" s="83"/>
      <c r="R617" s="42"/>
      <c r="S617" s="42"/>
      <c r="T617" s="43" t="str">
        <f>IFERROR(__xludf.DUMMYFUNCTION("IFERROR(VLOOKUP(C617,IMPORTRANGE(""https://docs.google.com/spreadsheets/d/1RmEXtNg60OGvqZjyMxiYNPJ6S_kcz01v57qrHugDWVc/edit#gid=0"",""Chegadas!E:AQ""),19,0),"""")"),"")</f>
        <v/>
      </c>
      <c r="U617" s="100"/>
      <c r="V617" s="98"/>
      <c r="W617" s="98"/>
    </row>
    <row r="618" hidden="1">
      <c r="A618" s="95"/>
      <c r="B618" s="95"/>
      <c r="C618" s="54"/>
      <c r="D618" s="83"/>
      <c r="E618" s="96"/>
      <c r="F618" s="42"/>
      <c r="G618" s="97"/>
      <c r="H618" s="96"/>
      <c r="I618" s="96"/>
      <c r="J618" s="98"/>
      <c r="K618" s="99"/>
      <c r="L618" s="96"/>
      <c r="M618" s="42"/>
      <c r="N618" s="42"/>
      <c r="O618" s="42"/>
      <c r="P618" s="83"/>
      <c r="Q618" s="83"/>
      <c r="R618" s="42"/>
      <c r="S618" s="42"/>
      <c r="T618" s="43" t="str">
        <f>IFERROR(__xludf.DUMMYFUNCTION("IFERROR(VLOOKUP(C618,IMPORTRANGE(""https://docs.google.com/spreadsheets/d/1RmEXtNg60OGvqZjyMxiYNPJ6S_kcz01v57qrHugDWVc/edit#gid=0"",""Chegadas!E:AQ""),19,0),"""")"),"")</f>
        <v/>
      </c>
      <c r="U618" s="100"/>
      <c r="V618" s="98"/>
      <c r="W618" s="98"/>
    </row>
    <row r="619" hidden="1">
      <c r="A619" s="95"/>
      <c r="B619" s="95"/>
      <c r="C619" s="54"/>
      <c r="D619" s="83"/>
      <c r="E619" s="96"/>
      <c r="F619" s="42"/>
      <c r="G619" s="97"/>
      <c r="H619" s="96"/>
      <c r="I619" s="96"/>
      <c r="J619" s="98"/>
      <c r="K619" s="99"/>
      <c r="L619" s="96"/>
      <c r="M619" s="42"/>
      <c r="N619" s="42"/>
      <c r="O619" s="42"/>
      <c r="P619" s="83"/>
      <c r="Q619" s="83"/>
      <c r="R619" s="42"/>
      <c r="S619" s="42"/>
      <c r="T619" s="43" t="str">
        <f>IFERROR(__xludf.DUMMYFUNCTION("IFERROR(VLOOKUP(C619,IMPORTRANGE(""https://docs.google.com/spreadsheets/d/1RmEXtNg60OGvqZjyMxiYNPJ6S_kcz01v57qrHugDWVc/edit#gid=0"",""Chegadas!E:AQ""),19,0),"""")"),"")</f>
        <v/>
      </c>
      <c r="U619" s="100"/>
      <c r="V619" s="98"/>
      <c r="W619" s="98"/>
    </row>
    <row r="620" hidden="1">
      <c r="A620" s="95"/>
      <c r="B620" s="95"/>
      <c r="C620" s="54"/>
      <c r="D620" s="83"/>
      <c r="E620" s="96"/>
      <c r="F620" s="42"/>
      <c r="G620" s="97"/>
      <c r="H620" s="96"/>
      <c r="I620" s="96"/>
      <c r="J620" s="98"/>
      <c r="K620" s="99"/>
      <c r="L620" s="96"/>
      <c r="M620" s="42"/>
      <c r="N620" s="42"/>
      <c r="O620" s="42"/>
      <c r="P620" s="83"/>
      <c r="Q620" s="83"/>
      <c r="R620" s="42"/>
      <c r="S620" s="42"/>
      <c r="T620" s="43" t="str">
        <f>IFERROR(__xludf.DUMMYFUNCTION("IFERROR(VLOOKUP(C620,IMPORTRANGE(""https://docs.google.com/spreadsheets/d/1RmEXtNg60OGvqZjyMxiYNPJ6S_kcz01v57qrHugDWVc/edit#gid=0"",""Chegadas!E:AQ""),19,0),"""")"),"")</f>
        <v/>
      </c>
      <c r="U620" s="100"/>
      <c r="V620" s="98"/>
      <c r="W620" s="98"/>
    </row>
    <row r="621" hidden="1">
      <c r="A621" s="95"/>
      <c r="B621" s="95"/>
      <c r="C621" s="54"/>
      <c r="D621" s="83"/>
      <c r="E621" s="96"/>
      <c r="F621" s="42"/>
      <c r="G621" s="97"/>
      <c r="H621" s="96"/>
      <c r="I621" s="96"/>
      <c r="J621" s="98"/>
      <c r="K621" s="99"/>
      <c r="L621" s="96"/>
      <c r="M621" s="42"/>
      <c r="N621" s="42"/>
      <c r="O621" s="42"/>
      <c r="P621" s="83"/>
      <c r="Q621" s="83"/>
      <c r="R621" s="42"/>
      <c r="S621" s="42"/>
      <c r="T621" s="43" t="str">
        <f>IFERROR(__xludf.DUMMYFUNCTION("IFERROR(VLOOKUP(C621,IMPORTRANGE(""https://docs.google.com/spreadsheets/d/1RmEXtNg60OGvqZjyMxiYNPJ6S_kcz01v57qrHugDWVc/edit#gid=0"",""Chegadas!E:AQ""),19,0),"""")"),"")</f>
        <v/>
      </c>
      <c r="U621" s="100"/>
      <c r="V621" s="98"/>
      <c r="W621" s="98"/>
    </row>
    <row r="622" hidden="1">
      <c r="A622" s="95"/>
      <c r="B622" s="95"/>
      <c r="C622" s="54"/>
      <c r="D622" s="83"/>
      <c r="E622" s="96"/>
      <c r="F622" s="42"/>
      <c r="G622" s="97"/>
      <c r="H622" s="96"/>
      <c r="I622" s="96"/>
      <c r="J622" s="98"/>
      <c r="K622" s="99"/>
      <c r="L622" s="96"/>
      <c r="M622" s="42"/>
      <c r="N622" s="42"/>
      <c r="O622" s="42"/>
      <c r="P622" s="83"/>
      <c r="Q622" s="83"/>
      <c r="R622" s="42"/>
      <c r="S622" s="42"/>
      <c r="T622" s="43" t="str">
        <f>IFERROR(__xludf.DUMMYFUNCTION("IFERROR(VLOOKUP(C622,IMPORTRANGE(""https://docs.google.com/spreadsheets/d/1RmEXtNg60OGvqZjyMxiYNPJ6S_kcz01v57qrHugDWVc/edit#gid=0"",""Chegadas!E:AQ""),19,0),"""")"),"")</f>
        <v/>
      </c>
      <c r="U622" s="100"/>
      <c r="V622" s="98"/>
      <c r="W622" s="98"/>
    </row>
    <row r="623" hidden="1">
      <c r="A623" s="95"/>
      <c r="B623" s="95"/>
      <c r="C623" s="54"/>
      <c r="D623" s="83"/>
      <c r="E623" s="96"/>
      <c r="F623" s="42"/>
      <c r="G623" s="97"/>
      <c r="H623" s="96"/>
      <c r="I623" s="96"/>
      <c r="J623" s="98"/>
      <c r="K623" s="99"/>
      <c r="L623" s="96"/>
      <c r="M623" s="42"/>
      <c r="N623" s="42"/>
      <c r="O623" s="42"/>
      <c r="P623" s="83"/>
      <c r="Q623" s="83"/>
      <c r="R623" s="42"/>
      <c r="S623" s="42"/>
      <c r="T623" s="43" t="str">
        <f>IFERROR(__xludf.DUMMYFUNCTION("IFERROR(VLOOKUP(C623,IMPORTRANGE(""https://docs.google.com/spreadsheets/d/1RmEXtNg60OGvqZjyMxiYNPJ6S_kcz01v57qrHugDWVc/edit#gid=0"",""Chegadas!E:AQ""),19,0),"""")"),"")</f>
        <v/>
      </c>
      <c r="U623" s="100"/>
      <c r="V623" s="98"/>
      <c r="W623" s="98"/>
    </row>
    <row r="624" hidden="1">
      <c r="A624" s="95"/>
      <c r="B624" s="95"/>
      <c r="C624" s="54"/>
      <c r="D624" s="83"/>
      <c r="E624" s="96"/>
      <c r="F624" s="42"/>
      <c r="G624" s="97"/>
      <c r="H624" s="96"/>
      <c r="I624" s="96"/>
      <c r="J624" s="98"/>
      <c r="K624" s="99"/>
      <c r="L624" s="96"/>
      <c r="M624" s="42"/>
      <c r="N624" s="42"/>
      <c r="O624" s="42"/>
      <c r="P624" s="83"/>
      <c r="Q624" s="83"/>
      <c r="R624" s="42"/>
      <c r="S624" s="42"/>
      <c r="T624" s="43" t="str">
        <f>IFERROR(__xludf.DUMMYFUNCTION("IFERROR(VLOOKUP(C624,IMPORTRANGE(""https://docs.google.com/spreadsheets/d/1RmEXtNg60OGvqZjyMxiYNPJ6S_kcz01v57qrHugDWVc/edit#gid=0"",""Chegadas!E:AQ""),19,0),"""")"),"")</f>
        <v/>
      </c>
      <c r="U624" s="100"/>
      <c r="V624" s="98"/>
      <c r="W624" s="98"/>
    </row>
    <row r="625" hidden="1">
      <c r="A625" s="95"/>
      <c r="B625" s="95"/>
      <c r="C625" s="54"/>
      <c r="D625" s="83"/>
      <c r="E625" s="96"/>
      <c r="F625" s="42"/>
      <c r="G625" s="97"/>
      <c r="H625" s="96"/>
      <c r="I625" s="96"/>
      <c r="J625" s="98"/>
      <c r="K625" s="99"/>
      <c r="L625" s="96"/>
      <c r="M625" s="42"/>
      <c r="N625" s="42"/>
      <c r="O625" s="42"/>
      <c r="P625" s="83"/>
      <c r="Q625" s="83"/>
      <c r="R625" s="42"/>
      <c r="S625" s="42"/>
      <c r="T625" s="43" t="str">
        <f>IFERROR(__xludf.DUMMYFUNCTION("IFERROR(VLOOKUP(C625,IMPORTRANGE(""https://docs.google.com/spreadsheets/d/1RmEXtNg60OGvqZjyMxiYNPJ6S_kcz01v57qrHugDWVc/edit#gid=0"",""Chegadas!E:AQ""),19,0),"""")"),"")</f>
        <v/>
      </c>
      <c r="U625" s="100"/>
      <c r="V625" s="98"/>
      <c r="W625" s="98"/>
    </row>
    <row r="626" hidden="1">
      <c r="A626" s="95"/>
      <c r="B626" s="95"/>
      <c r="C626" s="54"/>
      <c r="D626" s="83"/>
      <c r="E626" s="96"/>
      <c r="F626" s="42"/>
      <c r="G626" s="97"/>
      <c r="H626" s="96"/>
      <c r="I626" s="96"/>
      <c r="J626" s="98"/>
      <c r="K626" s="99"/>
      <c r="L626" s="96"/>
      <c r="M626" s="42"/>
      <c r="N626" s="42"/>
      <c r="O626" s="42"/>
      <c r="P626" s="83"/>
      <c r="Q626" s="83"/>
      <c r="R626" s="42"/>
      <c r="S626" s="42"/>
      <c r="T626" s="43" t="str">
        <f>IFERROR(__xludf.DUMMYFUNCTION("IFERROR(VLOOKUP(C626,IMPORTRANGE(""https://docs.google.com/spreadsheets/d/1RmEXtNg60OGvqZjyMxiYNPJ6S_kcz01v57qrHugDWVc/edit#gid=0"",""Chegadas!E:AQ""),19,0),"""")"),"")</f>
        <v/>
      </c>
      <c r="U626" s="100"/>
      <c r="V626" s="98"/>
      <c r="W626" s="98"/>
    </row>
    <row r="627" hidden="1">
      <c r="A627" s="95"/>
      <c r="B627" s="95"/>
      <c r="C627" s="54"/>
      <c r="D627" s="83"/>
      <c r="E627" s="96"/>
      <c r="F627" s="42"/>
      <c r="G627" s="97"/>
      <c r="H627" s="96"/>
      <c r="I627" s="96"/>
      <c r="J627" s="98"/>
      <c r="K627" s="99"/>
      <c r="L627" s="96"/>
      <c r="M627" s="42"/>
      <c r="N627" s="42"/>
      <c r="O627" s="42"/>
      <c r="P627" s="83"/>
      <c r="Q627" s="83"/>
      <c r="R627" s="42"/>
      <c r="S627" s="42"/>
      <c r="T627" s="43" t="str">
        <f>IFERROR(__xludf.DUMMYFUNCTION("IFERROR(VLOOKUP(C627,IMPORTRANGE(""https://docs.google.com/spreadsheets/d/1RmEXtNg60OGvqZjyMxiYNPJ6S_kcz01v57qrHugDWVc/edit#gid=0"",""Chegadas!E:AQ""),19,0),"""")"),"")</f>
        <v/>
      </c>
      <c r="U627" s="100"/>
      <c r="V627" s="98"/>
      <c r="W627" s="98"/>
    </row>
    <row r="628" hidden="1">
      <c r="A628" s="95"/>
      <c r="B628" s="95"/>
      <c r="C628" s="54"/>
      <c r="D628" s="83"/>
      <c r="E628" s="96"/>
      <c r="F628" s="42"/>
      <c r="G628" s="97"/>
      <c r="H628" s="96"/>
      <c r="I628" s="96"/>
      <c r="J628" s="98"/>
      <c r="K628" s="99"/>
      <c r="L628" s="96"/>
      <c r="M628" s="42"/>
      <c r="N628" s="42"/>
      <c r="O628" s="42"/>
      <c r="P628" s="83"/>
      <c r="Q628" s="83"/>
      <c r="R628" s="42"/>
      <c r="S628" s="42"/>
      <c r="T628" s="43" t="str">
        <f>IFERROR(__xludf.DUMMYFUNCTION("IFERROR(VLOOKUP(C628,IMPORTRANGE(""https://docs.google.com/spreadsheets/d/1RmEXtNg60OGvqZjyMxiYNPJ6S_kcz01v57qrHugDWVc/edit#gid=0"",""Chegadas!E:AQ""),19,0),"""")"),"")</f>
        <v/>
      </c>
      <c r="U628" s="100"/>
      <c r="V628" s="98"/>
      <c r="W628" s="98"/>
    </row>
    <row r="629" hidden="1">
      <c r="A629" s="95"/>
      <c r="B629" s="95"/>
      <c r="C629" s="54"/>
      <c r="D629" s="83"/>
      <c r="E629" s="96"/>
      <c r="F629" s="42"/>
      <c r="G629" s="97"/>
      <c r="H629" s="96"/>
      <c r="I629" s="96"/>
      <c r="J629" s="98"/>
      <c r="K629" s="99"/>
      <c r="L629" s="96"/>
      <c r="M629" s="42"/>
      <c r="N629" s="42"/>
      <c r="O629" s="42"/>
      <c r="P629" s="83"/>
      <c r="Q629" s="83"/>
      <c r="R629" s="42"/>
      <c r="S629" s="42"/>
      <c r="T629" s="43" t="str">
        <f>IFERROR(__xludf.DUMMYFUNCTION("IFERROR(VLOOKUP(C629,IMPORTRANGE(""https://docs.google.com/spreadsheets/d/1RmEXtNg60OGvqZjyMxiYNPJ6S_kcz01v57qrHugDWVc/edit#gid=0"",""Chegadas!E:AQ""),19,0),"""")"),"")</f>
        <v/>
      </c>
      <c r="U629" s="100"/>
      <c r="V629" s="98"/>
      <c r="W629" s="98"/>
    </row>
    <row r="630" hidden="1">
      <c r="A630" s="95"/>
      <c r="B630" s="95"/>
      <c r="C630" s="54"/>
      <c r="D630" s="83"/>
      <c r="E630" s="96"/>
      <c r="F630" s="42"/>
      <c r="G630" s="97"/>
      <c r="H630" s="96"/>
      <c r="I630" s="96"/>
      <c r="J630" s="98"/>
      <c r="K630" s="99"/>
      <c r="L630" s="96"/>
      <c r="M630" s="42"/>
      <c r="N630" s="42"/>
      <c r="O630" s="42"/>
      <c r="P630" s="83"/>
      <c r="Q630" s="83"/>
      <c r="R630" s="42"/>
      <c r="S630" s="42"/>
      <c r="T630" s="43" t="str">
        <f>IFERROR(__xludf.DUMMYFUNCTION("IFERROR(VLOOKUP(C630,IMPORTRANGE(""https://docs.google.com/spreadsheets/d/1RmEXtNg60OGvqZjyMxiYNPJ6S_kcz01v57qrHugDWVc/edit#gid=0"",""Chegadas!E:AQ""),19,0),"""")"),"")</f>
        <v/>
      </c>
      <c r="U630" s="100"/>
      <c r="V630" s="98"/>
      <c r="W630" s="98"/>
    </row>
    <row r="631" hidden="1">
      <c r="A631" s="95"/>
      <c r="B631" s="95"/>
      <c r="C631" s="54"/>
      <c r="D631" s="83"/>
      <c r="E631" s="96"/>
      <c r="F631" s="42"/>
      <c r="G631" s="97"/>
      <c r="H631" s="96"/>
      <c r="I631" s="96"/>
      <c r="J631" s="98"/>
      <c r="K631" s="99"/>
      <c r="L631" s="96"/>
      <c r="M631" s="42"/>
      <c r="N631" s="42"/>
      <c r="O631" s="42"/>
      <c r="P631" s="83"/>
      <c r="Q631" s="83"/>
      <c r="R631" s="42"/>
      <c r="S631" s="42"/>
      <c r="T631" s="43" t="str">
        <f>IFERROR(__xludf.DUMMYFUNCTION("IFERROR(VLOOKUP(C631,IMPORTRANGE(""https://docs.google.com/spreadsheets/d/1RmEXtNg60OGvqZjyMxiYNPJ6S_kcz01v57qrHugDWVc/edit#gid=0"",""Chegadas!E:AQ""),19,0),"""")"),"")</f>
        <v/>
      </c>
      <c r="U631" s="100"/>
      <c r="V631" s="98"/>
      <c r="W631" s="98"/>
    </row>
    <row r="632" hidden="1">
      <c r="A632" s="95"/>
      <c r="B632" s="95"/>
      <c r="C632" s="54"/>
      <c r="D632" s="83"/>
      <c r="E632" s="96"/>
      <c r="F632" s="42"/>
      <c r="G632" s="97"/>
      <c r="H632" s="96"/>
      <c r="I632" s="96"/>
      <c r="J632" s="98"/>
      <c r="K632" s="99"/>
      <c r="L632" s="96"/>
      <c r="M632" s="42"/>
      <c r="N632" s="42"/>
      <c r="O632" s="42"/>
      <c r="P632" s="83"/>
      <c r="Q632" s="83"/>
      <c r="R632" s="42"/>
      <c r="S632" s="42"/>
      <c r="T632" s="43" t="str">
        <f>IFERROR(__xludf.DUMMYFUNCTION("IFERROR(VLOOKUP(C632,IMPORTRANGE(""https://docs.google.com/spreadsheets/d/1RmEXtNg60OGvqZjyMxiYNPJ6S_kcz01v57qrHugDWVc/edit#gid=0"",""Chegadas!E:AQ""),19,0),"""")"),"")</f>
        <v/>
      </c>
      <c r="U632" s="100"/>
      <c r="V632" s="98"/>
      <c r="W632" s="98"/>
    </row>
    <row r="633" hidden="1">
      <c r="A633" s="95"/>
      <c r="B633" s="95"/>
      <c r="C633" s="54"/>
      <c r="D633" s="83"/>
      <c r="E633" s="96"/>
      <c r="F633" s="42"/>
      <c r="G633" s="97"/>
      <c r="H633" s="96"/>
      <c r="I633" s="96"/>
      <c r="J633" s="98"/>
      <c r="K633" s="99"/>
      <c r="L633" s="96"/>
      <c r="M633" s="42"/>
      <c r="N633" s="42"/>
      <c r="O633" s="42"/>
      <c r="P633" s="83"/>
      <c r="Q633" s="83"/>
      <c r="R633" s="42"/>
      <c r="S633" s="42"/>
      <c r="T633" s="43" t="str">
        <f>IFERROR(__xludf.DUMMYFUNCTION("IFERROR(VLOOKUP(C633,IMPORTRANGE(""https://docs.google.com/spreadsheets/d/1RmEXtNg60OGvqZjyMxiYNPJ6S_kcz01v57qrHugDWVc/edit#gid=0"",""Chegadas!E:AQ""),19,0),"""")"),"")</f>
        <v/>
      </c>
      <c r="U633" s="100"/>
      <c r="V633" s="98"/>
      <c r="W633" s="98"/>
    </row>
    <row r="634" hidden="1">
      <c r="A634" s="95"/>
      <c r="B634" s="95"/>
      <c r="C634" s="54"/>
      <c r="D634" s="83"/>
      <c r="E634" s="96"/>
      <c r="F634" s="42"/>
      <c r="G634" s="97"/>
      <c r="H634" s="96"/>
      <c r="I634" s="96"/>
      <c r="J634" s="98"/>
      <c r="K634" s="99"/>
      <c r="L634" s="96"/>
      <c r="M634" s="42"/>
      <c r="N634" s="42"/>
      <c r="O634" s="42"/>
      <c r="P634" s="83"/>
      <c r="Q634" s="83"/>
      <c r="R634" s="42"/>
      <c r="S634" s="42"/>
      <c r="T634" s="43" t="str">
        <f>IFERROR(__xludf.DUMMYFUNCTION("IFERROR(VLOOKUP(C634,IMPORTRANGE(""https://docs.google.com/spreadsheets/d/1RmEXtNg60OGvqZjyMxiYNPJ6S_kcz01v57qrHugDWVc/edit#gid=0"",""Chegadas!E:AQ""),19,0),"""")"),"")</f>
        <v/>
      </c>
      <c r="U634" s="100"/>
      <c r="V634" s="98"/>
      <c r="W634" s="98"/>
    </row>
    <row r="635" hidden="1">
      <c r="A635" s="95"/>
      <c r="B635" s="95"/>
      <c r="C635" s="54"/>
      <c r="D635" s="83"/>
      <c r="E635" s="96"/>
      <c r="F635" s="42"/>
      <c r="G635" s="97"/>
      <c r="H635" s="96"/>
      <c r="I635" s="96"/>
      <c r="J635" s="98"/>
      <c r="K635" s="99"/>
      <c r="L635" s="96"/>
      <c r="M635" s="42"/>
      <c r="N635" s="42"/>
      <c r="O635" s="42"/>
      <c r="P635" s="83"/>
      <c r="Q635" s="83"/>
      <c r="R635" s="42"/>
      <c r="S635" s="42"/>
      <c r="T635" s="43" t="str">
        <f>IFERROR(__xludf.DUMMYFUNCTION("IFERROR(VLOOKUP(C635,IMPORTRANGE(""https://docs.google.com/spreadsheets/d/1RmEXtNg60OGvqZjyMxiYNPJ6S_kcz01v57qrHugDWVc/edit#gid=0"",""Chegadas!E:AQ""),19,0),"""")"),"")</f>
        <v/>
      </c>
      <c r="U635" s="100"/>
      <c r="V635" s="98"/>
      <c r="W635" s="98"/>
    </row>
    <row r="636" hidden="1">
      <c r="A636" s="95"/>
      <c r="B636" s="95"/>
      <c r="C636" s="54"/>
      <c r="D636" s="83"/>
      <c r="E636" s="96"/>
      <c r="F636" s="42"/>
      <c r="G636" s="97"/>
      <c r="H636" s="96"/>
      <c r="I636" s="96"/>
      <c r="J636" s="98"/>
      <c r="K636" s="99"/>
      <c r="L636" s="96"/>
      <c r="M636" s="42"/>
      <c r="N636" s="42"/>
      <c r="O636" s="42"/>
      <c r="P636" s="83"/>
      <c r="Q636" s="83"/>
      <c r="R636" s="42"/>
      <c r="S636" s="42"/>
      <c r="T636" s="43" t="str">
        <f>IFERROR(__xludf.DUMMYFUNCTION("IFERROR(VLOOKUP(C636,IMPORTRANGE(""https://docs.google.com/spreadsheets/d/1RmEXtNg60OGvqZjyMxiYNPJ6S_kcz01v57qrHugDWVc/edit#gid=0"",""Chegadas!E:AQ""),19,0),"""")"),"")</f>
        <v/>
      </c>
      <c r="U636" s="100"/>
      <c r="V636" s="98"/>
      <c r="W636" s="98"/>
    </row>
    <row r="637" hidden="1">
      <c r="A637" s="95"/>
      <c r="B637" s="95"/>
      <c r="C637" s="54"/>
      <c r="D637" s="83"/>
      <c r="E637" s="96"/>
      <c r="F637" s="42"/>
      <c r="G637" s="97"/>
      <c r="H637" s="96"/>
      <c r="I637" s="96"/>
      <c r="J637" s="98"/>
      <c r="K637" s="99"/>
      <c r="L637" s="96"/>
      <c r="M637" s="42"/>
      <c r="N637" s="42"/>
      <c r="O637" s="42"/>
      <c r="P637" s="83"/>
      <c r="Q637" s="83"/>
      <c r="R637" s="42"/>
      <c r="S637" s="42"/>
      <c r="T637" s="43" t="str">
        <f>IFERROR(__xludf.DUMMYFUNCTION("IFERROR(VLOOKUP(C637,IMPORTRANGE(""https://docs.google.com/spreadsheets/d/1RmEXtNg60OGvqZjyMxiYNPJ6S_kcz01v57qrHugDWVc/edit#gid=0"",""Chegadas!E:AQ""),19,0),"""")"),"")</f>
        <v/>
      </c>
      <c r="U637" s="100"/>
      <c r="V637" s="98"/>
      <c r="W637" s="98"/>
    </row>
    <row r="638" hidden="1">
      <c r="A638" s="95"/>
      <c r="B638" s="95"/>
      <c r="C638" s="54"/>
      <c r="D638" s="83"/>
      <c r="E638" s="96"/>
      <c r="F638" s="42"/>
      <c r="G638" s="97"/>
      <c r="H638" s="96"/>
      <c r="I638" s="96"/>
      <c r="J638" s="98"/>
      <c r="K638" s="99"/>
      <c r="L638" s="96"/>
      <c r="M638" s="42"/>
      <c r="N638" s="42"/>
      <c r="O638" s="42"/>
      <c r="P638" s="83"/>
      <c r="Q638" s="83"/>
      <c r="R638" s="42"/>
      <c r="S638" s="42"/>
      <c r="T638" s="43" t="str">
        <f>IFERROR(__xludf.DUMMYFUNCTION("IFERROR(VLOOKUP(C638,IMPORTRANGE(""https://docs.google.com/spreadsheets/d/1RmEXtNg60OGvqZjyMxiYNPJ6S_kcz01v57qrHugDWVc/edit#gid=0"",""Chegadas!E:AQ""),19,0),"""")"),"")</f>
        <v/>
      </c>
      <c r="U638" s="100"/>
      <c r="V638" s="98"/>
      <c r="W638" s="98"/>
    </row>
    <row r="639" hidden="1">
      <c r="A639" s="95"/>
      <c r="B639" s="95"/>
      <c r="C639" s="54"/>
      <c r="D639" s="83"/>
      <c r="E639" s="96"/>
      <c r="F639" s="42"/>
      <c r="G639" s="97"/>
      <c r="H639" s="96"/>
      <c r="I639" s="96"/>
      <c r="J639" s="98"/>
      <c r="K639" s="99"/>
      <c r="L639" s="96"/>
      <c r="M639" s="42"/>
      <c r="N639" s="42"/>
      <c r="O639" s="42"/>
      <c r="P639" s="83"/>
      <c r="Q639" s="83"/>
      <c r="R639" s="42"/>
      <c r="S639" s="42"/>
      <c r="T639" s="43" t="str">
        <f>IFERROR(__xludf.DUMMYFUNCTION("IFERROR(VLOOKUP(C639,IMPORTRANGE(""https://docs.google.com/spreadsheets/d/1RmEXtNg60OGvqZjyMxiYNPJ6S_kcz01v57qrHugDWVc/edit#gid=0"",""Chegadas!E:AQ""),19,0),"""")"),"")</f>
        <v/>
      </c>
      <c r="U639" s="100"/>
      <c r="V639" s="98"/>
      <c r="W639" s="98"/>
    </row>
    <row r="640" hidden="1">
      <c r="A640" s="95"/>
      <c r="B640" s="95"/>
      <c r="C640" s="54"/>
      <c r="D640" s="83"/>
      <c r="E640" s="96"/>
      <c r="F640" s="42"/>
      <c r="G640" s="97"/>
      <c r="H640" s="96"/>
      <c r="I640" s="96"/>
      <c r="J640" s="98"/>
      <c r="K640" s="99"/>
      <c r="L640" s="96"/>
      <c r="M640" s="42"/>
      <c r="N640" s="42"/>
      <c r="O640" s="42"/>
      <c r="P640" s="83"/>
      <c r="Q640" s="83"/>
      <c r="R640" s="42"/>
      <c r="S640" s="42"/>
      <c r="T640" s="43" t="str">
        <f>IFERROR(__xludf.DUMMYFUNCTION("IFERROR(VLOOKUP(C640,IMPORTRANGE(""https://docs.google.com/spreadsheets/d/1RmEXtNg60OGvqZjyMxiYNPJ6S_kcz01v57qrHugDWVc/edit#gid=0"",""Chegadas!E:AQ""),19,0),"""")"),"")</f>
        <v/>
      </c>
      <c r="U640" s="100"/>
      <c r="V640" s="98"/>
      <c r="W640" s="98"/>
    </row>
    <row r="641" hidden="1">
      <c r="A641" s="95"/>
      <c r="B641" s="95"/>
      <c r="C641" s="54"/>
      <c r="D641" s="83"/>
      <c r="E641" s="96"/>
      <c r="F641" s="42"/>
      <c r="G641" s="97"/>
      <c r="H641" s="96"/>
      <c r="I641" s="96"/>
      <c r="J641" s="98"/>
      <c r="K641" s="99"/>
      <c r="L641" s="96"/>
      <c r="M641" s="42"/>
      <c r="N641" s="42"/>
      <c r="O641" s="42"/>
      <c r="P641" s="83"/>
      <c r="Q641" s="83"/>
      <c r="R641" s="42"/>
      <c r="S641" s="42"/>
      <c r="T641" s="43" t="str">
        <f>IFERROR(__xludf.DUMMYFUNCTION("IFERROR(VLOOKUP(C641,IMPORTRANGE(""https://docs.google.com/spreadsheets/d/1RmEXtNg60OGvqZjyMxiYNPJ6S_kcz01v57qrHugDWVc/edit#gid=0"",""Chegadas!E:AQ""),19,0),"""")"),"")</f>
        <v/>
      </c>
      <c r="U641" s="100"/>
      <c r="V641" s="98"/>
      <c r="W641" s="98"/>
    </row>
    <row r="642" hidden="1">
      <c r="A642" s="95"/>
      <c r="B642" s="95"/>
      <c r="C642" s="54"/>
      <c r="D642" s="83"/>
      <c r="E642" s="96"/>
      <c r="F642" s="42"/>
      <c r="G642" s="97"/>
      <c r="H642" s="96"/>
      <c r="I642" s="96"/>
      <c r="J642" s="98"/>
      <c r="K642" s="99"/>
      <c r="L642" s="96"/>
      <c r="M642" s="42"/>
      <c r="N642" s="42"/>
      <c r="O642" s="42"/>
      <c r="P642" s="83"/>
      <c r="Q642" s="83"/>
      <c r="R642" s="42"/>
      <c r="S642" s="42"/>
      <c r="T642" s="43" t="str">
        <f>IFERROR(__xludf.DUMMYFUNCTION("IFERROR(VLOOKUP(C642,IMPORTRANGE(""https://docs.google.com/spreadsheets/d/1RmEXtNg60OGvqZjyMxiYNPJ6S_kcz01v57qrHugDWVc/edit#gid=0"",""Chegadas!E:AQ""),19,0),"""")"),"")</f>
        <v/>
      </c>
      <c r="U642" s="100"/>
      <c r="V642" s="98"/>
      <c r="W642" s="98"/>
    </row>
    <row r="643" hidden="1">
      <c r="A643" s="95"/>
      <c r="B643" s="95"/>
      <c r="C643" s="54"/>
      <c r="D643" s="83"/>
      <c r="E643" s="96"/>
      <c r="F643" s="42"/>
      <c r="G643" s="97"/>
      <c r="H643" s="96"/>
      <c r="I643" s="96"/>
      <c r="J643" s="98"/>
      <c r="K643" s="99"/>
      <c r="L643" s="96"/>
      <c r="M643" s="42"/>
      <c r="N643" s="42"/>
      <c r="O643" s="42"/>
      <c r="P643" s="83"/>
      <c r="Q643" s="83"/>
      <c r="R643" s="42"/>
      <c r="S643" s="42"/>
      <c r="T643" s="43" t="str">
        <f>IFERROR(__xludf.DUMMYFUNCTION("IFERROR(VLOOKUP(C643,IMPORTRANGE(""https://docs.google.com/spreadsheets/d/1RmEXtNg60OGvqZjyMxiYNPJ6S_kcz01v57qrHugDWVc/edit#gid=0"",""Chegadas!E:AQ""),19,0),"""")"),"")</f>
        <v/>
      </c>
      <c r="U643" s="100"/>
      <c r="V643" s="98"/>
      <c r="W643" s="98"/>
    </row>
    <row r="644" hidden="1">
      <c r="A644" s="95"/>
      <c r="B644" s="95"/>
      <c r="C644" s="54"/>
      <c r="D644" s="83"/>
      <c r="E644" s="96"/>
      <c r="F644" s="42"/>
      <c r="G644" s="97"/>
      <c r="H644" s="96"/>
      <c r="I644" s="96"/>
      <c r="J644" s="98"/>
      <c r="K644" s="99"/>
      <c r="L644" s="96"/>
      <c r="M644" s="42"/>
      <c r="N644" s="42"/>
      <c r="O644" s="42"/>
      <c r="P644" s="83"/>
      <c r="Q644" s="83"/>
      <c r="R644" s="42"/>
      <c r="S644" s="42"/>
      <c r="T644" s="43" t="str">
        <f>IFERROR(__xludf.DUMMYFUNCTION("IFERROR(VLOOKUP(C644,IMPORTRANGE(""https://docs.google.com/spreadsheets/d/1RmEXtNg60OGvqZjyMxiYNPJ6S_kcz01v57qrHugDWVc/edit#gid=0"",""Chegadas!E:AQ""),19,0),"""")"),"")</f>
        <v/>
      </c>
      <c r="U644" s="100"/>
      <c r="V644" s="98"/>
      <c r="W644" s="98"/>
    </row>
    <row r="645" hidden="1">
      <c r="A645" s="95"/>
      <c r="B645" s="95"/>
      <c r="C645" s="54"/>
      <c r="D645" s="83"/>
      <c r="E645" s="96"/>
      <c r="F645" s="42"/>
      <c r="G645" s="97"/>
      <c r="H645" s="96"/>
      <c r="I645" s="96"/>
      <c r="J645" s="98"/>
      <c r="K645" s="99"/>
      <c r="L645" s="96"/>
      <c r="M645" s="42"/>
      <c r="N645" s="42"/>
      <c r="O645" s="42"/>
      <c r="P645" s="83"/>
      <c r="Q645" s="83"/>
      <c r="R645" s="42"/>
      <c r="S645" s="42"/>
      <c r="T645" s="43" t="str">
        <f>IFERROR(__xludf.DUMMYFUNCTION("IFERROR(VLOOKUP(C645,IMPORTRANGE(""https://docs.google.com/spreadsheets/d/1RmEXtNg60OGvqZjyMxiYNPJ6S_kcz01v57qrHugDWVc/edit#gid=0"",""Chegadas!E:AQ""),19,0),"""")"),"")</f>
        <v/>
      </c>
      <c r="U645" s="100"/>
      <c r="V645" s="98"/>
      <c r="W645" s="98"/>
    </row>
    <row r="646" hidden="1">
      <c r="A646" s="95"/>
      <c r="B646" s="95"/>
      <c r="C646" s="54"/>
      <c r="D646" s="83"/>
      <c r="E646" s="96"/>
      <c r="F646" s="42"/>
      <c r="G646" s="97"/>
      <c r="H646" s="96"/>
      <c r="I646" s="96"/>
      <c r="J646" s="98"/>
      <c r="K646" s="99"/>
      <c r="L646" s="96"/>
      <c r="M646" s="42"/>
      <c r="N646" s="42"/>
      <c r="O646" s="42"/>
      <c r="P646" s="83"/>
      <c r="Q646" s="83"/>
      <c r="R646" s="42"/>
      <c r="S646" s="42"/>
      <c r="T646" s="43" t="str">
        <f>IFERROR(__xludf.DUMMYFUNCTION("IFERROR(VLOOKUP(C646,IMPORTRANGE(""https://docs.google.com/spreadsheets/d/1RmEXtNg60OGvqZjyMxiYNPJ6S_kcz01v57qrHugDWVc/edit#gid=0"",""Chegadas!E:AQ""),19,0),"""")"),"")</f>
        <v/>
      </c>
      <c r="U646" s="100"/>
      <c r="V646" s="98"/>
      <c r="W646" s="98"/>
    </row>
    <row r="647" hidden="1">
      <c r="A647" s="95"/>
      <c r="B647" s="95"/>
      <c r="C647" s="54"/>
      <c r="D647" s="83"/>
      <c r="E647" s="96"/>
      <c r="F647" s="42"/>
      <c r="G647" s="97"/>
      <c r="H647" s="96"/>
      <c r="I647" s="96"/>
      <c r="J647" s="98"/>
      <c r="K647" s="99"/>
      <c r="L647" s="96"/>
      <c r="M647" s="42"/>
      <c r="N647" s="42"/>
      <c r="O647" s="42"/>
      <c r="P647" s="83"/>
      <c r="Q647" s="83"/>
      <c r="R647" s="42"/>
      <c r="S647" s="42"/>
      <c r="T647" s="43" t="str">
        <f>IFERROR(__xludf.DUMMYFUNCTION("IFERROR(VLOOKUP(C647,IMPORTRANGE(""https://docs.google.com/spreadsheets/d/1RmEXtNg60OGvqZjyMxiYNPJ6S_kcz01v57qrHugDWVc/edit#gid=0"",""Chegadas!E:AQ""),19,0),"""")"),"")</f>
        <v/>
      </c>
      <c r="U647" s="100"/>
      <c r="V647" s="98"/>
      <c r="W647" s="98"/>
    </row>
    <row r="648" hidden="1">
      <c r="A648" s="95"/>
      <c r="B648" s="95"/>
      <c r="C648" s="54"/>
      <c r="D648" s="83"/>
      <c r="E648" s="96"/>
      <c r="F648" s="42"/>
      <c r="G648" s="97"/>
      <c r="H648" s="96"/>
      <c r="I648" s="96"/>
      <c r="J648" s="98"/>
      <c r="K648" s="99"/>
      <c r="L648" s="96"/>
      <c r="M648" s="42"/>
      <c r="N648" s="42"/>
      <c r="O648" s="42"/>
      <c r="P648" s="83"/>
      <c r="Q648" s="83"/>
      <c r="R648" s="42"/>
      <c r="S648" s="42"/>
      <c r="T648" s="43" t="str">
        <f>IFERROR(__xludf.DUMMYFUNCTION("IFERROR(VLOOKUP(C648,IMPORTRANGE(""https://docs.google.com/spreadsheets/d/1RmEXtNg60OGvqZjyMxiYNPJ6S_kcz01v57qrHugDWVc/edit#gid=0"",""Chegadas!E:AQ""),19,0),"""")"),"")</f>
        <v/>
      </c>
      <c r="U648" s="100"/>
      <c r="V648" s="98"/>
      <c r="W648" s="98"/>
    </row>
    <row r="649" hidden="1">
      <c r="A649" s="95"/>
      <c r="B649" s="95"/>
      <c r="C649" s="54"/>
      <c r="D649" s="83"/>
      <c r="E649" s="96"/>
      <c r="F649" s="42"/>
      <c r="G649" s="97"/>
      <c r="H649" s="96"/>
      <c r="I649" s="96"/>
      <c r="J649" s="98"/>
      <c r="K649" s="99"/>
      <c r="L649" s="96"/>
      <c r="M649" s="42"/>
      <c r="N649" s="42"/>
      <c r="O649" s="42"/>
      <c r="P649" s="83"/>
      <c r="Q649" s="83"/>
      <c r="R649" s="42"/>
      <c r="S649" s="42"/>
      <c r="T649" s="43" t="str">
        <f>IFERROR(__xludf.DUMMYFUNCTION("IFERROR(VLOOKUP(C649,IMPORTRANGE(""https://docs.google.com/spreadsheets/d/1RmEXtNg60OGvqZjyMxiYNPJ6S_kcz01v57qrHugDWVc/edit#gid=0"",""Chegadas!E:AQ""),19,0),"""")"),"")</f>
        <v/>
      </c>
      <c r="U649" s="100"/>
      <c r="V649" s="98"/>
      <c r="W649" s="98"/>
    </row>
    <row r="650" hidden="1">
      <c r="A650" s="95"/>
      <c r="B650" s="95"/>
      <c r="C650" s="54"/>
      <c r="D650" s="83"/>
      <c r="E650" s="96"/>
      <c r="F650" s="42"/>
      <c r="G650" s="97"/>
      <c r="H650" s="96"/>
      <c r="I650" s="96"/>
      <c r="J650" s="98"/>
      <c r="K650" s="99"/>
      <c r="L650" s="96"/>
      <c r="M650" s="42"/>
      <c r="N650" s="42"/>
      <c r="O650" s="42"/>
      <c r="P650" s="83"/>
      <c r="Q650" s="83"/>
      <c r="R650" s="42"/>
      <c r="S650" s="42"/>
      <c r="T650" s="43" t="str">
        <f>IFERROR(__xludf.DUMMYFUNCTION("IFERROR(VLOOKUP(C650,IMPORTRANGE(""https://docs.google.com/spreadsheets/d/1RmEXtNg60OGvqZjyMxiYNPJ6S_kcz01v57qrHugDWVc/edit#gid=0"",""Chegadas!E:AQ""),19,0),"""")"),"")</f>
        <v/>
      </c>
      <c r="U650" s="100"/>
      <c r="V650" s="98"/>
      <c r="W650" s="98"/>
    </row>
    <row r="651" hidden="1">
      <c r="A651" s="95"/>
      <c r="B651" s="95"/>
      <c r="C651" s="54"/>
      <c r="D651" s="83"/>
      <c r="E651" s="96"/>
      <c r="F651" s="42"/>
      <c r="G651" s="97"/>
      <c r="H651" s="96"/>
      <c r="I651" s="96"/>
      <c r="J651" s="98"/>
      <c r="K651" s="99"/>
      <c r="L651" s="96"/>
      <c r="M651" s="42"/>
      <c r="N651" s="42"/>
      <c r="O651" s="42"/>
      <c r="P651" s="83"/>
      <c r="Q651" s="83"/>
      <c r="R651" s="42"/>
      <c r="S651" s="42"/>
      <c r="T651" s="43" t="str">
        <f>IFERROR(__xludf.DUMMYFUNCTION("IFERROR(VLOOKUP(C651,IMPORTRANGE(""https://docs.google.com/spreadsheets/d/1RmEXtNg60OGvqZjyMxiYNPJ6S_kcz01v57qrHugDWVc/edit#gid=0"",""Chegadas!E:AQ""),19,0),"""")"),"")</f>
        <v/>
      </c>
      <c r="U651" s="100"/>
      <c r="V651" s="98"/>
      <c r="W651" s="98"/>
    </row>
    <row r="652" hidden="1">
      <c r="A652" s="95"/>
      <c r="B652" s="95"/>
      <c r="C652" s="54"/>
      <c r="D652" s="83"/>
      <c r="E652" s="96"/>
      <c r="F652" s="42"/>
      <c r="G652" s="97"/>
      <c r="H652" s="96"/>
      <c r="I652" s="96"/>
      <c r="J652" s="98"/>
      <c r="K652" s="99"/>
      <c r="L652" s="96"/>
      <c r="M652" s="42"/>
      <c r="N652" s="42"/>
      <c r="O652" s="42"/>
      <c r="P652" s="83"/>
      <c r="Q652" s="83"/>
      <c r="R652" s="42"/>
      <c r="S652" s="42"/>
      <c r="T652" s="43" t="str">
        <f>IFERROR(__xludf.DUMMYFUNCTION("IFERROR(VLOOKUP(C652,IMPORTRANGE(""https://docs.google.com/spreadsheets/d/1RmEXtNg60OGvqZjyMxiYNPJ6S_kcz01v57qrHugDWVc/edit#gid=0"",""Chegadas!E:AQ""),19,0),"""")"),"")</f>
        <v/>
      </c>
      <c r="U652" s="100"/>
      <c r="V652" s="98"/>
      <c r="W652" s="98"/>
    </row>
    <row r="653" hidden="1">
      <c r="A653" s="95"/>
      <c r="B653" s="95"/>
      <c r="C653" s="54"/>
      <c r="D653" s="83"/>
      <c r="E653" s="96"/>
      <c r="F653" s="42"/>
      <c r="G653" s="97"/>
      <c r="H653" s="96"/>
      <c r="I653" s="96"/>
      <c r="J653" s="98"/>
      <c r="K653" s="99"/>
      <c r="L653" s="96"/>
      <c r="M653" s="42"/>
      <c r="N653" s="42"/>
      <c r="O653" s="42"/>
      <c r="P653" s="83"/>
      <c r="Q653" s="83"/>
      <c r="R653" s="42"/>
      <c r="S653" s="42"/>
      <c r="T653" s="43" t="str">
        <f>IFERROR(__xludf.DUMMYFUNCTION("IFERROR(VLOOKUP(C653,IMPORTRANGE(""https://docs.google.com/spreadsheets/d/1RmEXtNg60OGvqZjyMxiYNPJ6S_kcz01v57qrHugDWVc/edit#gid=0"",""Chegadas!E:AQ""),19,0),"""")"),"")</f>
        <v/>
      </c>
      <c r="U653" s="100"/>
      <c r="V653" s="98"/>
      <c r="W653" s="98"/>
    </row>
    <row r="654" hidden="1">
      <c r="A654" s="95"/>
      <c r="B654" s="95"/>
      <c r="C654" s="54"/>
      <c r="D654" s="83"/>
      <c r="E654" s="96"/>
      <c r="F654" s="42"/>
      <c r="G654" s="97"/>
      <c r="H654" s="96"/>
      <c r="I654" s="96"/>
      <c r="J654" s="98"/>
      <c r="K654" s="99"/>
      <c r="L654" s="96"/>
      <c r="M654" s="42"/>
      <c r="N654" s="42"/>
      <c r="O654" s="42"/>
      <c r="P654" s="83"/>
      <c r="Q654" s="83"/>
      <c r="R654" s="42"/>
      <c r="S654" s="42"/>
      <c r="T654" s="43" t="str">
        <f>IFERROR(__xludf.DUMMYFUNCTION("IFERROR(VLOOKUP(C654,IMPORTRANGE(""https://docs.google.com/spreadsheets/d/1RmEXtNg60OGvqZjyMxiYNPJ6S_kcz01v57qrHugDWVc/edit#gid=0"",""Chegadas!E:AQ""),19,0),"""")"),"")</f>
        <v/>
      </c>
      <c r="U654" s="100"/>
      <c r="V654" s="98"/>
      <c r="W654" s="98"/>
    </row>
    <row r="655" hidden="1">
      <c r="A655" s="95"/>
      <c r="B655" s="95"/>
      <c r="C655" s="54"/>
      <c r="D655" s="83"/>
      <c r="E655" s="96"/>
      <c r="F655" s="42"/>
      <c r="G655" s="97"/>
      <c r="H655" s="96"/>
      <c r="I655" s="96"/>
      <c r="J655" s="98"/>
      <c r="K655" s="99"/>
      <c r="L655" s="96"/>
      <c r="M655" s="42"/>
      <c r="N655" s="42"/>
      <c r="O655" s="42"/>
      <c r="P655" s="83"/>
      <c r="Q655" s="83"/>
      <c r="R655" s="42"/>
      <c r="S655" s="42"/>
      <c r="T655" s="43" t="str">
        <f>IFERROR(__xludf.DUMMYFUNCTION("IFERROR(VLOOKUP(C655,IMPORTRANGE(""https://docs.google.com/spreadsheets/d/1RmEXtNg60OGvqZjyMxiYNPJ6S_kcz01v57qrHugDWVc/edit#gid=0"",""Chegadas!E:AQ""),19,0),"""")"),"")</f>
        <v/>
      </c>
      <c r="U655" s="100"/>
      <c r="V655" s="98"/>
      <c r="W655" s="98"/>
    </row>
    <row r="656" hidden="1">
      <c r="A656" s="95"/>
      <c r="B656" s="95"/>
      <c r="C656" s="54"/>
      <c r="D656" s="83"/>
      <c r="E656" s="96"/>
      <c r="F656" s="42"/>
      <c r="G656" s="97"/>
      <c r="H656" s="96"/>
      <c r="I656" s="96"/>
      <c r="J656" s="98"/>
      <c r="K656" s="99"/>
      <c r="L656" s="96"/>
      <c r="M656" s="42"/>
      <c r="N656" s="42"/>
      <c r="O656" s="42"/>
      <c r="P656" s="83"/>
      <c r="Q656" s="83"/>
      <c r="R656" s="42"/>
      <c r="S656" s="42"/>
      <c r="T656" s="43" t="str">
        <f>IFERROR(__xludf.DUMMYFUNCTION("IFERROR(VLOOKUP(C656,IMPORTRANGE(""https://docs.google.com/spreadsheets/d/1RmEXtNg60OGvqZjyMxiYNPJ6S_kcz01v57qrHugDWVc/edit#gid=0"",""Chegadas!E:AQ""),19,0),"""")"),"")</f>
        <v/>
      </c>
      <c r="U656" s="100"/>
      <c r="V656" s="98"/>
      <c r="W656" s="98"/>
    </row>
    <row r="657" hidden="1">
      <c r="A657" s="95"/>
      <c r="B657" s="95"/>
      <c r="C657" s="54"/>
      <c r="D657" s="83"/>
      <c r="E657" s="96"/>
      <c r="F657" s="42"/>
      <c r="G657" s="97"/>
      <c r="H657" s="96"/>
      <c r="I657" s="96"/>
      <c r="J657" s="98"/>
      <c r="K657" s="99"/>
      <c r="L657" s="96"/>
      <c r="M657" s="42"/>
      <c r="N657" s="42"/>
      <c r="O657" s="42"/>
      <c r="P657" s="83"/>
      <c r="Q657" s="83"/>
      <c r="R657" s="42"/>
      <c r="S657" s="42"/>
      <c r="T657" s="43" t="str">
        <f>IFERROR(__xludf.DUMMYFUNCTION("IFERROR(VLOOKUP(C657,IMPORTRANGE(""https://docs.google.com/spreadsheets/d/1RmEXtNg60OGvqZjyMxiYNPJ6S_kcz01v57qrHugDWVc/edit#gid=0"",""Chegadas!E:AQ""),19,0),"""")"),"")</f>
        <v/>
      </c>
      <c r="U657" s="100"/>
      <c r="V657" s="98"/>
      <c r="W657" s="98"/>
    </row>
    <row r="658" hidden="1">
      <c r="A658" s="95"/>
      <c r="B658" s="95"/>
      <c r="C658" s="54"/>
      <c r="D658" s="83"/>
      <c r="E658" s="96"/>
      <c r="F658" s="42"/>
      <c r="G658" s="97"/>
      <c r="H658" s="96"/>
      <c r="I658" s="96"/>
      <c r="J658" s="98"/>
      <c r="K658" s="99"/>
      <c r="L658" s="96"/>
      <c r="M658" s="42"/>
      <c r="N658" s="42"/>
      <c r="O658" s="42"/>
      <c r="P658" s="83"/>
      <c r="Q658" s="83"/>
      <c r="R658" s="42"/>
      <c r="S658" s="42"/>
      <c r="T658" s="43" t="str">
        <f>IFERROR(__xludf.DUMMYFUNCTION("IFERROR(VLOOKUP(C658,IMPORTRANGE(""https://docs.google.com/spreadsheets/d/1RmEXtNg60OGvqZjyMxiYNPJ6S_kcz01v57qrHugDWVc/edit#gid=0"",""Chegadas!E:AQ""),19,0),"""")"),"")</f>
        <v/>
      </c>
      <c r="U658" s="100"/>
      <c r="V658" s="98"/>
      <c r="W658" s="98"/>
    </row>
    <row r="659" hidden="1">
      <c r="A659" s="95"/>
      <c r="B659" s="95"/>
      <c r="C659" s="54"/>
      <c r="D659" s="83"/>
      <c r="E659" s="96"/>
      <c r="F659" s="42"/>
      <c r="G659" s="97"/>
      <c r="H659" s="96"/>
      <c r="I659" s="96"/>
      <c r="J659" s="98"/>
      <c r="K659" s="99"/>
      <c r="L659" s="96"/>
      <c r="M659" s="42"/>
      <c r="N659" s="42"/>
      <c r="O659" s="42"/>
      <c r="P659" s="83"/>
      <c r="Q659" s="83"/>
      <c r="R659" s="42"/>
      <c r="S659" s="42"/>
      <c r="T659" s="43" t="str">
        <f>IFERROR(__xludf.DUMMYFUNCTION("IFERROR(VLOOKUP(C659,IMPORTRANGE(""https://docs.google.com/spreadsheets/d/1RmEXtNg60OGvqZjyMxiYNPJ6S_kcz01v57qrHugDWVc/edit#gid=0"",""Chegadas!E:AQ""),19,0),"""")"),"")</f>
        <v/>
      </c>
      <c r="U659" s="100"/>
      <c r="V659" s="98"/>
      <c r="W659" s="98"/>
    </row>
    <row r="660" hidden="1">
      <c r="A660" s="95"/>
      <c r="B660" s="95"/>
      <c r="C660" s="54"/>
      <c r="D660" s="83"/>
      <c r="E660" s="96"/>
      <c r="F660" s="42"/>
      <c r="G660" s="97"/>
      <c r="H660" s="96"/>
      <c r="I660" s="96"/>
      <c r="J660" s="98"/>
      <c r="K660" s="99"/>
      <c r="L660" s="96"/>
      <c r="M660" s="42"/>
      <c r="N660" s="42"/>
      <c r="O660" s="42"/>
      <c r="P660" s="83"/>
      <c r="Q660" s="83"/>
      <c r="R660" s="42"/>
      <c r="S660" s="42"/>
      <c r="T660" s="43" t="str">
        <f>IFERROR(__xludf.DUMMYFUNCTION("IFERROR(VLOOKUP(C660,IMPORTRANGE(""https://docs.google.com/spreadsheets/d/1RmEXtNg60OGvqZjyMxiYNPJ6S_kcz01v57qrHugDWVc/edit#gid=0"",""Chegadas!E:AQ""),19,0),"""")"),"")</f>
        <v/>
      </c>
      <c r="U660" s="100"/>
      <c r="V660" s="98"/>
      <c r="W660" s="98"/>
    </row>
    <row r="661" hidden="1">
      <c r="A661" s="95"/>
      <c r="B661" s="95"/>
      <c r="C661" s="54"/>
      <c r="D661" s="83"/>
      <c r="E661" s="96"/>
      <c r="F661" s="42"/>
      <c r="G661" s="97"/>
      <c r="H661" s="96"/>
      <c r="I661" s="96"/>
      <c r="J661" s="98"/>
      <c r="K661" s="99"/>
      <c r="L661" s="96"/>
      <c r="M661" s="42"/>
      <c r="N661" s="42"/>
      <c r="O661" s="42"/>
      <c r="P661" s="83"/>
      <c r="Q661" s="83"/>
      <c r="R661" s="42"/>
      <c r="S661" s="42"/>
      <c r="T661" s="43" t="str">
        <f>IFERROR(__xludf.DUMMYFUNCTION("IFERROR(VLOOKUP(C661,IMPORTRANGE(""https://docs.google.com/spreadsheets/d/1RmEXtNg60OGvqZjyMxiYNPJ6S_kcz01v57qrHugDWVc/edit#gid=0"",""Chegadas!E:AQ""),19,0),"""")"),"")</f>
        <v/>
      </c>
      <c r="U661" s="100"/>
      <c r="V661" s="98"/>
      <c r="W661" s="98"/>
    </row>
    <row r="662" hidden="1">
      <c r="A662" s="95"/>
      <c r="B662" s="95"/>
      <c r="C662" s="54"/>
      <c r="D662" s="83"/>
      <c r="E662" s="96"/>
      <c r="F662" s="42"/>
      <c r="G662" s="97"/>
      <c r="H662" s="96"/>
      <c r="I662" s="96"/>
      <c r="J662" s="98"/>
      <c r="K662" s="99"/>
      <c r="L662" s="96"/>
      <c r="M662" s="42"/>
      <c r="N662" s="42"/>
      <c r="O662" s="42"/>
      <c r="P662" s="83"/>
      <c r="Q662" s="83"/>
      <c r="R662" s="42"/>
      <c r="S662" s="42"/>
      <c r="T662" s="43" t="str">
        <f>IFERROR(__xludf.DUMMYFUNCTION("IFERROR(VLOOKUP(C662,IMPORTRANGE(""https://docs.google.com/spreadsheets/d/1RmEXtNg60OGvqZjyMxiYNPJ6S_kcz01v57qrHugDWVc/edit#gid=0"",""Chegadas!E:AQ""),19,0),"""")"),"")</f>
        <v/>
      </c>
      <c r="U662" s="100"/>
      <c r="V662" s="98"/>
      <c r="W662" s="98"/>
    </row>
    <row r="663" hidden="1">
      <c r="A663" s="95"/>
      <c r="B663" s="95"/>
      <c r="C663" s="54"/>
      <c r="D663" s="83"/>
      <c r="E663" s="96"/>
      <c r="F663" s="42"/>
      <c r="G663" s="97"/>
      <c r="H663" s="96"/>
      <c r="I663" s="96"/>
      <c r="J663" s="98"/>
      <c r="K663" s="99"/>
      <c r="L663" s="96"/>
      <c r="M663" s="42"/>
      <c r="N663" s="42"/>
      <c r="O663" s="42"/>
      <c r="P663" s="83"/>
      <c r="Q663" s="83"/>
      <c r="R663" s="42"/>
      <c r="S663" s="42"/>
      <c r="T663" s="43" t="str">
        <f>IFERROR(__xludf.DUMMYFUNCTION("IFERROR(VLOOKUP(C663,IMPORTRANGE(""https://docs.google.com/spreadsheets/d/1RmEXtNg60OGvqZjyMxiYNPJ6S_kcz01v57qrHugDWVc/edit#gid=0"",""Chegadas!E:AQ""),19,0),"""")"),"")</f>
        <v/>
      </c>
      <c r="U663" s="100"/>
      <c r="V663" s="98"/>
      <c r="W663" s="98"/>
    </row>
    <row r="664" hidden="1">
      <c r="A664" s="95"/>
      <c r="B664" s="95"/>
      <c r="C664" s="54"/>
      <c r="D664" s="83"/>
      <c r="E664" s="96"/>
      <c r="F664" s="42"/>
      <c r="G664" s="97"/>
      <c r="H664" s="96"/>
      <c r="I664" s="96"/>
      <c r="J664" s="98"/>
      <c r="K664" s="99"/>
      <c r="L664" s="96"/>
      <c r="M664" s="42"/>
      <c r="N664" s="42"/>
      <c r="O664" s="42"/>
      <c r="P664" s="83"/>
      <c r="Q664" s="83"/>
      <c r="R664" s="42"/>
      <c r="S664" s="42"/>
      <c r="T664" s="43" t="str">
        <f>IFERROR(__xludf.DUMMYFUNCTION("IFERROR(VLOOKUP(C664,IMPORTRANGE(""https://docs.google.com/spreadsheets/d/1RmEXtNg60OGvqZjyMxiYNPJ6S_kcz01v57qrHugDWVc/edit#gid=0"",""Chegadas!E:AQ""),19,0),"""")"),"")</f>
        <v/>
      </c>
      <c r="U664" s="100"/>
      <c r="V664" s="98"/>
      <c r="W664" s="98"/>
    </row>
    <row r="665" hidden="1">
      <c r="A665" s="95"/>
      <c r="B665" s="95"/>
      <c r="C665" s="54"/>
      <c r="D665" s="83"/>
      <c r="E665" s="96"/>
      <c r="F665" s="42"/>
      <c r="G665" s="97"/>
      <c r="H665" s="96"/>
      <c r="I665" s="96"/>
      <c r="J665" s="98"/>
      <c r="K665" s="99"/>
      <c r="L665" s="96"/>
      <c r="M665" s="42"/>
      <c r="N665" s="42"/>
      <c r="O665" s="42"/>
      <c r="P665" s="83"/>
      <c r="Q665" s="83"/>
      <c r="R665" s="42"/>
      <c r="S665" s="42"/>
      <c r="T665" s="43" t="str">
        <f>IFERROR(__xludf.DUMMYFUNCTION("IFERROR(VLOOKUP(C665,IMPORTRANGE(""https://docs.google.com/spreadsheets/d/1RmEXtNg60OGvqZjyMxiYNPJ6S_kcz01v57qrHugDWVc/edit#gid=0"",""Chegadas!E:AQ""),19,0),"""")"),"")</f>
        <v/>
      </c>
      <c r="U665" s="100"/>
      <c r="V665" s="98"/>
      <c r="W665" s="98"/>
    </row>
    <row r="666" hidden="1">
      <c r="A666" s="95"/>
      <c r="B666" s="95"/>
      <c r="C666" s="54"/>
      <c r="D666" s="83"/>
      <c r="E666" s="96"/>
      <c r="F666" s="42"/>
      <c r="G666" s="97"/>
      <c r="H666" s="96"/>
      <c r="I666" s="96"/>
      <c r="J666" s="98"/>
      <c r="K666" s="99"/>
      <c r="L666" s="96"/>
      <c r="M666" s="42"/>
      <c r="N666" s="42"/>
      <c r="O666" s="42"/>
      <c r="P666" s="83"/>
      <c r="Q666" s="83"/>
      <c r="R666" s="42"/>
      <c r="S666" s="42"/>
      <c r="T666" s="43" t="str">
        <f>IFERROR(__xludf.DUMMYFUNCTION("IFERROR(VLOOKUP(C666,IMPORTRANGE(""https://docs.google.com/spreadsheets/d/1RmEXtNg60OGvqZjyMxiYNPJ6S_kcz01v57qrHugDWVc/edit#gid=0"",""Chegadas!E:AQ""),19,0),"""")"),"")</f>
        <v/>
      </c>
      <c r="U666" s="100"/>
      <c r="V666" s="98"/>
      <c r="W666" s="98"/>
    </row>
    <row r="667" hidden="1">
      <c r="A667" s="95"/>
      <c r="B667" s="95"/>
      <c r="C667" s="54"/>
      <c r="D667" s="83"/>
      <c r="E667" s="96"/>
      <c r="F667" s="42"/>
      <c r="G667" s="97"/>
      <c r="H667" s="96"/>
      <c r="I667" s="96"/>
      <c r="J667" s="98"/>
      <c r="K667" s="99"/>
      <c r="L667" s="96"/>
      <c r="M667" s="42"/>
      <c r="N667" s="42"/>
      <c r="O667" s="42"/>
      <c r="P667" s="83"/>
      <c r="Q667" s="83"/>
      <c r="R667" s="42"/>
      <c r="S667" s="42"/>
      <c r="T667" s="43" t="str">
        <f>IFERROR(__xludf.DUMMYFUNCTION("IFERROR(VLOOKUP(C667,IMPORTRANGE(""https://docs.google.com/spreadsheets/d/1RmEXtNg60OGvqZjyMxiYNPJ6S_kcz01v57qrHugDWVc/edit#gid=0"",""Chegadas!E:AQ""),19,0),"""")"),"")</f>
        <v/>
      </c>
      <c r="U667" s="100"/>
      <c r="V667" s="98"/>
      <c r="W667" s="98"/>
    </row>
    <row r="668" hidden="1">
      <c r="A668" s="95"/>
      <c r="B668" s="95"/>
      <c r="C668" s="54"/>
      <c r="D668" s="83"/>
      <c r="E668" s="96"/>
      <c r="F668" s="42"/>
      <c r="G668" s="97"/>
      <c r="H668" s="96"/>
      <c r="I668" s="96"/>
      <c r="J668" s="98"/>
      <c r="K668" s="99"/>
      <c r="L668" s="96"/>
      <c r="M668" s="42"/>
      <c r="N668" s="42"/>
      <c r="O668" s="42"/>
      <c r="P668" s="83"/>
      <c r="Q668" s="83"/>
      <c r="R668" s="42"/>
      <c r="S668" s="42"/>
      <c r="T668" s="43" t="str">
        <f>IFERROR(__xludf.DUMMYFUNCTION("IFERROR(VLOOKUP(C668,IMPORTRANGE(""https://docs.google.com/spreadsheets/d/1RmEXtNg60OGvqZjyMxiYNPJ6S_kcz01v57qrHugDWVc/edit#gid=0"",""Chegadas!E:AQ""),19,0),"""")"),"")</f>
        <v/>
      </c>
      <c r="U668" s="100"/>
      <c r="V668" s="98"/>
      <c r="W668" s="98"/>
    </row>
    <row r="669" hidden="1">
      <c r="A669" s="95"/>
      <c r="B669" s="95"/>
      <c r="C669" s="54"/>
      <c r="D669" s="83"/>
      <c r="E669" s="96"/>
      <c r="F669" s="42"/>
      <c r="G669" s="97"/>
      <c r="H669" s="96"/>
      <c r="I669" s="96"/>
      <c r="J669" s="98"/>
      <c r="K669" s="99"/>
      <c r="L669" s="96"/>
      <c r="M669" s="42"/>
      <c r="N669" s="42"/>
      <c r="O669" s="42"/>
      <c r="P669" s="83"/>
      <c r="Q669" s="83"/>
      <c r="R669" s="42"/>
      <c r="S669" s="42"/>
      <c r="T669" s="43" t="str">
        <f>IFERROR(__xludf.DUMMYFUNCTION("IFERROR(VLOOKUP(C669,IMPORTRANGE(""https://docs.google.com/spreadsheets/d/1RmEXtNg60OGvqZjyMxiYNPJ6S_kcz01v57qrHugDWVc/edit#gid=0"",""Chegadas!E:AQ""),19,0),"""")"),"")</f>
        <v/>
      </c>
      <c r="U669" s="100"/>
      <c r="V669" s="98"/>
      <c r="W669" s="98"/>
    </row>
    <row r="670" hidden="1">
      <c r="A670" s="95"/>
      <c r="B670" s="95"/>
      <c r="C670" s="54"/>
      <c r="D670" s="83"/>
      <c r="E670" s="96"/>
      <c r="F670" s="42"/>
      <c r="G670" s="97"/>
      <c r="H670" s="96"/>
      <c r="I670" s="96"/>
      <c r="J670" s="98"/>
      <c r="K670" s="99"/>
      <c r="L670" s="96"/>
      <c r="M670" s="42"/>
      <c r="N670" s="42"/>
      <c r="O670" s="42"/>
      <c r="P670" s="83"/>
      <c r="Q670" s="83"/>
      <c r="R670" s="42"/>
      <c r="S670" s="42"/>
      <c r="T670" s="43" t="str">
        <f>IFERROR(__xludf.DUMMYFUNCTION("IFERROR(VLOOKUP(C670,IMPORTRANGE(""https://docs.google.com/spreadsheets/d/1RmEXtNg60OGvqZjyMxiYNPJ6S_kcz01v57qrHugDWVc/edit#gid=0"",""Chegadas!E:AQ""),19,0),"""")"),"")</f>
        <v/>
      </c>
      <c r="U670" s="100"/>
      <c r="V670" s="98"/>
      <c r="W670" s="98"/>
    </row>
    <row r="671" hidden="1">
      <c r="A671" s="95"/>
      <c r="B671" s="95"/>
      <c r="C671" s="54"/>
      <c r="D671" s="83"/>
      <c r="E671" s="96"/>
      <c r="F671" s="42"/>
      <c r="G671" s="97"/>
      <c r="H671" s="96"/>
      <c r="I671" s="96"/>
      <c r="J671" s="98"/>
      <c r="K671" s="99"/>
      <c r="L671" s="96"/>
      <c r="M671" s="42"/>
      <c r="N671" s="42"/>
      <c r="O671" s="42"/>
      <c r="P671" s="83"/>
      <c r="Q671" s="83"/>
      <c r="R671" s="42"/>
      <c r="S671" s="42"/>
      <c r="T671" s="43" t="str">
        <f>IFERROR(__xludf.DUMMYFUNCTION("IFERROR(VLOOKUP(C671,IMPORTRANGE(""https://docs.google.com/spreadsheets/d/1RmEXtNg60OGvqZjyMxiYNPJ6S_kcz01v57qrHugDWVc/edit#gid=0"",""Chegadas!E:AQ""),19,0),"""")"),"")</f>
        <v/>
      </c>
      <c r="U671" s="100"/>
      <c r="V671" s="98"/>
      <c r="W671" s="98"/>
    </row>
    <row r="672" hidden="1">
      <c r="A672" s="95"/>
      <c r="B672" s="95"/>
      <c r="C672" s="54"/>
      <c r="D672" s="83"/>
      <c r="E672" s="96"/>
      <c r="F672" s="42"/>
      <c r="G672" s="97"/>
      <c r="H672" s="96"/>
      <c r="I672" s="96"/>
      <c r="J672" s="98"/>
      <c r="K672" s="99"/>
      <c r="L672" s="96"/>
      <c r="M672" s="42"/>
      <c r="N672" s="42"/>
      <c r="O672" s="42"/>
      <c r="P672" s="83"/>
      <c r="Q672" s="83"/>
      <c r="R672" s="42"/>
      <c r="S672" s="42"/>
      <c r="T672" s="43" t="str">
        <f>IFERROR(__xludf.DUMMYFUNCTION("IFERROR(VLOOKUP(C672,IMPORTRANGE(""https://docs.google.com/spreadsheets/d/1RmEXtNg60OGvqZjyMxiYNPJ6S_kcz01v57qrHugDWVc/edit#gid=0"",""Chegadas!E:AQ""),19,0),"""")"),"")</f>
        <v/>
      </c>
      <c r="U672" s="100"/>
      <c r="V672" s="98"/>
      <c r="W672" s="98"/>
    </row>
    <row r="673" hidden="1">
      <c r="A673" s="95"/>
      <c r="B673" s="95"/>
      <c r="C673" s="54"/>
      <c r="D673" s="83"/>
      <c r="E673" s="96"/>
      <c r="F673" s="42"/>
      <c r="G673" s="97"/>
      <c r="H673" s="96"/>
      <c r="I673" s="96"/>
      <c r="J673" s="98"/>
      <c r="K673" s="99"/>
      <c r="L673" s="96"/>
      <c r="M673" s="42"/>
      <c r="N673" s="42"/>
      <c r="O673" s="42"/>
      <c r="P673" s="83"/>
      <c r="Q673" s="83"/>
      <c r="R673" s="42"/>
      <c r="S673" s="42"/>
      <c r="T673" s="43" t="str">
        <f>IFERROR(__xludf.DUMMYFUNCTION("IFERROR(VLOOKUP(C673,IMPORTRANGE(""https://docs.google.com/spreadsheets/d/1RmEXtNg60OGvqZjyMxiYNPJ6S_kcz01v57qrHugDWVc/edit#gid=0"",""Chegadas!E:AQ""),19,0),"""")"),"")</f>
        <v/>
      </c>
      <c r="U673" s="100"/>
      <c r="V673" s="98"/>
      <c r="W673" s="98"/>
    </row>
    <row r="674" hidden="1">
      <c r="A674" s="95"/>
      <c r="B674" s="95"/>
      <c r="C674" s="54"/>
      <c r="D674" s="83"/>
      <c r="E674" s="96"/>
      <c r="F674" s="42"/>
      <c r="G674" s="97"/>
      <c r="H674" s="96"/>
      <c r="I674" s="96"/>
      <c r="J674" s="98"/>
      <c r="K674" s="99"/>
      <c r="L674" s="96"/>
      <c r="M674" s="42"/>
      <c r="N674" s="42"/>
      <c r="O674" s="42"/>
      <c r="P674" s="83"/>
      <c r="Q674" s="83"/>
      <c r="R674" s="42"/>
      <c r="S674" s="42"/>
      <c r="T674" s="43" t="str">
        <f>IFERROR(__xludf.DUMMYFUNCTION("IFERROR(VLOOKUP(C674,IMPORTRANGE(""https://docs.google.com/spreadsheets/d/1RmEXtNg60OGvqZjyMxiYNPJ6S_kcz01v57qrHugDWVc/edit#gid=0"",""Chegadas!E:AQ""),19,0),"""")"),"")</f>
        <v/>
      </c>
      <c r="U674" s="100"/>
      <c r="V674" s="98"/>
      <c r="W674" s="98"/>
    </row>
    <row r="675" hidden="1">
      <c r="A675" s="95"/>
      <c r="B675" s="95"/>
      <c r="C675" s="54"/>
      <c r="D675" s="83"/>
      <c r="E675" s="96"/>
      <c r="F675" s="42"/>
      <c r="G675" s="97"/>
      <c r="H675" s="96"/>
      <c r="I675" s="96"/>
      <c r="J675" s="98"/>
      <c r="K675" s="99"/>
      <c r="L675" s="96"/>
      <c r="M675" s="42"/>
      <c r="N675" s="42"/>
      <c r="O675" s="42"/>
      <c r="P675" s="83"/>
      <c r="Q675" s="83"/>
      <c r="R675" s="42"/>
      <c r="S675" s="42"/>
      <c r="T675" s="43" t="str">
        <f>IFERROR(__xludf.DUMMYFUNCTION("IFERROR(VLOOKUP(C675,IMPORTRANGE(""https://docs.google.com/spreadsheets/d/1RmEXtNg60OGvqZjyMxiYNPJ6S_kcz01v57qrHugDWVc/edit#gid=0"",""Chegadas!E:AQ""),19,0),"""")"),"")</f>
        <v/>
      </c>
      <c r="U675" s="100"/>
      <c r="V675" s="98"/>
      <c r="W675" s="98"/>
    </row>
    <row r="676" hidden="1">
      <c r="A676" s="95"/>
      <c r="B676" s="95"/>
      <c r="C676" s="54"/>
      <c r="D676" s="83"/>
      <c r="E676" s="96"/>
      <c r="F676" s="42"/>
      <c r="G676" s="97"/>
      <c r="H676" s="96"/>
      <c r="I676" s="96"/>
      <c r="J676" s="98"/>
      <c r="K676" s="99"/>
      <c r="L676" s="96"/>
      <c r="M676" s="42"/>
      <c r="N676" s="42"/>
      <c r="O676" s="42"/>
      <c r="P676" s="83"/>
      <c r="Q676" s="83"/>
      <c r="R676" s="42"/>
      <c r="S676" s="42"/>
      <c r="T676" s="43" t="str">
        <f>IFERROR(__xludf.DUMMYFUNCTION("IFERROR(VLOOKUP(C676,IMPORTRANGE(""https://docs.google.com/spreadsheets/d/1RmEXtNg60OGvqZjyMxiYNPJ6S_kcz01v57qrHugDWVc/edit#gid=0"",""Chegadas!E:AQ""),19,0),"""")"),"")</f>
        <v/>
      </c>
      <c r="U676" s="100"/>
      <c r="V676" s="98"/>
      <c r="W676" s="98"/>
    </row>
    <row r="677" hidden="1">
      <c r="A677" s="95"/>
      <c r="B677" s="95"/>
      <c r="C677" s="54"/>
      <c r="D677" s="83"/>
      <c r="E677" s="96"/>
      <c r="F677" s="42"/>
      <c r="G677" s="97"/>
      <c r="H677" s="96"/>
      <c r="I677" s="96"/>
      <c r="J677" s="98"/>
      <c r="K677" s="99"/>
      <c r="L677" s="96"/>
      <c r="M677" s="42"/>
      <c r="N677" s="42"/>
      <c r="O677" s="42"/>
      <c r="P677" s="83"/>
      <c r="Q677" s="83"/>
      <c r="R677" s="42"/>
      <c r="S677" s="42"/>
      <c r="T677" s="43" t="str">
        <f>IFERROR(__xludf.DUMMYFUNCTION("IFERROR(VLOOKUP(C677,IMPORTRANGE(""https://docs.google.com/spreadsheets/d/1RmEXtNg60OGvqZjyMxiYNPJ6S_kcz01v57qrHugDWVc/edit#gid=0"",""Chegadas!E:AQ""),19,0),"""")"),"")</f>
        <v/>
      </c>
      <c r="U677" s="100"/>
      <c r="V677" s="98"/>
      <c r="W677" s="98"/>
    </row>
    <row r="678" hidden="1">
      <c r="A678" s="95"/>
      <c r="B678" s="95"/>
      <c r="C678" s="54"/>
      <c r="D678" s="83"/>
      <c r="E678" s="96"/>
      <c r="F678" s="42"/>
      <c r="G678" s="97"/>
      <c r="H678" s="96"/>
      <c r="I678" s="96"/>
      <c r="J678" s="98"/>
      <c r="K678" s="99"/>
      <c r="L678" s="96"/>
      <c r="M678" s="42"/>
      <c r="N678" s="42"/>
      <c r="O678" s="42"/>
      <c r="P678" s="83"/>
      <c r="Q678" s="83"/>
      <c r="R678" s="42"/>
      <c r="S678" s="42"/>
      <c r="T678" s="43" t="str">
        <f>IFERROR(__xludf.DUMMYFUNCTION("IFERROR(VLOOKUP(C678,IMPORTRANGE(""https://docs.google.com/spreadsheets/d/1RmEXtNg60OGvqZjyMxiYNPJ6S_kcz01v57qrHugDWVc/edit#gid=0"",""Chegadas!E:AQ""),19,0),"""")"),"")</f>
        <v/>
      </c>
      <c r="U678" s="100"/>
      <c r="V678" s="98"/>
      <c r="W678" s="98"/>
    </row>
    <row r="679" hidden="1">
      <c r="A679" s="95"/>
      <c r="B679" s="95"/>
      <c r="C679" s="54"/>
      <c r="D679" s="83"/>
      <c r="E679" s="96"/>
      <c r="F679" s="42"/>
      <c r="G679" s="97"/>
      <c r="H679" s="96"/>
      <c r="I679" s="96"/>
      <c r="J679" s="98"/>
      <c r="K679" s="99"/>
      <c r="L679" s="96"/>
      <c r="M679" s="42"/>
      <c r="N679" s="42"/>
      <c r="O679" s="42"/>
      <c r="P679" s="83"/>
      <c r="Q679" s="83"/>
      <c r="R679" s="42"/>
      <c r="S679" s="42"/>
      <c r="T679" s="43" t="str">
        <f>IFERROR(__xludf.DUMMYFUNCTION("IFERROR(VLOOKUP(C679,IMPORTRANGE(""https://docs.google.com/spreadsheets/d/1RmEXtNg60OGvqZjyMxiYNPJ6S_kcz01v57qrHugDWVc/edit#gid=0"",""Chegadas!E:AQ""),19,0),"""")"),"")</f>
        <v/>
      </c>
      <c r="U679" s="100"/>
      <c r="V679" s="98"/>
      <c r="W679" s="98"/>
    </row>
    <row r="680" hidden="1">
      <c r="A680" s="95"/>
      <c r="B680" s="95"/>
      <c r="C680" s="54"/>
      <c r="D680" s="83"/>
      <c r="E680" s="96"/>
      <c r="F680" s="42"/>
      <c r="G680" s="97"/>
      <c r="H680" s="96"/>
      <c r="I680" s="96"/>
      <c r="J680" s="98"/>
      <c r="K680" s="99"/>
      <c r="L680" s="96"/>
      <c r="M680" s="42"/>
      <c r="N680" s="42"/>
      <c r="O680" s="42"/>
      <c r="P680" s="83"/>
      <c r="Q680" s="83"/>
      <c r="R680" s="42"/>
      <c r="S680" s="42"/>
      <c r="T680" s="43" t="str">
        <f>IFERROR(__xludf.DUMMYFUNCTION("IFERROR(VLOOKUP(C680,IMPORTRANGE(""https://docs.google.com/spreadsheets/d/1RmEXtNg60OGvqZjyMxiYNPJ6S_kcz01v57qrHugDWVc/edit#gid=0"",""Chegadas!E:AQ""),19,0),"""")"),"")</f>
        <v/>
      </c>
      <c r="U680" s="100"/>
      <c r="V680" s="98"/>
      <c r="W680" s="98"/>
    </row>
    <row r="681" hidden="1">
      <c r="A681" s="95"/>
      <c r="B681" s="95"/>
      <c r="C681" s="54"/>
      <c r="D681" s="83"/>
      <c r="E681" s="96"/>
      <c r="F681" s="42"/>
      <c r="G681" s="97"/>
      <c r="H681" s="96"/>
      <c r="I681" s="96"/>
      <c r="J681" s="98"/>
      <c r="K681" s="99"/>
      <c r="L681" s="96"/>
      <c r="M681" s="42"/>
      <c r="N681" s="42"/>
      <c r="O681" s="42"/>
      <c r="P681" s="83"/>
      <c r="Q681" s="83"/>
      <c r="R681" s="42"/>
      <c r="S681" s="42"/>
      <c r="T681" s="43" t="str">
        <f>IFERROR(__xludf.DUMMYFUNCTION("IFERROR(VLOOKUP(C681,IMPORTRANGE(""https://docs.google.com/spreadsheets/d/1RmEXtNg60OGvqZjyMxiYNPJ6S_kcz01v57qrHugDWVc/edit#gid=0"",""Chegadas!E:AQ""),19,0),"""")"),"")</f>
        <v/>
      </c>
      <c r="U681" s="100"/>
      <c r="V681" s="98"/>
      <c r="W681" s="98"/>
    </row>
    <row r="682" hidden="1">
      <c r="A682" s="95"/>
      <c r="B682" s="95"/>
      <c r="C682" s="54"/>
      <c r="D682" s="83"/>
      <c r="E682" s="96"/>
      <c r="F682" s="42"/>
      <c r="G682" s="97"/>
      <c r="H682" s="96"/>
      <c r="I682" s="96"/>
      <c r="J682" s="98"/>
      <c r="K682" s="99"/>
      <c r="L682" s="96"/>
      <c r="M682" s="42"/>
      <c r="N682" s="42"/>
      <c r="O682" s="42"/>
      <c r="P682" s="83"/>
      <c r="Q682" s="83"/>
      <c r="R682" s="42"/>
      <c r="S682" s="42"/>
      <c r="T682" s="43" t="str">
        <f>IFERROR(__xludf.DUMMYFUNCTION("IFERROR(VLOOKUP(C682,IMPORTRANGE(""https://docs.google.com/spreadsheets/d/1RmEXtNg60OGvqZjyMxiYNPJ6S_kcz01v57qrHugDWVc/edit#gid=0"",""Chegadas!E:AQ""),19,0),"""")"),"")</f>
        <v/>
      </c>
      <c r="U682" s="100"/>
      <c r="V682" s="98"/>
      <c r="W682" s="98"/>
    </row>
    <row r="683" hidden="1">
      <c r="A683" s="95"/>
      <c r="B683" s="95"/>
      <c r="C683" s="54"/>
      <c r="D683" s="83"/>
      <c r="E683" s="96"/>
      <c r="F683" s="42"/>
      <c r="G683" s="97"/>
      <c r="H683" s="96"/>
      <c r="I683" s="96"/>
      <c r="J683" s="98"/>
      <c r="K683" s="99"/>
      <c r="L683" s="96"/>
      <c r="M683" s="42"/>
      <c r="N683" s="42"/>
      <c r="O683" s="42"/>
      <c r="P683" s="83"/>
      <c r="Q683" s="83"/>
      <c r="R683" s="42"/>
      <c r="S683" s="42"/>
      <c r="T683" s="43" t="str">
        <f>IFERROR(__xludf.DUMMYFUNCTION("IFERROR(VLOOKUP(C683,IMPORTRANGE(""https://docs.google.com/spreadsheets/d/1RmEXtNg60OGvqZjyMxiYNPJ6S_kcz01v57qrHugDWVc/edit#gid=0"",""Chegadas!E:AQ""),19,0),"""")"),"")</f>
        <v/>
      </c>
      <c r="U683" s="100"/>
      <c r="V683" s="98"/>
      <c r="W683" s="98"/>
    </row>
    <row r="684" hidden="1">
      <c r="A684" s="95"/>
      <c r="B684" s="95"/>
      <c r="C684" s="54"/>
      <c r="D684" s="83"/>
      <c r="E684" s="96"/>
      <c r="F684" s="42"/>
      <c r="G684" s="97"/>
      <c r="H684" s="96"/>
      <c r="I684" s="96"/>
      <c r="J684" s="98"/>
      <c r="K684" s="99"/>
      <c r="L684" s="96"/>
      <c r="M684" s="42"/>
      <c r="N684" s="42"/>
      <c r="O684" s="42"/>
      <c r="P684" s="83"/>
      <c r="Q684" s="83"/>
      <c r="R684" s="42"/>
      <c r="S684" s="42"/>
      <c r="T684" s="43" t="str">
        <f>IFERROR(__xludf.DUMMYFUNCTION("IFERROR(VLOOKUP(C684,IMPORTRANGE(""https://docs.google.com/spreadsheets/d/1RmEXtNg60OGvqZjyMxiYNPJ6S_kcz01v57qrHugDWVc/edit#gid=0"",""Chegadas!E:AQ""),19,0),"""")"),"")</f>
        <v/>
      </c>
      <c r="U684" s="100"/>
      <c r="V684" s="98"/>
      <c r="W684" s="98"/>
    </row>
    <row r="685" hidden="1">
      <c r="A685" s="95"/>
      <c r="B685" s="95"/>
      <c r="C685" s="54"/>
      <c r="D685" s="83"/>
      <c r="E685" s="96"/>
      <c r="F685" s="42"/>
      <c r="G685" s="97"/>
      <c r="H685" s="96"/>
      <c r="I685" s="96"/>
      <c r="J685" s="98"/>
      <c r="K685" s="99"/>
      <c r="L685" s="96"/>
      <c r="M685" s="42"/>
      <c r="N685" s="42"/>
      <c r="O685" s="42"/>
      <c r="P685" s="83"/>
      <c r="Q685" s="83"/>
      <c r="R685" s="42"/>
      <c r="S685" s="42"/>
      <c r="T685" s="43" t="str">
        <f>IFERROR(__xludf.DUMMYFUNCTION("IFERROR(VLOOKUP(C685,IMPORTRANGE(""https://docs.google.com/spreadsheets/d/1RmEXtNg60OGvqZjyMxiYNPJ6S_kcz01v57qrHugDWVc/edit#gid=0"",""Chegadas!E:AQ""),19,0),"""")"),"")</f>
        <v/>
      </c>
      <c r="U685" s="100"/>
      <c r="V685" s="98"/>
      <c r="W685" s="98"/>
    </row>
    <row r="686" hidden="1">
      <c r="A686" s="95"/>
      <c r="B686" s="95"/>
      <c r="C686" s="54"/>
      <c r="D686" s="83"/>
      <c r="E686" s="96"/>
      <c r="F686" s="42"/>
      <c r="G686" s="97"/>
      <c r="H686" s="96"/>
      <c r="I686" s="96"/>
      <c r="J686" s="98"/>
      <c r="K686" s="99"/>
      <c r="L686" s="96"/>
      <c r="M686" s="42"/>
      <c r="N686" s="42"/>
      <c r="O686" s="42"/>
      <c r="P686" s="83"/>
      <c r="Q686" s="83"/>
      <c r="R686" s="42"/>
      <c r="S686" s="42"/>
      <c r="T686" s="43" t="str">
        <f>IFERROR(__xludf.DUMMYFUNCTION("IFERROR(VLOOKUP(C686,IMPORTRANGE(""https://docs.google.com/spreadsheets/d/1RmEXtNg60OGvqZjyMxiYNPJ6S_kcz01v57qrHugDWVc/edit#gid=0"",""Chegadas!E:AQ""),19,0),"""")"),"")</f>
        <v/>
      </c>
      <c r="U686" s="100"/>
      <c r="V686" s="98"/>
      <c r="W686" s="98"/>
    </row>
    <row r="687" hidden="1">
      <c r="A687" s="95"/>
      <c r="B687" s="95"/>
      <c r="C687" s="54"/>
      <c r="D687" s="83"/>
      <c r="E687" s="96"/>
      <c r="F687" s="42"/>
      <c r="G687" s="97"/>
      <c r="H687" s="96"/>
      <c r="I687" s="96"/>
      <c r="J687" s="98"/>
      <c r="K687" s="99"/>
      <c r="L687" s="96"/>
      <c r="M687" s="42"/>
      <c r="N687" s="42"/>
      <c r="O687" s="42"/>
      <c r="P687" s="83"/>
      <c r="Q687" s="83"/>
      <c r="R687" s="42"/>
      <c r="S687" s="42"/>
      <c r="T687" s="43" t="str">
        <f>IFERROR(__xludf.DUMMYFUNCTION("IFERROR(VLOOKUP(C687,IMPORTRANGE(""https://docs.google.com/spreadsheets/d/1RmEXtNg60OGvqZjyMxiYNPJ6S_kcz01v57qrHugDWVc/edit#gid=0"",""Chegadas!E:AQ""),19,0),"""")"),"")</f>
        <v/>
      </c>
      <c r="U687" s="100"/>
      <c r="V687" s="98"/>
      <c r="W687" s="98"/>
    </row>
    <row r="688" hidden="1">
      <c r="A688" s="95"/>
      <c r="B688" s="95"/>
      <c r="C688" s="54"/>
      <c r="D688" s="83"/>
      <c r="E688" s="96"/>
      <c r="F688" s="42"/>
      <c r="G688" s="97"/>
      <c r="H688" s="96"/>
      <c r="I688" s="96"/>
      <c r="J688" s="98"/>
      <c r="K688" s="99"/>
      <c r="L688" s="96"/>
      <c r="M688" s="42"/>
      <c r="N688" s="42"/>
      <c r="O688" s="42"/>
      <c r="P688" s="83"/>
      <c r="Q688" s="83"/>
      <c r="R688" s="42"/>
      <c r="S688" s="42"/>
      <c r="T688" s="43" t="str">
        <f>IFERROR(__xludf.DUMMYFUNCTION("IFERROR(VLOOKUP(C688,IMPORTRANGE(""https://docs.google.com/spreadsheets/d/1RmEXtNg60OGvqZjyMxiYNPJ6S_kcz01v57qrHugDWVc/edit#gid=0"",""Chegadas!E:AQ""),19,0),"""")"),"")</f>
        <v/>
      </c>
      <c r="U688" s="100"/>
      <c r="V688" s="98"/>
      <c r="W688" s="98"/>
    </row>
    <row r="689" hidden="1">
      <c r="A689" s="95"/>
      <c r="B689" s="95"/>
      <c r="C689" s="54"/>
      <c r="D689" s="83"/>
      <c r="E689" s="96"/>
      <c r="F689" s="42"/>
      <c r="G689" s="97"/>
      <c r="H689" s="96"/>
      <c r="I689" s="96"/>
      <c r="J689" s="98"/>
      <c r="K689" s="99"/>
      <c r="L689" s="96"/>
      <c r="M689" s="42"/>
      <c r="N689" s="42"/>
      <c r="O689" s="42"/>
      <c r="P689" s="83"/>
      <c r="Q689" s="83"/>
      <c r="R689" s="42"/>
      <c r="S689" s="42"/>
      <c r="T689" s="43" t="str">
        <f>IFERROR(__xludf.DUMMYFUNCTION("IFERROR(VLOOKUP(C689,IMPORTRANGE(""https://docs.google.com/spreadsheets/d/1RmEXtNg60OGvqZjyMxiYNPJ6S_kcz01v57qrHugDWVc/edit#gid=0"",""Chegadas!E:AQ""),19,0),"""")"),"")</f>
        <v/>
      </c>
      <c r="U689" s="100"/>
      <c r="V689" s="98"/>
      <c r="W689" s="98"/>
    </row>
    <row r="690" hidden="1">
      <c r="A690" s="95"/>
      <c r="B690" s="95"/>
      <c r="C690" s="54"/>
      <c r="D690" s="83"/>
      <c r="E690" s="96"/>
      <c r="F690" s="42"/>
      <c r="G690" s="97"/>
      <c r="H690" s="96"/>
      <c r="I690" s="96"/>
      <c r="J690" s="98"/>
      <c r="K690" s="99"/>
      <c r="L690" s="96"/>
      <c r="M690" s="42"/>
      <c r="N690" s="42"/>
      <c r="O690" s="42"/>
      <c r="P690" s="83"/>
      <c r="Q690" s="83"/>
      <c r="R690" s="42"/>
      <c r="S690" s="42"/>
      <c r="T690" s="43" t="str">
        <f>IFERROR(__xludf.DUMMYFUNCTION("IFERROR(VLOOKUP(C690,IMPORTRANGE(""https://docs.google.com/spreadsheets/d/1RmEXtNg60OGvqZjyMxiYNPJ6S_kcz01v57qrHugDWVc/edit#gid=0"",""Chegadas!E:AQ""),19,0),"""")"),"")</f>
        <v/>
      </c>
      <c r="U690" s="100"/>
      <c r="V690" s="98"/>
      <c r="W690" s="98"/>
    </row>
    <row r="691" hidden="1">
      <c r="A691" s="95"/>
      <c r="B691" s="95"/>
      <c r="C691" s="54"/>
      <c r="D691" s="83"/>
      <c r="E691" s="96"/>
      <c r="F691" s="42"/>
      <c r="G691" s="97"/>
      <c r="H691" s="96"/>
      <c r="I691" s="96"/>
      <c r="J691" s="98"/>
      <c r="K691" s="99"/>
      <c r="L691" s="96"/>
      <c r="M691" s="42"/>
      <c r="N691" s="42"/>
      <c r="O691" s="42"/>
      <c r="P691" s="83"/>
      <c r="Q691" s="83"/>
      <c r="R691" s="42"/>
      <c r="S691" s="42"/>
      <c r="T691" s="43" t="str">
        <f>IFERROR(__xludf.DUMMYFUNCTION("IFERROR(VLOOKUP(C691,IMPORTRANGE(""https://docs.google.com/spreadsheets/d/1RmEXtNg60OGvqZjyMxiYNPJ6S_kcz01v57qrHugDWVc/edit#gid=0"",""Chegadas!E:AQ""),19,0),"""")"),"")</f>
        <v/>
      </c>
      <c r="U691" s="100"/>
      <c r="V691" s="98"/>
      <c r="W691" s="98"/>
    </row>
    <row r="692" hidden="1">
      <c r="A692" s="95"/>
      <c r="B692" s="95"/>
      <c r="C692" s="54"/>
      <c r="D692" s="83"/>
      <c r="E692" s="96"/>
      <c r="F692" s="42"/>
      <c r="G692" s="97"/>
      <c r="H692" s="96"/>
      <c r="I692" s="96"/>
      <c r="J692" s="98"/>
      <c r="K692" s="99"/>
      <c r="L692" s="96"/>
      <c r="M692" s="42"/>
      <c r="N692" s="42"/>
      <c r="O692" s="42"/>
      <c r="P692" s="83"/>
      <c r="Q692" s="83"/>
      <c r="R692" s="42"/>
      <c r="S692" s="42"/>
      <c r="T692" s="43" t="str">
        <f>IFERROR(__xludf.DUMMYFUNCTION("IFERROR(VLOOKUP(C692,IMPORTRANGE(""https://docs.google.com/spreadsheets/d/1RmEXtNg60OGvqZjyMxiYNPJ6S_kcz01v57qrHugDWVc/edit#gid=0"",""Chegadas!E:AQ""),19,0),"""")"),"")</f>
        <v/>
      </c>
      <c r="U692" s="100"/>
      <c r="V692" s="98"/>
      <c r="W692" s="98"/>
    </row>
    <row r="693" hidden="1">
      <c r="A693" s="95"/>
      <c r="B693" s="95"/>
      <c r="C693" s="54"/>
      <c r="D693" s="83"/>
      <c r="E693" s="96"/>
      <c r="F693" s="42"/>
      <c r="G693" s="97"/>
      <c r="H693" s="96"/>
      <c r="I693" s="96"/>
      <c r="J693" s="98"/>
      <c r="K693" s="99"/>
      <c r="L693" s="96"/>
      <c r="M693" s="42"/>
      <c r="N693" s="42"/>
      <c r="O693" s="42"/>
      <c r="P693" s="83"/>
      <c r="Q693" s="83"/>
      <c r="R693" s="42"/>
      <c r="S693" s="42"/>
      <c r="T693" s="43" t="str">
        <f>IFERROR(__xludf.DUMMYFUNCTION("IFERROR(VLOOKUP(C693,IMPORTRANGE(""https://docs.google.com/spreadsheets/d/1RmEXtNg60OGvqZjyMxiYNPJ6S_kcz01v57qrHugDWVc/edit#gid=0"",""Chegadas!E:AQ""),19,0),"""")"),"")</f>
        <v/>
      </c>
      <c r="U693" s="100"/>
      <c r="V693" s="98"/>
      <c r="W693" s="98"/>
    </row>
    <row r="694" hidden="1">
      <c r="A694" s="95"/>
      <c r="B694" s="95"/>
      <c r="C694" s="54"/>
      <c r="D694" s="83"/>
      <c r="E694" s="96"/>
      <c r="F694" s="42"/>
      <c r="G694" s="97"/>
      <c r="H694" s="96"/>
      <c r="I694" s="96"/>
      <c r="J694" s="98"/>
      <c r="K694" s="99"/>
      <c r="L694" s="96"/>
      <c r="M694" s="42"/>
      <c r="N694" s="42"/>
      <c r="O694" s="42"/>
      <c r="P694" s="83"/>
      <c r="Q694" s="83"/>
      <c r="R694" s="42"/>
      <c r="S694" s="42"/>
      <c r="T694" s="43" t="str">
        <f>IFERROR(__xludf.DUMMYFUNCTION("IFERROR(VLOOKUP(C694,IMPORTRANGE(""https://docs.google.com/spreadsheets/d/1RmEXtNg60OGvqZjyMxiYNPJ6S_kcz01v57qrHugDWVc/edit#gid=0"",""Chegadas!E:AQ""),19,0),"""")"),"")</f>
        <v/>
      </c>
      <c r="U694" s="100"/>
      <c r="V694" s="98"/>
      <c r="W694" s="98"/>
    </row>
    <row r="695" hidden="1">
      <c r="A695" s="95"/>
      <c r="B695" s="95"/>
      <c r="C695" s="54"/>
      <c r="D695" s="83"/>
      <c r="E695" s="96"/>
      <c r="F695" s="42"/>
      <c r="G695" s="97"/>
      <c r="H695" s="96"/>
      <c r="I695" s="96"/>
      <c r="J695" s="98"/>
      <c r="K695" s="99"/>
      <c r="L695" s="96"/>
      <c r="M695" s="42"/>
      <c r="N695" s="42"/>
      <c r="O695" s="42"/>
      <c r="P695" s="83"/>
      <c r="Q695" s="83"/>
      <c r="R695" s="42"/>
      <c r="S695" s="42"/>
      <c r="T695" s="43" t="str">
        <f>IFERROR(__xludf.DUMMYFUNCTION("IFERROR(VLOOKUP(C695,IMPORTRANGE(""https://docs.google.com/spreadsheets/d/1RmEXtNg60OGvqZjyMxiYNPJ6S_kcz01v57qrHugDWVc/edit#gid=0"",""Chegadas!E:AQ""),19,0),"""")"),"")</f>
        <v/>
      </c>
      <c r="U695" s="100"/>
      <c r="V695" s="98"/>
      <c r="W695" s="98"/>
    </row>
    <row r="696" hidden="1">
      <c r="A696" s="95"/>
      <c r="B696" s="95"/>
      <c r="C696" s="54"/>
      <c r="D696" s="83"/>
      <c r="E696" s="96"/>
      <c r="F696" s="42"/>
      <c r="G696" s="97"/>
      <c r="H696" s="96"/>
      <c r="I696" s="96"/>
      <c r="J696" s="98"/>
      <c r="K696" s="99"/>
      <c r="L696" s="96"/>
      <c r="M696" s="42"/>
      <c r="N696" s="42"/>
      <c r="O696" s="42"/>
      <c r="P696" s="83"/>
      <c r="Q696" s="83"/>
      <c r="R696" s="42"/>
      <c r="S696" s="42"/>
      <c r="T696" s="43" t="str">
        <f>IFERROR(__xludf.DUMMYFUNCTION("IFERROR(VLOOKUP(C696,IMPORTRANGE(""https://docs.google.com/spreadsheets/d/1RmEXtNg60OGvqZjyMxiYNPJ6S_kcz01v57qrHugDWVc/edit#gid=0"",""Chegadas!E:AQ""),19,0),"""")"),"")</f>
        <v/>
      </c>
      <c r="U696" s="100"/>
      <c r="V696" s="98"/>
      <c r="W696" s="98"/>
    </row>
    <row r="697" hidden="1">
      <c r="A697" s="95"/>
      <c r="B697" s="95"/>
      <c r="C697" s="54"/>
      <c r="D697" s="83"/>
      <c r="E697" s="96"/>
      <c r="F697" s="42"/>
      <c r="G697" s="97"/>
      <c r="H697" s="96"/>
      <c r="I697" s="96"/>
      <c r="J697" s="98"/>
      <c r="K697" s="99"/>
      <c r="L697" s="96"/>
      <c r="M697" s="42"/>
      <c r="N697" s="42"/>
      <c r="O697" s="42"/>
      <c r="P697" s="83"/>
      <c r="Q697" s="83"/>
      <c r="R697" s="42"/>
      <c r="S697" s="42"/>
      <c r="T697" s="43" t="str">
        <f>IFERROR(__xludf.DUMMYFUNCTION("IFERROR(VLOOKUP(C697,IMPORTRANGE(""https://docs.google.com/spreadsheets/d/1RmEXtNg60OGvqZjyMxiYNPJ6S_kcz01v57qrHugDWVc/edit#gid=0"",""Chegadas!E:AQ""),19,0),"""")"),"")</f>
        <v/>
      </c>
      <c r="U697" s="100"/>
      <c r="V697" s="98"/>
      <c r="W697" s="98"/>
    </row>
    <row r="698" hidden="1">
      <c r="A698" s="95"/>
      <c r="B698" s="95"/>
      <c r="C698" s="54"/>
      <c r="D698" s="83"/>
      <c r="E698" s="96"/>
      <c r="F698" s="42"/>
      <c r="G698" s="97"/>
      <c r="H698" s="96"/>
      <c r="I698" s="96"/>
      <c r="J698" s="98"/>
      <c r="K698" s="99"/>
      <c r="L698" s="96"/>
      <c r="M698" s="42"/>
      <c r="N698" s="42"/>
      <c r="O698" s="42"/>
      <c r="P698" s="83"/>
      <c r="Q698" s="83"/>
      <c r="R698" s="42"/>
      <c r="S698" s="42"/>
      <c r="T698" s="43" t="str">
        <f>IFERROR(__xludf.DUMMYFUNCTION("IFERROR(VLOOKUP(C698,IMPORTRANGE(""https://docs.google.com/spreadsheets/d/1RmEXtNg60OGvqZjyMxiYNPJ6S_kcz01v57qrHugDWVc/edit#gid=0"",""Chegadas!E:AQ""),19,0),"""")"),"")</f>
        <v/>
      </c>
      <c r="U698" s="100"/>
      <c r="V698" s="98"/>
      <c r="W698" s="98"/>
    </row>
    <row r="699" hidden="1">
      <c r="A699" s="95"/>
      <c r="B699" s="95"/>
      <c r="C699" s="54"/>
      <c r="D699" s="83"/>
      <c r="E699" s="96"/>
      <c r="F699" s="42"/>
      <c r="G699" s="97"/>
      <c r="H699" s="96"/>
      <c r="I699" s="96"/>
      <c r="J699" s="98"/>
      <c r="K699" s="99"/>
      <c r="L699" s="96"/>
      <c r="M699" s="42"/>
      <c r="N699" s="42"/>
      <c r="O699" s="42"/>
      <c r="P699" s="83"/>
      <c r="Q699" s="83"/>
      <c r="R699" s="42"/>
      <c r="S699" s="42"/>
      <c r="T699" s="43" t="str">
        <f>IFERROR(__xludf.DUMMYFUNCTION("IFERROR(VLOOKUP(C699,IMPORTRANGE(""https://docs.google.com/spreadsheets/d/1RmEXtNg60OGvqZjyMxiYNPJ6S_kcz01v57qrHugDWVc/edit#gid=0"",""Chegadas!E:AQ""),19,0),"""")"),"")</f>
        <v/>
      </c>
      <c r="U699" s="100"/>
      <c r="V699" s="98"/>
      <c r="W699" s="98"/>
    </row>
    <row r="700" hidden="1">
      <c r="A700" s="95"/>
      <c r="B700" s="95"/>
      <c r="C700" s="54"/>
      <c r="D700" s="83"/>
      <c r="E700" s="96"/>
      <c r="F700" s="42"/>
      <c r="G700" s="97"/>
      <c r="H700" s="96"/>
      <c r="I700" s="96"/>
      <c r="J700" s="98"/>
      <c r="K700" s="99"/>
      <c r="L700" s="96"/>
      <c r="M700" s="42"/>
      <c r="N700" s="42"/>
      <c r="O700" s="42"/>
      <c r="P700" s="83"/>
      <c r="Q700" s="83"/>
      <c r="R700" s="42"/>
      <c r="S700" s="42"/>
      <c r="T700" s="43" t="str">
        <f>IFERROR(__xludf.DUMMYFUNCTION("IFERROR(VLOOKUP(C700,IMPORTRANGE(""https://docs.google.com/spreadsheets/d/1RmEXtNg60OGvqZjyMxiYNPJ6S_kcz01v57qrHugDWVc/edit#gid=0"",""Chegadas!E:AQ""),19,0),"""")"),"")</f>
        <v/>
      </c>
      <c r="U700" s="100"/>
      <c r="V700" s="98"/>
      <c r="W700" s="98"/>
    </row>
    <row r="701" hidden="1">
      <c r="A701" s="95"/>
      <c r="B701" s="95"/>
      <c r="C701" s="54"/>
      <c r="D701" s="83"/>
      <c r="E701" s="96"/>
      <c r="F701" s="42"/>
      <c r="G701" s="97"/>
      <c r="H701" s="96"/>
      <c r="I701" s="96"/>
      <c r="J701" s="98"/>
      <c r="K701" s="99"/>
      <c r="L701" s="96"/>
      <c r="M701" s="42"/>
      <c r="N701" s="42"/>
      <c r="O701" s="42"/>
      <c r="P701" s="83"/>
      <c r="Q701" s="83"/>
      <c r="R701" s="42"/>
      <c r="S701" s="42"/>
      <c r="T701" s="43" t="str">
        <f>IFERROR(__xludf.DUMMYFUNCTION("IFERROR(VLOOKUP(C701,IMPORTRANGE(""https://docs.google.com/spreadsheets/d/1RmEXtNg60OGvqZjyMxiYNPJ6S_kcz01v57qrHugDWVc/edit#gid=0"",""Chegadas!E:AQ""),19,0),"""")"),"")</f>
        <v/>
      </c>
      <c r="U701" s="100"/>
      <c r="V701" s="98"/>
      <c r="W701" s="98"/>
    </row>
    <row r="702" hidden="1">
      <c r="A702" s="95"/>
      <c r="B702" s="95"/>
      <c r="C702" s="54"/>
      <c r="D702" s="83"/>
      <c r="E702" s="96"/>
      <c r="F702" s="42"/>
      <c r="G702" s="97"/>
      <c r="H702" s="96"/>
      <c r="I702" s="96"/>
      <c r="J702" s="98"/>
      <c r="K702" s="99"/>
      <c r="L702" s="96"/>
      <c r="M702" s="42"/>
      <c r="N702" s="42"/>
      <c r="O702" s="42"/>
      <c r="P702" s="83"/>
      <c r="Q702" s="83"/>
      <c r="R702" s="42"/>
      <c r="S702" s="42"/>
      <c r="T702" s="43" t="str">
        <f>IFERROR(__xludf.DUMMYFUNCTION("IFERROR(VLOOKUP(C702,IMPORTRANGE(""https://docs.google.com/spreadsheets/d/1RmEXtNg60OGvqZjyMxiYNPJ6S_kcz01v57qrHugDWVc/edit#gid=0"",""Chegadas!E:AQ""),19,0),"""")"),"")</f>
        <v/>
      </c>
      <c r="U702" s="100"/>
      <c r="V702" s="98"/>
      <c r="W702" s="98"/>
    </row>
    <row r="703" hidden="1">
      <c r="A703" s="95"/>
      <c r="B703" s="95"/>
      <c r="C703" s="54"/>
      <c r="D703" s="83"/>
      <c r="E703" s="96"/>
      <c r="F703" s="42"/>
      <c r="G703" s="97"/>
      <c r="H703" s="96"/>
      <c r="I703" s="96"/>
      <c r="J703" s="98"/>
      <c r="K703" s="99"/>
      <c r="L703" s="96"/>
      <c r="M703" s="42"/>
      <c r="N703" s="42"/>
      <c r="O703" s="42"/>
      <c r="P703" s="83"/>
      <c r="Q703" s="83"/>
      <c r="R703" s="42"/>
      <c r="S703" s="42"/>
      <c r="T703" s="43" t="str">
        <f>IFERROR(__xludf.DUMMYFUNCTION("IFERROR(VLOOKUP(C703,IMPORTRANGE(""https://docs.google.com/spreadsheets/d/1RmEXtNg60OGvqZjyMxiYNPJ6S_kcz01v57qrHugDWVc/edit#gid=0"",""Chegadas!E:AQ""),19,0),"""")"),"")</f>
        <v/>
      </c>
      <c r="U703" s="100"/>
      <c r="V703" s="98"/>
      <c r="W703" s="98"/>
    </row>
    <row r="704" hidden="1">
      <c r="A704" s="95"/>
      <c r="B704" s="95"/>
      <c r="C704" s="54"/>
      <c r="D704" s="83"/>
      <c r="E704" s="96"/>
      <c r="F704" s="42"/>
      <c r="G704" s="97"/>
      <c r="H704" s="96"/>
      <c r="I704" s="96"/>
      <c r="J704" s="98"/>
      <c r="K704" s="99"/>
      <c r="L704" s="96"/>
      <c r="M704" s="42"/>
      <c r="N704" s="42"/>
      <c r="O704" s="42"/>
      <c r="P704" s="83"/>
      <c r="Q704" s="83"/>
      <c r="R704" s="42"/>
      <c r="S704" s="42"/>
      <c r="T704" s="43" t="str">
        <f>IFERROR(__xludf.DUMMYFUNCTION("IFERROR(VLOOKUP(C704,IMPORTRANGE(""https://docs.google.com/spreadsheets/d/1RmEXtNg60OGvqZjyMxiYNPJ6S_kcz01v57qrHugDWVc/edit#gid=0"",""Chegadas!E:AQ""),19,0),"""")"),"")</f>
        <v/>
      </c>
      <c r="U704" s="100"/>
      <c r="V704" s="98"/>
      <c r="W704" s="98"/>
    </row>
    <row r="705" hidden="1">
      <c r="A705" s="95"/>
      <c r="B705" s="95"/>
      <c r="C705" s="54"/>
      <c r="D705" s="83"/>
      <c r="E705" s="96"/>
      <c r="F705" s="42"/>
      <c r="G705" s="97"/>
      <c r="H705" s="96"/>
      <c r="I705" s="96"/>
      <c r="J705" s="98"/>
      <c r="K705" s="99"/>
      <c r="L705" s="96"/>
      <c r="M705" s="42"/>
      <c r="N705" s="42"/>
      <c r="O705" s="42"/>
      <c r="P705" s="83"/>
      <c r="Q705" s="83"/>
      <c r="R705" s="42"/>
      <c r="S705" s="42"/>
      <c r="T705" s="43" t="str">
        <f>IFERROR(__xludf.DUMMYFUNCTION("IFERROR(VLOOKUP(C705,IMPORTRANGE(""https://docs.google.com/spreadsheets/d/1RmEXtNg60OGvqZjyMxiYNPJ6S_kcz01v57qrHugDWVc/edit#gid=0"",""Chegadas!E:AQ""),19,0),"""")"),"")</f>
        <v/>
      </c>
      <c r="U705" s="100"/>
      <c r="V705" s="98"/>
      <c r="W705" s="98"/>
    </row>
    <row r="706" hidden="1">
      <c r="A706" s="95"/>
      <c r="B706" s="95"/>
      <c r="C706" s="54"/>
      <c r="D706" s="83"/>
      <c r="E706" s="96"/>
      <c r="F706" s="42"/>
      <c r="G706" s="97"/>
      <c r="H706" s="96"/>
      <c r="I706" s="96"/>
      <c r="J706" s="98"/>
      <c r="K706" s="99"/>
      <c r="L706" s="96"/>
      <c r="M706" s="42"/>
      <c r="N706" s="42"/>
      <c r="O706" s="42"/>
      <c r="P706" s="83"/>
      <c r="Q706" s="83"/>
      <c r="R706" s="42"/>
      <c r="S706" s="42"/>
      <c r="T706" s="43" t="str">
        <f>IFERROR(__xludf.DUMMYFUNCTION("IFERROR(VLOOKUP(C706,IMPORTRANGE(""https://docs.google.com/spreadsheets/d/1RmEXtNg60OGvqZjyMxiYNPJ6S_kcz01v57qrHugDWVc/edit#gid=0"",""Chegadas!E:AQ""),19,0),"""")"),"")</f>
        <v/>
      </c>
      <c r="U706" s="100"/>
      <c r="V706" s="98"/>
      <c r="W706" s="98"/>
    </row>
    <row r="707" hidden="1">
      <c r="A707" s="95"/>
      <c r="B707" s="95"/>
      <c r="C707" s="54"/>
      <c r="D707" s="83"/>
      <c r="E707" s="96"/>
      <c r="F707" s="42"/>
      <c r="G707" s="97"/>
      <c r="H707" s="96"/>
      <c r="I707" s="96"/>
      <c r="J707" s="98"/>
      <c r="K707" s="99"/>
      <c r="L707" s="96"/>
      <c r="M707" s="42"/>
      <c r="N707" s="42"/>
      <c r="O707" s="42"/>
      <c r="P707" s="83"/>
      <c r="Q707" s="83"/>
      <c r="R707" s="42"/>
      <c r="S707" s="42"/>
      <c r="T707" s="43" t="str">
        <f>IFERROR(__xludf.DUMMYFUNCTION("IFERROR(VLOOKUP(C707,IMPORTRANGE(""https://docs.google.com/spreadsheets/d/1RmEXtNg60OGvqZjyMxiYNPJ6S_kcz01v57qrHugDWVc/edit#gid=0"",""Chegadas!E:AQ""),19,0),"""")"),"")</f>
        <v/>
      </c>
      <c r="U707" s="100"/>
      <c r="V707" s="98"/>
      <c r="W707" s="98"/>
    </row>
    <row r="708" hidden="1">
      <c r="A708" s="95"/>
      <c r="B708" s="95"/>
      <c r="C708" s="54"/>
      <c r="D708" s="83"/>
      <c r="E708" s="96"/>
      <c r="F708" s="42"/>
      <c r="G708" s="97"/>
      <c r="H708" s="96"/>
      <c r="I708" s="96"/>
      <c r="J708" s="98"/>
      <c r="K708" s="99"/>
      <c r="L708" s="96"/>
      <c r="M708" s="42"/>
      <c r="N708" s="42"/>
      <c r="O708" s="42"/>
      <c r="P708" s="83"/>
      <c r="Q708" s="83"/>
      <c r="R708" s="42"/>
      <c r="S708" s="42"/>
      <c r="T708" s="43" t="str">
        <f>IFERROR(__xludf.DUMMYFUNCTION("IFERROR(VLOOKUP(C708,IMPORTRANGE(""https://docs.google.com/spreadsheets/d/1RmEXtNg60OGvqZjyMxiYNPJ6S_kcz01v57qrHugDWVc/edit#gid=0"",""Chegadas!E:AQ""),19,0),"""")"),"")</f>
        <v/>
      </c>
      <c r="U708" s="100"/>
      <c r="V708" s="98"/>
      <c r="W708" s="98"/>
    </row>
    <row r="709" hidden="1">
      <c r="A709" s="95"/>
      <c r="B709" s="95"/>
      <c r="C709" s="54"/>
      <c r="D709" s="83"/>
      <c r="E709" s="96"/>
      <c r="F709" s="42"/>
      <c r="G709" s="97"/>
      <c r="H709" s="96"/>
      <c r="I709" s="96"/>
      <c r="J709" s="98"/>
      <c r="K709" s="99"/>
      <c r="L709" s="96"/>
      <c r="M709" s="42"/>
      <c r="N709" s="42"/>
      <c r="O709" s="42"/>
      <c r="P709" s="83"/>
      <c r="Q709" s="83"/>
      <c r="R709" s="42"/>
      <c r="S709" s="42"/>
      <c r="T709" s="43" t="str">
        <f>IFERROR(__xludf.DUMMYFUNCTION("IFERROR(VLOOKUP(C709,IMPORTRANGE(""https://docs.google.com/spreadsheets/d/1RmEXtNg60OGvqZjyMxiYNPJ6S_kcz01v57qrHugDWVc/edit#gid=0"",""Chegadas!E:AQ""),19,0),"""")"),"")</f>
        <v/>
      </c>
      <c r="U709" s="100"/>
      <c r="V709" s="98"/>
      <c r="W709" s="98"/>
    </row>
    <row r="710" hidden="1">
      <c r="A710" s="95"/>
      <c r="B710" s="95"/>
      <c r="C710" s="54"/>
      <c r="D710" s="83"/>
      <c r="E710" s="96"/>
      <c r="F710" s="42"/>
      <c r="G710" s="97"/>
      <c r="H710" s="96"/>
      <c r="I710" s="96"/>
      <c r="J710" s="98"/>
      <c r="K710" s="99"/>
      <c r="L710" s="96"/>
      <c r="M710" s="42"/>
      <c r="N710" s="42"/>
      <c r="O710" s="42"/>
      <c r="P710" s="83"/>
      <c r="Q710" s="83"/>
      <c r="R710" s="42"/>
      <c r="S710" s="42"/>
      <c r="T710" s="43" t="str">
        <f>IFERROR(__xludf.DUMMYFUNCTION("IFERROR(VLOOKUP(C710,IMPORTRANGE(""https://docs.google.com/spreadsheets/d/1RmEXtNg60OGvqZjyMxiYNPJ6S_kcz01v57qrHugDWVc/edit#gid=0"",""Chegadas!E:AQ""),19,0),"""")"),"")</f>
        <v/>
      </c>
      <c r="U710" s="100"/>
      <c r="V710" s="98"/>
      <c r="W710" s="98"/>
    </row>
    <row r="711" hidden="1">
      <c r="A711" s="95"/>
      <c r="B711" s="95"/>
      <c r="C711" s="54"/>
      <c r="D711" s="83"/>
      <c r="E711" s="96"/>
      <c r="F711" s="42"/>
      <c r="G711" s="97"/>
      <c r="H711" s="96"/>
      <c r="I711" s="96"/>
      <c r="J711" s="98"/>
      <c r="K711" s="99"/>
      <c r="L711" s="96"/>
      <c r="M711" s="42"/>
      <c r="N711" s="42"/>
      <c r="O711" s="42"/>
      <c r="P711" s="83"/>
      <c r="Q711" s="83"/>
      <c r="R711" s="42"/>
      <c r="S711" s="42"/>
      <c r="T711" s="43" t="str">
        <f>IFERROR(__xludf.DUMMYFUNCTION("IFERROR(VLOOKUP(C711,IMPORTRANGE(""https://docs.google.com/spreadsheets/d/1RmEXtNg60OGvqZjyMxiYNPJ6S_kcz01v57qrHugDWVc/edit#gid=0"",""Chegadas!E:AQ""),19,0),"""")"),"")</f>
        <v/>
      </c>
      <c r="U711" s="100"/>
      <c r="V711" s="98"/>
      <c r="W711" s="98"/>
    </row>
    <row r="712" hidden="1">
      <c r="A712" s="95"/>
      <c r="B712" s="95"/>
      <c r="C712" s="54"/>
      <c r="D712" s="83"/>
      <c r="E712" s="96"/>
      <c r="F712" s="42"/>
      <c r="G712" s="97"/>
      <c r="H712" s="96"/>
      <c r="I712" s="96"/>
      <c r="J712" s="98"/>
      <c r="K712" s="99"/>
      <c r="L712" s="96"/>
      <c r="M712" s="42"/>
      <c r="N712" s="42"/>
      <c r="O712" s="42"/>
      <c r="P712" s="83"/>
      <c r="Q712" s="83"/>
      <c r="R712" s="42"/>
      <c r="S712" s="42"/>
      <c r="T712" s="43" t="str">
        <f>IFERROR(__xludf.DUMMYFUNCTION("IFERROR(VLOOKUP(C712,IMPORTRANGE(""https://docs.google.com/spreadsheets/d/1RmEXtNg60OGvqZjyMxiYNPJ6S_kcz01v57qrHugDWVc/edit#gid=0"",""Chegadas!E:AQ""),19,0),"""")"),"")</f>
        <v/>
      </c>
      <c r="U712" s="100"/>
      <c r="V712" s="98"/>
      <c r="W712" s="98"/>
    </row>
    <row r="713" hidden="1">
      <c r="A713" s="95"/>
      <c r="B713" s="95"/>
      <c r="C713" s="54"/>
      <c r="D713" s="83"/>
      <c r="E713" s="96"/>
      <c r="F713" s="42"/>
      <c r="G713" s="97"/>
      <c r="H713" s="96"/>
      <c r="I713" s="96"/>
      <c r="J713" s="98"/>
      <c r="K713" s="99"/>
      <c r="L713" s="96"/>
      <c r="M713" s="42"/>
      <c r="N713" s="42"/>
      <c r="O713" s="42"/>
      <c r="P713" s="83"/>
      <c r="Q713" s="83"/>
      <c r="R713" s="42"/>
      <c r="S713" s="42"/>
      <c r="T713" s="43" t="str">
        <f>IFERROR(__xludf.DUMMYFUNCTION("IFERROR(VLOOKUP(C713,IMPORTRANGE(""https://docs.google.com/spreadsheets/d/1RmEXtNg60OGvqZjyMxiYNPJ6S_kcz01v57qrHugDWVc/edit#gid=0"",""Chegadas!E:AQ""),19,0),"""")"),"")</f>
        <v/>
      </c>
      <c r="U713" s="100"/>
      <c r="V713" s="98"/>
      <c r="W713" s="98"/>
    </row>
    <row r="714" hidden="1">
      <c r="A714" s="95"/>
      <c r="B714" s="95"/>
      <c r="C714" s="54"/>
      <c r="D714" s="83"/>
      <c r="E714" s="96"/>
      <c r="F714" s="42"/>
      <c r="G714" s="97"/>
      <c r="H714" s="96"/>
      <c r="I714" s="96"/>
      <c r="J714" s="98"/>
      <c r="K714" s="99"/>
      <c r="L714" s="96"/>
      <c r="M714" s="42"/>
      <c r="N714" s="42"/>
      <c r="O714" s="42"/>
      <c r="P714" s="83"/>
      <c r="Q714" s="83"/>
      <c r="R714" s="42"/>
      <c r="S714" s="42"/>
      <c r="T714" s="43" t="str">
        <f>IFERROR(__xludf.DUMMYFUNCTION("IFERROR(VLOOKUP(C714,IMPORTRANGE(""https://docs.google.com/spreadsheets/d/1RmEXtNg60OGvqZjyMxiYNPJ6S_kcz01v57qrHugDWVc/edit#gid=0"",""Chegadas!E:AQ""),19,0),"""")"),"")</f>
        <v/>
      </c>
      <c r="U714" s="100"/>
      <c r="V714" s="98"/>
      <c r="W714" s="98"/>
    </row>
    <row r="715" hidden="1">
      <c r="A715" s="95"/>
      <c r="B715" s="95"/>
      <c r="C715" s="54"/>
      <c r="D715" s="83"/>
      <c r="E715" s="96"/>
      <c r="F715" s="42"/>
      <c r="G715" s="97"/>
      <c r="H715" s="96"/>
      <c r="I715" s="96"/>
      <c r="J715" s="98"/>
      <c r="K715" s="99"/>
      <c r="L715" s="96"/>
      <c r="M715" s="42"/>
      <c r="N715" s="42"/>
      <c r="O715" s="42"/>
      <c r="P715" s="83"/>
      <c r="Q715" s="83"/>
      <c r="R715" s="42"/>
      <c r="S715" s="42"/>
      <c r="T715" s="43" t="str">
        <f>IFERROR(__xludf.DUMMYFUNCTION("IFERROR(VLOOKUP(C715,IMPORTRANGE(""https://docs.google.com/spreadsheets/d/1RmEXtNg60OGvqZjyMxiYNPJ6S_kcz01v57qrHugDWVc/edit#gid=0"",""Chegadas!E:AQ""),19,0),"""")"),"")</f>
        <v/>
      </c>
      <c r="U715" s="100"/>
      <c r="V715" s="98"/>
      <c r="W715" s="98"/>
    </row>
    <row r="716" hidden="1">
      <c r="A716" s="95"/>
      <c r="B716" s="95"/>
      <c r="C716" s="54"/>
      <c r="D716" s="83"/>
      <c r="E716" s="96"/>
      <c r="F716" s="42"/>
      <c r="G716" s="97"/>
      <c r="H716" s="96"/>
      <c r="I716" s="96"/>
      <c r="J716" s="98"/>
      <c r="K716" s="99"/>
      <c r="L716" s="96"/>
      <c r="M716" s="42"/>
      <c r="N716" s="42"/>
      <c r="O716" s="42"/>
      <c r="P716" s="83"/>
      <c r="Q716" s="83"/>
      <c r="R716" s="42"/>
      <c r="S716" s="42"/>
      <c r="T716" s="43" t="str">
        <f>IFERROR(__xludf.DUMMYFUNCTION("IFERROR(VLOOKUP(C716,IMPORTRANGE(""https://docs.google.com/spreadsheets/d/1RmEXtNg60OGvqZjyMxiYNPJ6S_kcz01v57qrHugDWVc/edit#gid=0"",""Chegadas!E:AQ""),19,0),"""")"),"")</f>
        <v/>
      </c>
      <c r="U716" s="100"/>
      <c r="V716" s="98"/>
      <c r="W716" s="98"/>
    </row>
    <row r="717" hidden="1">
      <c r="A717" s="95"/>
      <c r="B717" s="95"/>
      <c r="C717" s="54"/>
      <c r="D717" s="83"/>
      <c r="E717" s="96"/>
      <c r="F717" s="42"/>
      <c r="G717" s="97"/>
      <c r="H717" s="96"/>
      <c r="I717" s="96"/>
      <c r="J717" s="98"/>
      <c r="K717" s="99"/>
      <c r="L717" s="96"/>
      <c r="M717" s="42"/>
      <c r="N717" s="42"/>
      <c r="O717" s="42"/>
      <c r="P717" s="83"/>
      <c r="Q717" s="83"/>
      <c r="R717" s="42"/>
      <c r="S717" s="42"/>
      <c r="T717" s="43" t="str">
        <f>IFERROR(__xludf.DUMMYFUNCTION("IFERROR(VLOOKUP(C717,IMPORTRANGE(""https://docs.google.com/spreadsheets/d/1RmEXtNg60OGvqZjyMxiYNPJ6S_kcz01v57qrHugDWVc/edit#gid=0"",""Chegadas!E:AQ""),19,0),"""")"),"")</f>
        <v/>
      </c>
      <c r="U717" s="100"/>
      <c r="V717" s="98"/>
      <c r="W717" s="98"/>
    </row>
    <row r="718" hidden="1">
      <c r="A718" s="95"/>
      <c r="B718" s="95"/>
      <c r="C718" s="54"/>
      <c r="D718" s="83"/>
      <c r="E718" s="96"/>
      <c r="F718" s="42"/>
      <c r="G718" s="97"/>
      <c r="H718" s="96"/>
      <c r="I718" s="96"/>
      <c r="J718" s="98"/>
      <c r="K718" s="99"/>
      <c r="L718" s="96"/>
      <c r="M718" s="42"/>
      <c r="N718" s="42"/>
      <c r="O718" s="42"/>
      <c r="P718" s="83"/>
      <c r="Q718" s="83"/>
      <c r="R718" s="42"/>
      <c r="S718" s="42"/>
      <c r="T718" s="43" t="str">
        <f>IFERROR(__xludf.DUMMYFUNCTION("IFERROR(VLOOKUP(C718,IMPORTRANGE(""https://docs.google.com/spreadsheets/d/1RmEXtNg60OGvqZjyMxiYNPJ6S_kcz01v57qrHugDWVc/edit#gid=0"",""Chegadas!E:AQ""),19,0),"""")"),"")</f>
        <v/>
      </c>
      <c r="U718" s="100"/>
      <c r="V718" s="98"/>
      <c r="W718" s="98"/>
    </row>
    <row r="719" hidden="1">
      <c r="A719" s="95"/>
      <c r="B719" s="95"/>
      <c r="C719" s="54"/>
      <c r="D719" s="83"/>
      <c r="E719" s="96"/>
      <c r="F719" s="42"/>
      <c r="G719" s="97"/>
      <c r="H719" s="96"/>
      <c r="I719" s="96"/>
      <c r="J719" s="98"/>
      <c r="K719" s="99"/>
      <c r="L719" s="96"/>
      <c r="M719" s="42"/>
      <c r="N719" s="42"/>
      <c r="O719" s="42"/>
      <c r="P719" s="83"/>
      <c r="Q719" s="83"/>
      <c r="R719" s="42"/>
      <c r="S719" s="42"/>
      <c r="T719" s="43" t="str">
        <f>IFERROR(__xludf.DUMMYFUNCTION("IFERROR(VLOOKUP(C719,IMPORTRANGE(""https://docs.google.com/spreadsheets/d/1RmEXtNg60OGvqZjyMxiYNPJ6S_kcz01v57qrHugDWVc/edit#gid=0"",""Chegadas!E:AQ""),19,0),"""")"),"")</f>
        <v/>
      </c>
      <c r="U719" s="100"/>
      <c r="V719" s="98"/>
      <c r="W719" s="98"/>
    </row>
    <row r="720" hidden="1">
      <c r="A720" s="95"/>
      <c r="B720" s="95"/>
      <c r="C720" s="54"/>
      <c r="D720" s="83"/>
      <c r="E720" s="96"/>
      <c r="F720" s="42"/>
      <c r="G720" s="97"/>
      <c r="H720" s="96"/>
      <c r="I720" s="96"/>
      <c r="J720" s="98"/>
      <c r="K720" s="99"/>
      <c r="L720" s="96"/>
      <c r="M720" s="42"/>
      <c r="N720" s="42"/>
      <c r="O720" s="42"/>
      <c r="P720" s="83"/>
      <c r="Q720" s="83"/>
      <c r="R720" s="42"/>
      <c r="S720" s="42"/>
      <c r="T720" s="43" t="str">
        <f>IFERROR(__xludf.DUMMYFUNCTION("IFERROR(VLOOKUP(C720,IMPORTRANGE(""https://docs.google.com/spreadsheets/d/1RmEXtNg60OGvqZjyMxiYNPJ6S_kcz01v57qrHugDWVc/edit#gid=0"",""Chegadas!E:AQ""),19,0),"""")"),"")</f>
        <v/>
      </c>
      <c r="U720" s="100"/>
      <c r="V720" s="98"/>
      <c r="W720" s="98"/>
    </row>
    <row r="721" hidden="1">
      <c r="A721" s="95"/>
      <c r="B721" s="95"/>
      <c r="C721" s="54"/>
      <c r="D721" s="83"/>
      <c r="E721" s="96"/>
      <c r="F721" s="42"/>
      <c r="G721" s="97"/>
      <c r="H721" s="96"/>
      <c r="I721" s="96"/>
      <c r="J721" s="98"/>
      <c r="K721" s="99"/>
      <c r="L721" s="96"/>
      <c r="M721" s="42"/>
      <c r="N721" s="42"/>
      <c r="O721" s="42"/>
      <c r="P721" s="83"/>
      <c r="Q721" s="83"/>
      <c r="R721" s="42"/>
      <c r="S721" s="42"/>
      <c r="T721" s="43" t="str">
        <f>IFERROR(__xludf.DUMMYFUNCTION("IFERROR(VLOOKUP(C721,IMPORTRANGE(""https://docs.google.com/spreadsheets/d/1RmEXtNg60OGvqZjyMxiYNPJ6S_kcz01v57qrHugDWVc/edit#gid=0"",""Chegadas!E:AQ""),19,0),"""")"),"")</f>
        <v/>
      </c>
      <c r="U721" s="100"/>
      <c r="V721" s="98"/>
      <c r="W721" s="98"/>
    </row>
    <row r="722" hidden="1">
      <c r="A722" s="95"/>
      <c r="B722" s="95"/>
      <c r="C722" s="54"/>
      <c r="D722" s="83"/>
      <c r="E722" s="96"/>
      <c r="F722" s="42"/>
      <c r="G722" s="97"/>
      <c r="H722" s="96"/>
      <c r="I722" s="96"/>
      <c r="J722" s="98"/>
      <c r="K722" s="99"/>
      <c r="L722" s="96"/>
      <c r="M722" s="42"/>
      <c r="N722" s="42"/>
      <c r="O722" s="42"/>
      <c r="P722" s="83"/>
      <c r="Q722" s="83"/>
      <c r="R722" s="42"/>
      <c r="S722" s="42"/>
      <c r="T722" s="43" t="str">
        <f>IFERROR(__xludf.DUMMYFUNCTION("IFERROR(VLOOKUP(C722,IMPORTRANGE(""https://docs.google.com/spreadsheets/d/1RmEXtNg60OGvqZjyMxiYNPJ6S_kcz01v57qrHugDWVc/edit#gid=0"",""Chegadas!E:AQ""),19,0),"""")"),"")</f>
        <v/>
      </c>
      <c r="U722" s="100"/>
      <c r="V722" s="98"/>
      <c r="W722" s="98"/>
    </row>
    <row r="723" hidden="1">
      <c r="A723" s="95"/>
      <c r="B723" s="95"/>
      <c r="C723" s="54"/>
      <c r="D723" s="83"/>
      <c r="E723" s="96"/>
      <c r="F723" s="42"/>
      <c r="G723" s="97"/>
      <c r="H723" s="96"/>
      <c r="I723" s="96"/>
      <c r="J723" s="98"/>
      <c r="K723" s="99"/>
      <c r="L723" s="96"/>
      <c r="M723" s="42"/>
      <c r="N723" s="42"/>
      <c r="O723" s="42"/>
      <c r="P723" s="83"/>
      <c r="Q723" s="83"/>
      <c r="R723" s="42"/>
      <c r="S723" s="42"/>
      <c r="T723" s="43" t="str">
        <f>IFERROR(__xludf.DUMMYFUNCTION("IFERROR(VLOOKUP(C723,IMPORTRANGE(""https://docs.google.com/spreadsheets/d/1RmEXtNg60OGvqZjyMxiYNPJ6S_kcz01v57qrHugDWVc/edit#gid=0"",""Chegadas!E:AQ""),19,0),"""")"),"")</f>
        <v/>
      </c>
      <c r="U723" s="100"/>
      <c r="V723" s="98"/>
      <c r="W723" s="98"/>
    </row>
    <row r="724" hidden="1">
      <c r="A724" s="95"/>
      <c r="B724" s="95"/>
      <c r="C724" s="54"/>
      <c r="D724" s="83"/>
      <c r="E724" s="96"/>
      <c r="F724" s="42"/>
      <c r="G724" s="97"/>
      <c r="H724" s="96"/>
      <c r="I724" s="96"/>
      <c r="J724" s="98"/>
      <c r="K724" s="99"/>
      <c r="L724" s="96"/>
      <c r="M724" s="42"/>
      <c r="N724" s="42"/>
      <c r="O724" s="42"/>
      <c r="P724" s="83"/>
      <c r="Q724" s="83"/>
      <c r="R724" s="42"/>
      <c r="S724" s="42"/>
      <c r="T724" s="43" t="str">
        <f>IFERROR(__xludf.DUMMYFUNCTION("IFERROR(VLOOKUP(C724,IMPORTRANGE(""https://docs.google.com/spreadsheets/d/1RmEXtNg60OGvqZjyMxiYNPJ6S_kcz01v57qrHugDWVc/edit#gid=0"",""Chegadas!E:AQ""),19,0),"""")"),"")</f>
        <v/>
      </c>
      <c r="U724" s="100"/>
      <c r="V724" s="98"/>
      <c r="W724" s="98"/>
    </row>
    <row r="725" hidden="1">
      <c r="A725" s="95"/>
      <c r="B725" s="95"/>
      <c r="C725" s="54"/>
      <c r="D725" s="83"/>
      <c r="E725" s="96"/>
      <c r="F725" s="42"/>
      <c r="G725" s="97"/>
      <c r="H725" s="96"/>
      <c r="I725" s="96"/>
      <c r="J725" s="98"/>
      <c r="K725" s="99"/>
      <c r="L725" s="96"/>
      <c r="M725" s="42"/>
      <c r="N725" s="42"/>
      <c r="O725" s="42"/>
      <c r="P725" s="83"/>
      <c r="Q725" s="83"/>
      <c r="R725" s="42"/>
      <c r="S725" s="42"/>
      <c r="T725" s="43" t="str">
        <f>IFERROR(__xludf.DUMMYFUNCTION("IFERROR(VLOOKUP(C725,IMPORTRANGE(""https://docs.google.com/spreadsheets/d/1RmEXtNg60OGvqZjyMxiYNPJ6S_kcz01v57qrHugDWVc/edit#gid=0"",""Chegadas!E:AQ""),19,0),"""")"),"")</f>
        <v/>
      </c>
      <c r="U725" s="100"/>
      <c r="V725" s="98"/>
      <c r="W725" s="98"/>
    </row>
    <row r="726" hidden="1">
      <c r="A726" s="95"/>
      <c r="B726" s="95"/>
      <c r="C726" s="54"/>
      <c r="D726" s="83"/>
      <c r="E726" s="96"/>
      <c r="F726" s="42"/>
      <c r="G726" s="97"/>
      <c r="H726" s="96"/>
      <c r="I726" s="96"/>
      <c r="J726" s="98"/>
      <c r="K726" s="99"/>
      <c r="L726" s="96"/>
      <c r="M726" s="42"/>
      <c r="N726" s="42"/>
      <c r="O726" s="42"/>
      <c r="P726" s="83"/>
      <c r="Q726" s="83"/>
      <c r="R726" s="42"/>
      <c r="S726" s="42"/>
      <c r="T726" s="43" t="str">
        <f>IFERROR(__xludf.DUMMYFUNCTION("IFERROR(VLOOKUP(C726,IMPORTRANGE(""https://docs.google.com/spreadsheets/d/1RmEXtNg60OGvqZjyMxiYNPJ6S_kcz01v57qrHugDWVc/edit#gid=0"",""Chegadas!E:AQ""),19,0),"""")"),"")</f>
        <v/>
      </c>
      <c r="U726" s="100"/>
      <c r="V726" s="98"/>
      <c r="W726" s="98"/>
    </row>
    <row r="727" hidden="1">
      <c r="A727" s="95"/>
      <c r="B727" s="95"/>
      <c r="C727" s="54"/>
      <c r="D727" s="83"/>
      <c r="E727" s="96"/>
      <c r="F727" s="42"/>
      <c r="G727" s="97"/>
      <c r="H727" s="96"/>
      <c r="I727" s="96"/>
      <c r="J727" s="98"/>
      <c r="K727" s="99"/>
      <c r="L727" s="96"/>
      <c r="M727" s="42"/>
      <c r="N727" s="42"/>
      <c r="O727" s="42"/>
      <c r="P727" s="83"/>
      <c r="Q727" s="83"/>
      <c r="R727" s="42"/>
      <c r="S727" s="42"/>
      <c r="T727" s="43" t="str">
        <f>IFERROR(__xludf.DUMMYFUNCTION("IFERROR(VLOOKUP(C727,IMPORTRANGE(""https://docs.google.com/spreadsheets/d/1RmEXtNg60OGvqZjyMxiYNPJ6S_kcz01v57qrHugDWVc/edit#gid=0"",""Chegadas!E:AQ""),19,0),"""")"),"")</f>
        <v/>
      </c>
      <c r="U727" s="100"/>
      <c r="V727" s="98"/>
      <c r="W727" s="98"/>
    </row>
    <row r="728" hidden="1">
      <c r="A728" s="95"/>
      <c r="B728" s="95"/>
      <c r="C728" s="54"/>
      <c r="D728" s="83"/>
      <c r="E728" s="96"/>
      <c r="F728" s="42"/>
      <c r="G728" s="97"/>
      <c r="H728" s="96"/>
      <c r="I728" s="96"/>
      <c r="J728" s="98"/>
      <c r="K728" s="99"/>
      <c r="L728" s="96"/>
      <c r="M728" s="42"/>
      <c r="N728" s="42"/>
      <c r="O728" s="42"/>
      <c r="P728" s="83"/>
      <c r="Q728" s="83"/>
      <c r="R728" s="42"/>
      <c r="S728" s="42"/>
      <c r="T728" s="43" t="str">
        <f>IFERROR(__xludf.DUMMYFUNCTION("IFERROR(VLOOKUP(C728,IMPORTRANGE(""https://docs.google.com/spreadsheets/d/1RmEXtNg60OGvqZjyMxiYNPJ6S_kcz01v57qrHugDWVc/edit#gid=0"",""Chegadas!E:AQ""),19,0),"""")"),"")</f>
        <v/>
      </c>
      <c r="U728" s="100"/>
      <c r="V728" s="98"/>
      <c r="W728" s="98"/>
    </row>
    <row r="729" hidden="1">
      <c r="A729" s="95"/>
      <c r="B729" s="95"/>
      <c r="C729" s="54"/>
      <c r="D729" s="83"/>
      <c r="E729" s="96"/>
      <c r="F729" s="42"/>
      <c r="G729" s="97"/>
      <c r="H729" s="96"/>
      <c r="I729" s="96"/>
      <c r="J729" s="98"/>
      <c r="K729" s="99"/>
      <c r="L729" s="96"/>
      <c r="M729" s="42"/>
      <c r="N729" s="42"/>
      <c r="O729" s="42"/>
      <c r="P729" s="83"/>
      <c r="Q729" s="83"/>
      <c r="R729" s="42"/>
      <c r="S729" s="42"/>
      <c r="T729" s="43" t="str">
        <f>IFERROR(__xludf.DUMMYFUNCTION("IFERROR(VLOOKUP(C729,IMPORTRANGE(""https://docs.google.com/spreadsheets/d/1RmEXtNg60OGvqZjyMxiYNPJ6S_kcz01v57qrHugDWVc/edit#gid=0"",""Chegadas!E:AQ""),19,0),"""")"),"")</f>
        <v/>
      </c>
      <c r="U729" s="100"/>
      <c r="V729" s="98"/>
      <c r="W729" s="98"/>
    </row>
    <row r="730" hidden="1">
      <c r="A730" s="95"/>
      <c r="B730" s="95"/>
      <c r="C730" s="54"/>
      <c r="D730" s="83"/>
      <c r="E730" s="96"/>
      <c r="F730" s="42"/>
      <c r="G730" s="97"/>
      <c r="H730" s="96"/>
      <c r="I730" s="96"/>
      <c r="J730" s="98"/>
      <c r="K730" s="99"/>
      <c r="L730" s="96"/>
      <c r="M730" s="42"/>
      <c r="N730" s="42"/>
      <c r="O730" s="42"/>
      <c r="P730" s="83"/>
      <c r="Q730" s="83"/>
      <c r="R730" s="42"/>
      <c r="S730" s="42"/>
      <c r="T730" s="43" t="str">
        <f>IFERROR(__xludf.DUMMYFUNCTION("IFERROR(VLOOKUP(C730,IMPORTRANGE(""https://docs.google.com/spreadsheets/d/1RmEXtNg60OGvqZjyMxiYNPJ6S_kcz01v57qrHugDWVc/edit#gid=0"",""Chegadas!E:AQ""),19,0),"""")"),"")</f>
        <v/>
      </c>
      <c r="U730" s="100"/>
      <c r="V730" s="98"/>
      <c r="W730" s="98"/>
    </row>
    <row r="731" hidden="1">
      <c r="A731" s="95"/>
      <c r="B731" s="95"/>
      <c r="C731" s="54"/>
      <c r="D731" s="83"/>
      <c r="E731" s="96"/>
      <c r="F731" s="42"/>
      <c r="G731" s="97"/>
      <c r="H731" s="96"/>
      <c r="I731" s="96"/>
      <c r="J731" s="98"/>
      <c r="K731" s="99"/>
      <c r="L731" s="96"/>
      <c r="M731" s="42"/>
      <c r="N731" s="42"/>
      <c r="O731" s="42"/>
      <c r="P731" s="83"/>
      <c r="Q731" s="83"/>
      <c r="R731" s="42"/>
      <c r="S731" s="42"/>
      <c r="T731" s="43" t="str">
        <f>IFERROR(__xludf.DUMMYFUNCTION("IFERROR(VLOOKUP(C731,IMPORTRANGE(""https://docs.google.com/spreadsheets/d/1RmEXtNg60OGvqZjyMxiYNPJ6S_kcz01v57qrHugDWVc/edit#gid=0"",""Chegadas!E:AQ""),19,0),"""")"),"")</f>
        <v/>
      </c>
      <c r="U731" s="100"/>
      <c r="V731" s="98"/>
      <c r="W731" s="98"/>
    </row>
    <row r="732" hidden="1">
      <c r="A732" s="95"/>
      <c r="B732" s="95"/>
      <c r="C732" s="54"/>
      <c r="D732" s="83"/>
      <c r="E732" s="96"/>
      <c r="F732" s="42"/>
      <c r="G732" s="97"/>
      <c r="H732" s="96"/>
      <c r="I732" s="96"/>
      <c r="J732" s="98"/>
      <c r="K732" s="99"/>
      <c r="L732" s="96"/>
      <c r="M732" s="42"/>
      <c r="N732" s="42"/>
      <c r="O732" s="42"/>
      <c r="P732" s="83"/>
      <c r="Q732" s="83"/>
      <c r="R732" s="42"/>
      <c r="S732" s="42"/>
      <c r="T732" s="43" t="str">
        <f>IFERROR(__xludf.DUMMYFUNCTION("IFERROR(VLOOKUP(C732,IMPORTRANGE(""https://docs.google.com/spreadsheets/d/1RmEXtNg60OGvqZjyMxiYNPJ6S_kcz01v57qrHugDWVc/edit#gid=0"",""Chegadas!E:AQ""),19,0),"""")"),"")</f>
        <v/>
      </c>
      <c r="U732" s="100"/>
      <c r="V732" s="98"/>
      <c r="W732" s="98"/>
    </row>
    <row r="733" hidden="1">
      <c r="A733" s="95"/>
      <c r="B733" s="95"/>
      <c r="C733" s="54"/>
      <c r="D733" s="83"/>
      <c r="E733" s="96"/>
      <c r="F733" s="42"/>
      <c r="G733" s="97"/>
      <c r="H733" s="96"/>
      <c r="I733" s="96"/>
      <c r="J733" s="98"/>
      <c r="K733" s="99"/>
      <c r="L733" s="96"/>
      <c r="M733" s="42"/>
      <c r="N733" s="42"/>
      <c r="O733" s="42"/>
      <c r="P733" s="83"/>
      <c r="Q733" s="83"/>
      <c r="R733" s="42"/>
      <c r="S733" s="42"/>
      <c r="T733" s="43" t="str">
        <f>IFERROR(__xludf.DUMMYFUNCTION("IFERROR(VLOOKUP(C733,IMPORTRANGE(""https://docs.google.com/spreadsheets/d/1RmEXtNg60OGvqZjyMxiYNPJ6S_kcz01v57qrHugDWVc/edit#gid=0"",""Chegadas!E:AQ""),19,0),"""")"),"")</f>
        <v/>
      </c>
      <c r="U733" s="100"/>
      <c r="V733" s="98"/>
      <c r="W733" s="98"/>
    </row>
    <row r="734" hidden="1">
      <c r="A734" s="95"/>
      <c r="B734" s="95"/>
      <c r="C734" s="54"/>
      <c r="D734" s="83"/>
      <c r="E734" s="96"/>
      <c r="F734" s="42"/>
      <c r="G734" s="97"/>
      <c r="H734" s="96"/>
      <c r="I734" s="96"/>
      <c r="J734" s="98"/>
      <c r="K734" s="99"/>
      <c r="L734" s="96"/>
      <c r="M734" s="42"/>
      <c r="N734" s="42"/>
      <c r="O734" s="42"/>
      <c r="P734" s="83"/>
      <c r="Q734" s="83"/>
      <c r="R734" s="42"/>
      <c r="S734" s="42"/>
      <c r="T734" s="43" t="str">
        <f>IFERROR(__xludf.DUMMYFUNCTION("IFERROR(VLOOKUP(C734,IMPORTRANGE(""https://docs.google.com/spreadsheets/d/1RmEXtNg60OGvqZjyMxiYNPJ6S_kcz01v57qrHugDWVc/edit#gid=0"",""Chegadas!E:AQ""),19,0),"""")"),"")</f>
        <v/>
      </c>
      <c r="U734" s="100"/>
      <c r="V734" s="98"/>
      <c r="W734" s="98"/>
    </row>
    <row r="735" hidden="1">
      <c r="A735" s="95"/>
      <c r="B735" s="95"/>
      <c r="C735" s="54"/>
      <c r="D735" s="83"/>
      <c r="E735" s="96"/>
      <c r="F735" s="42"/>
      <c r="G735" s="97"/>
      <c r="H735" s="96"/>
      <c r="I735" s="96"/>
      <c r="J735" s="98"/>
      <c r="K735" s="99"/>
      <c r="L735" s="96"/>
      <c r="M735" s="42"/>
      <c r="N735" s="42"/>
      <c r="O735" s="42"/>
      <c r="P735" s="83"/>
      <c r="Q735" s="83"/>
      <c r="R735" s="42"/>
      <c r="S735" s="42"/>
      <c r="T735" s="43" t="str">
        <f>IFERROR(__xludf.DUMMYFUNCTION("IFERROR(VLOOKUP(C735,IMPORTRANGE(""https://docs.google.com/spreadsheets/d/1RmEXtNg60OGvqZjyMxiYNPJ6S_kcz01v57qrHugDWVc/edit#gid=0"",""Chegadas!E:AQ""),19,0),"""")"),"")</f>
        <v/>
      </c>
      <c r="U735" s="100"/>
      <c r="V735" s="98"/>
      <c r="W735" s="98"/>
    </row>
    <row r="736" hidden="1">
      <c r="A736" s="95"/>
      <c r="B736" s="95"/>
      <c r="C736" s="54"/>
      <c r="D736" s="83"/>
      <c r="E736" s="96"/>
      <c r="F736" s="42"/>
      <c r="G736" s="97"/>
      <c r="H736" s="96"/>
      <c r="I736" s="96"/>
      <c r="J736" s="98"/>
      <c r="K736" s="99"/>
      <c r="L736" s="96"/>
      <c r="M736" s="42"/>
      <c r="N736" s="42"/>
      <c r="O736" s="42"/>
      <c r="P736" s="83"/>
      <c r="Q736" s="83"/>
      <c r="R736" s="42"/>
      <c r="S736" s="42"/>
      <c r="T736" s="43" t="str">
        <f>IFERROR(__xludf.DUMMYFUNCTION("IFERROR(VLOOKUP(C736,IMPORTRANGE(""https://docs.google.com/spreadsheets/d/1RmEXtNg60OGvqZjyMxiYNPJ6S_kcz01v57qrHugDWVc/edit#gid=0"",""Chegadas!E:AQ""),19,0),"""")"),"")</f>
        <v/>
      </c>
      <c r="U736" s="100"/>
      <c r="V736" s="98"/>
      <c r="W736" s="98"/>
    </row>
    <row r="737" hidden="1">
      <c r="A737" s="95"/>
      <c r="B737" s="95"/>
      <c r="C737" s="54"/>
      <c r="D737" s="83"/>
      <c r="E737" s="96"/>
      <c r="F737" s="42"/>
      <c r="G737" s="97"/>
      <c r="H737" s="96"/>
      <c r="I737" s="96"/>
      <c r="J737" s="98"/>
      <c r="K737" s="99"/>
      <c r="L737" s="96"/>
      <c r="M737" s="42"/>
      <c r="N737" s="42"/>
      <c r="O737" s="42"/>
      <c r="P737" s="83"/>
      <c r="Q737" s="83"/>
      <c r="R737" s="42"/>
      <c r="S737" s="42"/>
      <c r="T737" s="43" t="str">
        <f>IFERROR(__xludf.DUMMYFUNCTION("IFERROR(VLOOKUP(C737,IMPORTRANGE(""https://docs.google.com/spreadsheets/d/1RmEXtNg60OGvqZjyMxiYNPJ6S_kcz01v57qrHugDWVc/edit#gid=0"",""Chegadas!E:AQ""),19,0),"""")"),"")</f>
        <v/>
      </c>
      <c r="U737" s="100"/>
      <c r="V737" s="98"/>
      <c r="W737" s="98"/>
    </row>
    <row r="738" hidden="1">
      <c r="A738" s="95"/>
      <c r="B738" s="95"/>
      <c r="C738" s="54"/>
      <c r="D738" s="83"/>
      <c r="E738" s="96"/>
      <c r="F738" s="42"/>
      <c r="G738" s="97"/>
      <c r="H738" s="96"/>
      <c r="I738" s="96"/>
      <c r="J738" s="98"/>
      <c r="K738" s="99"/>
      <c r="L738" s="96"/>
      <c r="M738" s="42"/>
      <c r="N738" s="42"/>
      <c r="O738" s="42"/>
      <c r="P738" s="83"/>
      <c r="Q738" s="83"/>
      <c r="R738" s="42"/>
      <c r="S738" s="42"/>
      <c r="T738" s="43" t="str">
        <f>IFERROR(__xludf.DUMMYFUNCTION("IFERROR(VLOOKUP(C738,IMPORTRANGE(""https://docs.google.com/spreadsheets/d/1RmEXtNg60OGvqZjyMxiYNPJ6S_kcz01v57qrHugDWVc/edit#gid=0"",""Chegadas!E:AQ""),19,0),"""")"),"")</f>
        <v/>
      </c>
      <c r="U738" s="100"/>
      <c r="V738" s="98"/>
      <c r="W738" s="98"/>
    </row>
    <row r="739" hidden="1">
      <c r="A739" s="95"/>
      <c r="B739" s="95"/>
      <c r="C739" s="54"/>
      <c r="D739" s="83"/>
      <c r="E739" s="96"/>
      <c r="F739" s="42"/>
      <c r="G739" s="97"/>
      <c r="H739" s="96"/>
      <c r="I739" s="96"/>
      <c r="J739" s="98"/>
      <c r="K739" s="99"/>
      <c r="L739" s="96"/>
      <c r="M739" s="42"/>
      <c r="N739" s="42"/>
      <c r="O739" s="42"/>
      <c r="P739" s="83"/>
      <c r="Q739" s="83"/>
      <c r="R739" s="42"/>
      <c r="S739" s="42"/>
      <c r="T739" s="43" t="str">
        <f>IFERROR(__xludf.DUMMYFUNCTION("IFERROR(VLOOKUP(C739,IMPORTRANGE(""https://docs.google.com/spreadsheets/d/1RmEXtNg60OGvqZjyMxiYNPJ6S_kcz01v57qrHugDWVc/edit#gid=0"",""Chegadas!E:AQ""),19,0),"""")"),"")</f>
        <v/>
      </c>
      <c r="U739" s="100"/>
      <c r="V739" s="98"/>
      <c r="W739" s="98"/>
    </row>
    <row r="740" hidden="1">
      <c r="A740" s="95"/>
      <c r="B740" s="95"/>
      <c r="C740" s="54"/>
      <c r="D740" s="83"/>
      <c r="E740" s="96"/>
      <c r="F740" s="42"/>
      <c r="G740" s="97"/>
      <c r="H740" s="96"/>
      <c r="I740" s="96"/>
      <c r="J740" s="98"/>
      <c r="K740" s="99"/>
      <c r="L740" s="96"/>
      <c r="M740" s="42"/>
      <c r="N740" s="42"/>
      <c r="O740" s="42"/>
      <c r="P740" s="83"/>
      <c r="Q740" s="83"/>
      <c r="R740" s="42"/>
      <c r="S740" s="42"/>
      <c r="T740" s="43" t="str">
        <f>IFERROR(__xludf.DUMMYFUNCTION("IFERROR(VLOOKUP(C740,IMPORTRANGE(""https://docs.google.com/spreadsheets/d/1RmEXtNg60OGvqZjyMxiYNPJ6S_kcz01v57qrHugDWVc/edit#gid=0"",""Chegadas!E:AQ""),19,0),"""")"),"")</f>
        <v/>
      </c>
      <c r="U740" s="100"/>
      <c r="V740" s="98"/>
      <c r="W740" s="98"/>
    </row>
    <row r="741" hidden="1">
      <c r="A741" s="95"/>
      <c r="B741" s="95"/>
      <c r="C741" s="54"/>
      <c r="D741" s="83"/>
      <c r="E741" s="96"/>
      <c r="F741" s="42"/>
      <c r="G741" s="97"/>
      <c r="H741" s="96"/>
      <c r="I741" s="96"/>
      <c r="J741" s="98"/>
      <c r="K741" s="99"/>
      <c r="L741" s="96"/>
      <c r="M741" s="42"/>
      <c r="N741" s="42"/>
      <c r="O741" s="42"/>
      <c r="P741" s="83"/>
      <c r="Q741" s="83"/>
      <c r="R741" s="42"/>
      <c r="S741" s="42"/>
      <c r="T741" s="43" t="str">
        <f>IFERROR(__xludf.DUMMYFUNCTION("IFERROR(VLOOKUP(C741,IMPORTRANGE(""https://docs.google.com/spreadsheets/d/1RmEXtNg60OGvqZjyMxiYNPJ6S_kcz01v57qrHugDWVc/edit#gid=0"",""Chegadas!E:AQ""),19,0),"""")"),"")</f>
        <v/>
      </c>
      <c r="U741" s="100"/>
      <c r="V741" s="98"/>
      <c r="W741" s="98"/>
    </row>
    <row r="742" hidden="1">
      <c r="A742" s="95"/>
      <c r="B742" s="95"/>
      <c r="C742" s="54"/>
      <c r="D742" s="83"/>
      <c r="E742" s="96"/>
      <c r="F742" s="42"/>
      <c r="G742" s="97"/>
      <c r="H742" s="96"/>
      <c r="I742" s="96"/>
      <c r="J742" s="98"/>
      <c r="K742" s="99"/>
      <c r="L742" s="96"/>
      <c r="M742" s="42"/>
      <c r="N742" s="42"/>
      <c r="O742" s="42"/>
      <c r="P742" s="83"/>
      <c r="Q742" s="83"/>
      <c r="R742" s="42"/>
      <c r="S742" s="42"/>
      <c r="T742" s="43" t="str">
        <f>IFERROR(__xludf.DUMMYFUNCTION("IFERROR(VLOOKUP(C742,IMPORTRANGE(""https://docs.google.com/spreadsheets/d/1RmEXtNg60OGvqZjyMxiYNPJ6S_kcz01v57qrHugDWVc/edit#gid=0"",""Chegadas!E:AQ""),19,0),"""")"),"")</f>
        <v/>
      </c>
      <c r="U742" s="100"/>
      <c r="V742" s="98"/>
      <c r="W742" s="98"/>
    </row>
    <row r="743" hidden="1">
      <c r="A743" s="95"/>
      <c r="B743" s="95"/>
      <c r="C743" s="54"/>
      <c r="D743" s="83"/>
      <c r="E743" s="96"/>
      <c r="F743" s="42"/>
      <c r="G743" s="97"/>
      <c r="H743" s="96"/>
      <c r="I743" s="96"/>
      <c r="J743" s="98"/>
      <c r="K743" s="99"/>
      <c r="L743" s="96"/>
      <c r="M743" s="42"/>
      <c r="N743" s="42"/>
      <c r="O743" s="42"/>
      <c r="P743" s="83"/>
      <c r="Q743" s="83"/>
      <c r="R743" s="42"/>
      <c r="S743" s="42"/>
      <c r="T743" s="43" t="str">
        <f>IFERROR(__xludf.DUMMYFUNCTION("IFERROR(VLOOKUP(C743,IMPORTRANGE(""https://docs.google.com/spreadsheets/d/1RmEXtNg60OGvqZjyMxiYNPJ6S_kcz01v57qrHugDWVc/edit#gid=0"",""Chegadas!E:AQ""),19,0),"""")"),"")</f>
        <v/>
      </c>
      <c r="U743" s="100"/>
      <c r="V743" s="98"/>
      <c r="W743" s="98"/>
    </row>
    <row r="744" hidden="1">
      <c r="A744" s="95"/>
      <c r="B744" s="95"/>
      <c r="C744" s="54"/>
      <c r="D744" s="83"/>
      <c r="E744" s="96"/>
      <c r="F744" s="42"/>
      <c r="G744" s="97"/>
      <c r="H744" s="96"/>
      <c r="I744" s="96"/>
      <c r="J744" s="98"/>
      <c r="K744" s="99"/>
      <c r="L744" s="96"/>
      <c r="M744" s="42"/>
      <c r="N744" s="42"/>
      <c r="O744" s="42"/>
      <c r="P744" s="83"/>
      <c r="Q744" s="83"/>
      <c r="R744" s="42"/>
      <c r="S744" s="42"/>
      <c r="T744" s="43" t="str">
        <f>IFERROR(__xludf.DUMMYFUNCTION("IFERROR(VLOOKUP(C744,IMPORTRANGE(""https://docs.google.com/spreadsheets/d/1RmEXtNg60OGvqZjyMxiYNPJ6S_kcz01v57qrHugDWVc/edit#gid=0"",""Chegadas!E:AQ""),19,0),"""")"),"")</f>
        <v/>
      </c>
      <c r="U744" s="100"/>
      <c r="V744" s="98"/>
      <c r="W744" s="98"/>
    </row>
    <row r="745" hidden="1">
      <c r="A745" s="95"/>
      <c r="B745" s="95"/>
      <c r="C745" s="54"/>
      <c r="D745" s="83"/>
      <c r="E745" s="96"/>
      <c r="F745" s="42"/>
      <c r="G745" s="97"/>
      <c r="H745" s="96"/>
      <c r="I745" s="96"/>
      <c r="J745" s="98"/>
      <c r="K745" s="99"/>
      <c r="L745" s="96"/>
      <c r="M745" s="42"/>
      <c r="N745" s="42"/>
      <c r="O745" s="42"/>
      <c r="P745" s="83"/>
      <c r="Q745" s="83"/>
      <c r="R745" s="42"/>
      <c r="S745" s="42"/>
      <c r="T745" s="43" t="str">
        <f>IFERROR(__xludf.DUMMYFUNCTION("IFERROR(VLOOKUP(C745,IMPORTRANGE(""https://docs.google.com/spreadsheets/d/1RmEXtNg60OGvqZjyMxiYNPJ6S_kcz01v57qrHugDWVc/edit#gid=0"",""Chegadas!E:AQ""),19,0),"""")"),"")</f>
        <v/>
      </c>
      <c r="U745" s="100"/>
      <c r="V745" s="98"/>
      <c r="W745" s="98"/>
    </row>
    <row r="746" hidden="1">
      <c r="A746" s="95"/>
      <c r="B746" s="95"/>
      <c r="C746" s="54"/>
      <c r="D746" s="83"/>
      <c r="E746" s="96"/>
      <c r="F746" s="42"/>
      <c r="G746" s="97"/>
      <c r="H746" s="96"/>
      <c r="I746" s="96"/>
      <c r="J746" s="98"/>
      <c r="K746" s="99"/>
      <c r="L746" s="96"/>
      <c r="M746" s="42"/>
      <c r="N746" s="42"/>
      <c r="O746" s="42"/>
      <c r="P746" s="83"/>
      <c r="Q746" s="83"/>
      <c r="R746" s="42"/>
      <c r="S746" s="42"/>
      <c r="T746" s="43" t="str">
        <f>IFERROR(__xludf.DUMMYFUNCTION("IFERROR(VLOOKUP(C746,IMPORTRANGE(""https://docs.google.com/spreadsheets/d/1RmEXtNg60OGvqZjyMxiYNPJ6S_kcz01v57qrHugDWVc/edit#gid=0"",""Chegadas!E:AQ""),19,0),"""")"),"")</f>
        <v/>
      </c>
      <c r="U746" s="100"/>
      <c r="V746" s="98"/>
      <c r="W746" s="98"/>
    </row>
    <row r="747" hidden="1">
      <c r="A747" s="95"/>
      <c r="B747" s="95"/>
      <c r="C747" s="54"/>
      <c r="D747" s="83"/>
      <c r="E747" s="96"/>
      <c r="F747" s="42"/>
      <c r="G747" s="97"/>
      <c r="H747" s="96"/>
      <c r="I747" s="96"/>
      <c r="J747" s="98"/>
      <c r="K747" s="99"/>
      <c r="L747" s="96"/>
      <c r="M747" s="42"/>
      <c r="N747" s="42"/>
      <c r="O747" s="42"/>
      <c r="P747" s="83"/>
      <c r="Q747" s="83"/>
      <c r="R747" s="42"/>
      <c r="S747" s="42"/>
      <c r="T747" s="43" t="str">
        <f>IFERROR(__xludf.DUMMYFUNCTION("IFERROR(VLOOKUP(C747,IMPORTRANGE(""https://docs.google.com/spreadsheets/d/1RmEXtNg60OGvqZjyMxiYNPJ6S_kcz01v57qrHugDWVc/edit#gid=0"",""Chegadas!E:AQ""),19,0),"""")"),"")</f>
        <v/>
      </c>
      <c r="U747" s="100"/>
      <c r="V747" s="98"/>
      <c r="W747" s="98"/>
    </row>
    <row r="748" hidden="1">
      <c r="A748" s="95"/>
      <c r="B748" s="95"/>
      <c r="C748" s="54"/>
      <c r="D748" s="83"/>
      <c r="E748" s="96"/>
      <c r="F748" s="42"/>
      <c r="G748" s="97"/>
      <c r="H748" s="96"/>
      <c r="I748" s="96"/>
      <c r="J748" s="98"/>
      <c r="K748" s="99"/>
      <c r="L748" s="96"/>
      <c r="M748" s="42"/>
      <c r="N748" s="42"/>
      <c r="O748" s="42"/>
      <c r="P748" s="83"/>
      <c r="Q748" s="83"/>
      <c r="R748" s="42"/>
      <c r="S748" s="42"/>
      <c r="T748" s="43" t="str">
        <f>IFERROR(__xludf.DUMMYFUNCTION("IFERROR(VLOOKUP(C748,IMPORTRANGE(""https://docs.google.com/spreadsheets/d/1RmEXtNg60OGvqZjyMxiYNPJ6S_kcz01v57qrHugDWVc/edit#gid=0"",""Chegadas!E:AQ""),19,0),"""")"),"")</f>
        <v/>
      </c>
      <c r="U748" s="100"/>
      <c r="V748" s="98"/>
      <c r="W748" s="98"/>
    </row>
    <row r="749" hidden="1">
      <c r="A749" s="95"/>
      <c r="B749" s="95"/>
      <c r="C749" s="54"/>
      <c r="D749" s="83"/>
      <c r="E749" s="96"/>
      <c r="F749" s="42"/>
      <c r="G749" s="97"/>
      <c r="H749" s="96"/>
      <c r="I749" s="96"/>
      <c r="J749" s="98"/>
      <c r="K749" s="99"/>
      <c r="L749" s="96"/>
      <c r="M749" s="42"/>
      <c r="N749" s="42"/>
      <c r="O749" s="42"/>
      <c r="P749" s="83"/>
      <c r="Q749" s="83"/>
      <c r="R749" s="42"/>
      <c r="S749" s="42"/>
      <c r="T749" s="43" t="str">
        <f>IFERROR(__xludf.DUMMYFUNCTION("IFERROR(VLOOKUP(C749,IMPORTRANGE(""https://docs.google.com/spreadsheets/d/1RmEXtNg60OGvqZjyMxiYNPJ6S_kcz01v57qrHugDWVc/edit#gid=0"",""Chegadas!E:AQ""),19,0),"""")"),"")</f>
        <v/>
      </c>
      <c r="U749" s="100"/>
      <c r="V749" s="98"/>
      <c r="W749" s="98"/>
    </row>
    <row r="750" hidden="1">
      <c r="A750" s="95"/>
      <c r="B750" s="95"/>
      <c r="C750" s="54"/>
      <c r="D750" s="83"/>
      <c r="E750" s="96"/>
      <c r="F750" s="42"/>
      <c r="G750" s="97"/>
      <c r="H750" s="96"/>
      <c r="I750" s="96"/>
      <c r="J750" s="98"/>
      <c r="K750" s="99"/>
      <c r="L750" s="96"/>
      <c r="M750" s="42"/>
      <c r="N750" s="42"/>
      <c r="O750" s="42"/>
      <c r="P750" s="83"/>
      <c r="Q750" s="83"/>
      <c r="R750" s="42"/>
      <c r="S750" s="42"/>
      <c r="T750" s="43" t="str">
        <f>IFERROR(__xludf.DUMMYFUNCTION("IFERROR(VLOOKUP(C750,IMPORTRANGE(""https://docs.google.com/spreadsheets/d/1RmEXtNg60OGvqZjyMxiYNPJ6S_kcz01v57qrHugDWVc/edit#gid=0"",""Chegadas!E:AQ""),19,0),"""")"),"")</f>
        <v/>
      </c>
      <c r="U750" s="100"/>
      <c r="V750" s="98"/>
      <c r="W750" s="98"/>
    </row>
    <row r="751" hidden="1">
      <c r="A751" s="95"/>
      <c r="B751" s="95"/>
      <c r="C751" s="54"/>
      <c r="D751" s="83"/>
      <c r="E751" s="96"/>
      <c r="F751" s="42"/>
      <c r="G751" s="97"/>
      <c r="H751" s="96"/>
      <c r="I751" s="96"/>
      <c r="J751" s="98"/>
      <c r="K751" s="99"/>
      <c r="L751" s="96"/>
      <c r="M751" s="42"/>
      <c r="N751" s="42"/>
      <c r="O751" s="42"/>
      <c r="P751" s="83"/>
      <c r="Q751" s="83"/>
      <c r="R751" s="42"/>
      <c r="S751" s="42"/>
      <c r="T751" s="43" t="str">
        <f>IFERROR(__xludf.DUMMYFUNCTION("IFERROR(VLOOKUP(C751,IMPORTRANGE(""https://docs.google.com/spreadsheets/d/1RmEXtNg60OGvqZjyMxiYNPJ6S_kcz01v57qrHugDWVc/edit#gid=0"",""Chegadas!E:AQ""),19,0),"""")"),"")</f>
        <v/>
      </c>
      <c r="U751" s="100"/>
      <c r="V751" s="98"/>
      <c r="W751" s="98"/>
    </row>
    <row r="752" hidden="1">
      <c r="A752" s="95"/>
      <c r="B752" s="95"/>
      <c r="C752" s="54"/>
      <c r="D752" s="83"/>
      <c r="E752" s="96"/>
      <c r="F752" s="42"/>
      <c r="G752" s="97"/>
      <c r="H752" s="96"/>
      <c r="I752" s="96"/>
      <c r="J752" s="98"/>
      <c r="K752" s="99"/>
      <c r="L752" s="96"/>
      <c r="M752" s="42"/>
      <c r="N752" s="42"/>
      <c r="O752" s="42"/>
      <c r="P752" s="83"/>
      <c r="Q752" s="83"/>
      <c r="R752" s="42"/>
      <c r="S752" s="42"/>
      <c r="T752" s="43" t="str">
        <f>IFERROR(__xludf.DUMMYFUNCTION("IFERROR(VLOOKUP(C752,IMPORTRANGE(""https://docs.google.com/spreadsheets/d/1RmEXtNg60OGvqZjyMxiYNPJ6S_kcz01v57qrHugDWVc/edit#gid=0"",""Chegadas!E:AQ""),19,0),"""")"),"")</f>
        <v/>
      </c>
      <c r="U752" s="100"/>
      <c r="V752" s="98"/>
      <c r="W752" s="98"/>
    </row>
    <row r="753" hidden="1">
      <c r="A753" s="95"/>
      <c r="B753" s="95"/>
      <c r="C753" s="54"/>
      <c r="D753" s="83"/>
      <c r="E753" s="96"/>
      <c r="F753" s="42"/>
      <c r="G753" s="97"/>
      <c r="H753" s="96"/>
      <c r="I753" s="96"/>
      <c r="J753" s="98"/>
      <c r="K753" s="99"/>
      <c r="L753" s="96"/>
      <c r="M753" s="42"/>
      <c r="N753" s="42"/>
      <c r="O753" s="42"/>
      <c r="P753" s="83"/>
      <c r="Q753" s="83"/>
      <c r="R753" s="42"/>
      <c r="S753" s="42"/>
      <c r="T753" s="43" t="str">
        <f>IFERROR(__xludf.DUMMYFUNCTION("IFERROR(VLOOKUP(C753,IMPORTRANGE(""https://docs.google.com/spreadsheets/d/1RmEXtNg60OGvqZjyMxiYNPJ6S_kcz01v57qrHugDWVc/edit#gid=0"",""Chegadas!E:AQ""),19,0),"""")"),"")</f>
        <v/>
      </c>
      <c r="U753" s="100"/>
      <c r="V753" s="98"/>
      <c r="W753" s="98"/>
    </row>
    <row r="754" hidden="1">
      <c r="A754" s="95"/>
      <c r="B754" s="95"/>
      <c r="C754" s="54"/>
      <c r="D754" s="83"/>
      <c r="E754" s="96"/>
      <c r="F754" s="42"/>
      <c r="G754" s="97"/>
      <c r="H754" s="96"/>
      <c r="I754" s="96"/>
      <c r="J754" s="98"/>
      <c r="K754" s="99"/>
      <c r="L754" s="96"/>
      <c r="M754" s="42"/>
      <c r="N754" s="42"/>
      <c r="O754" s="42"/>
      <c r="P754" s="83"/>
      <c r="Q754" s="83"/>
      <c r="R754" s="42"/>
      <c r="S754" s="42"/>
      <c r="T754" s="43" t="str">
        <f>IFERROR(__xludf.DUMMYFUNCTION("IFERROR(VLOOKUP(C754,IMPORTRANGE(""https://docs.google.com/spreadsheets/d/1RmEXtNg60OGvqZjyMxiYNPJ6S_kcz01v57qrHugDWVc/edit#gid=0"",""Chegadas!E:AQ""),19,0),"""")"),"")</f>
        <v/>
      </c>
      <c r="U754" s="100"/>
      <c r="V754" s="98"/>
      <c r="W754" s="98"/>
    </row>
    <row r="755" hidden="1">
      <c r="A755" s="95"/>
      <c r="B755" s="95"/>
      <c r="C755" s="54"/>
      <c r="D755" s="83"/>
      <c r="E755" s="96"/>
      <c r="F755" s="42"/>
      <c r="G755" s="97"/>
      <c r="H755" s="96"/>
      <c r="I755" s="96"/>
      <c r="J755" s="98"/>
      <c r="K755" s="99"/>
      <c r="L755" s="96"/>
      <c r="M755" s="42"/>
      <c r="N755" s="42"/>
      <c r="O755" s="42"/>
      <c r="P755" s="83"/>
      <c r="Q755" s="83"/>
      <c r="R755" s="42"/>
      <c r="S755" s="42"/>
      <c r="T755" s="43" t="str">
        <f>IFERROR(__xludf.DUMMYFUNCTION("IFERROR(VLOOKUP(C755,IMPORTRANGE(""https://docs.google.com/spreadsheets/d/1RmEXtNg60OGvqZjyMxiYNPJ6S_kcz01v57qrHugDWVc/edit#gid=0"",""Chegadas!E:AQ""),19,0),"""")"),"")</f>
        <v/>
      </c>
      <c r="U755" s="100"/>
      <c r="V755" s="98"/>
      <c r="W755" s="98"/>
    </row>
    <row r="756" hidden="1">
      <c r="A756" s="95"/>
      <c r="B756" s="95"/>
      <c r="C756" s="54"/>
      <c r="D756" s="83"/>
      <c r="E756" s="96"/>
      <c r="F756" s="42"/>
      <c r="G756" s="97"/>
      <c r="H756" s="96"/>
      <c r="I756" s="96"/>
      <c r="J756" s="98"/>
      <c r="K756" s="99"/>
      <c r="L756" s="96"/>
      <c r="M756" s="42"/>
      <c r="N756" s="42"/>
      <c r="O756" s="42"/>
      <c r="P756" s="83"/>
      <c r="Q756" s="83"/>
      <c r="R756" s="42"/>
      <c r="S756" s="42"/>
      <c r="T756" s="43" t="str">
        <f>IFERROR(__xludf.DUMMYFUNCTION("IFERROR(VLOOKUP(C756,IMPORTRANGE(""https://docs.google.com/spreadsheets/d/1RmEXtNg60OGvqZjyMxiYNPJ6S_kcz01v57qrHugDWVc/edit#gid=0"",""Chegadas!E:AQ""),19,0),"""")"),"")</f>
        <v/>
      </c>
      <c r="U756" s="100"/>
      <c r="V756" s="98"/>
      <c r="W756" s="98"/>
    </row>
    <row r="757" hidden="1">
      <c r="A757" s="95"/>
      <c r="B757" s="95"/>
      <c r="C757" s="54"/>
      <c r="D757" s="83"/>
      <c r="E757" s="96"/>
      <c r="F757" s="42"/>
      <c r="G757" s="97"/>
      <c r="H757" s="96"/>
      <c r="I757" s="96"/>
      <c r="J757" s="98"/>
      <c r="K757" s="99"/>
      <c r="L757" s="96"/>
      <c r="M757" s="42"/>
      <c r="N757" s="42"/>
      <c r="O757" s="42"/>
      <c r="P757" s="83"/>
      <c r="Q757" s="83"/>
      <c r="R757" s="42"/>
      <c r="S757" s="42"/>
      <c r="T757" s="43" t="str">
        <f>IFERROR(__xludf.DUMMYFUNCTION("IFERROR(VLOOKUP(C757,IMPORTRANGE(""https://docs.google.com/spreadsheets/d/1RmEXtNg60OGvqZjyMxiYNPJ6S_kcz01v57qrHugDWVc/edit#gid=0"",""Chegadas!E:AQ""),19,0),"""")"),"")</f>
        <v/>
      </c>
      <c r="U757" s="100"/>
      <c r="V757" s="98"/>
      <c r="W757" s="98"/>
    </row>
    <row r="758" hidden="1">
      <c r="A758" s="95"/>
      <c r="B758" s="95"/>
      <c r="C758" s="54"/>
      <c r="D758" s="83"/>
      <c r="E758" s="96"/>
      <c r="F758" s="42"/>
      <c r="G758" s="97"/>
      <c r="H758" s="96"/>
      <c r="I758" s="96"/>
      <c r="J758" s="98"/>
      <c r="K758" s="99"/>
      <c r="L758" s="96"/>
      <c r="M758" s="42"/>
      <c r="N758" s="42"/>
      <c r="O758" s="42"/>
      <c r="P758" s="83"/>
      <c r="Q758" s="83"/>
      <c r="R758" s="42"/>
      <c r="S758" s="42"/>
      <c r="T758" s="43" t="str">
        <f>IFERROR(__xludf.DUMMYFUNCTION("IFERROR(VLOOKUP(C758,IMPORTRANGE(""https://docs.google.com/spreadsheets/d/1RmEXtNg60OGvqZjyMxiYNPJ6S_kcz01v57qrHugDWVc/edit#gid=0"",""Chegadas!E:AQ""),19,0),"""")"),"")</f>
        <v/>
      </c>
      <c r="U758" s="100"/>
      <c r="V758" s="98"/>
      <c r="W758" s="98"/>
    </row>
    <row r="759" hidden="1">
      <c r="A759" s="95"/>
      <c r="B759" s="95"/>
      <c r="C759" s="54"/>
      <c r="D759" s="83"/>
      <c r="E759" s="96"/>
      <c r="F759" s="42"/>
      <c r="G759" s="97"/>
      <c r="H759" s="96"/>
      <c r="I759" s="96"/>
      <c r="J759" s="98"/>
      <c r="K759" s="99"/>
      <c r="L759" s="96"/>
      <c r="M759" s="42"/>
      <c r="N759" s="42"/>
      <c r="O759" s="42"/>
      <c r="P759" s="83"/>
      <c r="Q759" s="83"/>
      <c r="R759" s="42"/>
      <c r="S759" s="42"/>
      <c r="T759" s="43" t="str">
        <f>IFERROR(__xludf.DUMMYFUNCTION("IFERROR(VLOOKUP(C759,IMPORTRANGE(""https://docs.google.com/spreadsheets/d/1RmEXtNg60OGvqZjyMxiYNPJ6S_kcz01v57qrHugDWVc/edit#gid=0"",""Chegadas!E:AQ""),19,0),"""")"),"")</f>
        <v/>
      </c>
      <c r="U759" s="100"/>
      <c r="V759" s="98"/>
      <c r="W759" s="98"/>
    </row>
    <row r="760" hidden="1">
      <c r="A760" s="95"/>
      <c r="B760" s="95"/>
      <c r="C760" s="54"/>
      <c r="D760" s="83"/>
      <c r="E760" s="96"/>
      <c r="F760" s="42"/>
      <c r="G760" s="97"/>
      <c r="H760" s="96"/>
      <c r="I760" s="96"/>
      <c r="J760" s="98"/>
      <c r="K760" s="99"/>
      <c r="L760" s="96"/>
      <c r="M760" s="42"/>
      <c r="N760" s="42"/>
      <c r="O760" s="42"/>
      <c r="P760" s="83"/>
      <c r="Q760" s="83"/>
      <c r="R760" s="42"/>
      <c r="S760" s="42"/>
      <c r="T760" s="43" t="str">
        <f>IFERROR(__xludf.DUMMYFUNCTION("IFERROR(VLOOKUP(C760,IMPORTRANGE(""https://docs.google.com/spreadsheets/d/1RmEXtNg60OGvqZjyMxiYNPJ6S_kcz01v57qrHugDWVc/edit#gid=0"",""Chegadas!E:AQ""),19,0),"""")"),"")</f>
        <v/>
      </c>
      <c r="U760" s="100"/>
      <c r="V760" s="98"/>
      <c r="W760" s="98"/>
    </row>
    <row r="761" hidden="1">
      <c r="A761" s="95"/>
      <c r="B761" s="95"/>
      <c r="C761" s="54"/>
      <c r="D761" s="83"/>
      <c r="E761" s="96"/>
      <c r="F761" s="42"/>
      <c r="G761" s="97"/>
      <c r="H761" s="96"/>
      <c r="I761" s="96"/>
      <c r="J761" s="98"/>
      <c r="K761" s="99"/>
      <c r="L761" s="96"/>
      <c r="M761" s="42"/>
      <c r="N761" s="42"/>
      <c r="O761" s="42"/>
      <c r="P761" s="83"/>
      <c r="Q761" s="83"/>
      <c r="R761" s="42"/>
      <c r="S761" s="42"/>
      <c r="T761" s="43" t="str">
        <f>IFERROR(__xludf.DUMMYFUNCTION("IFERROR(VLOOKUP(C761,IMPORTRANGE(""https://docs.google.com/spreadsheets/d/1RmEXtNg60OGvqZjyMxiYNPJ6S_kcz01v57qrHugDWVc/edit#gid=0"",""Chegadas!E:AQ""),19,0),"""")"),"")</f>
        <v/>
      </c>
      <c r="U761" s="100"/>
      <c r="V761" s="98"/>
      <c r="W761" s="98"/>
    </row>
    <row r="762" hidden="1">
      <c r="A762" s="95"/>
      <c r="B762" s="95"/>
      <c r="C762" s="54"/>
      <c r="D762" s="83"/>
      <c r="E762" s="96"/>
      <c r="F762" s="42"/>
      <c r="G762" s="97"/>
      <c r="H762" s="96"/>
      <c r="I762" s="96"/>
      <c r="J762" s="98"/>
      <c r="K762" s="99"/>
      <c r="L762" s="96"/>
      <c r="M762" s="42"/>
      <c r="N762" s="42"/>
      <c r="O762" s="42"/>
      <c r="P762" s="83"/>
      <c r="Q762" s="83"/>
      <c r="R762" s="42"/>
      <c r="S762" s="42"/>
      <c r="T762" s="43" t="str">
        <f>IFERROR(__xludf.DUMMYFUNCTION("IFERROR(VLOOKUP(C762,IMPORTRANGE(""https://docs.google.com/spreadsheets/d/1RmEXtNg60OGvqZjyMxiYNPJ6S_kcz01v57qrHugDWVc/edit#gid=0"",""Chegadas!E:AQ""),19,0),"""")"),"")</f>
        <v/>
      </c>
      <c r="U762" s="100"/>
      <c r="V762" s="98"/>
      <c r="W762" s="98"/>
    </row>
    <row r="763" hidden="1">
      <c r="A763" s="95"/>
      <c r="B763" s="95"/>
      <c r="C763" s="54"/>
      <c r="D763" s="83"/>
      <c r="E763" s="96"/>
      <c r="F763" s="42"/>
      <c r="G763" s="97"/>
      <c r="H763" s="96"/>
      <c r="I763" s="96"/>
      <c r="J763" s="98"/>
      <c r="K763" s="99"/>
      <c r="L763" s="96"/>
      <c r="M763" s="42"/>
      <c r="N763" s="42"/>
      <c r="O763" s="42"/>
      <c r="P763" s="83"/>
      <c r="Q763" s="83"/>
      <c r="R763" s="42"/>
      <c r="S763" s="42"/>
      <c r="T763" s="43" t="str">
        <f>IFERROR(__xludf.DUMMYFUNCTION("IFERROR(VLOOKUP(C763,IMPORTRANGE(""https://docs.google.com/spreadsheets/d/1RmEXtNg60OGvqZjyMxiYNPJ6S_kcz01v57qrHugDWVc/edit#gid=0"",""Chegadas!E:AQ""),19,0),"""")"),"")</f>
        <v/>
      </c>
      <c r="U763" s="100"/>
      <c r="V763" s="98"/>
      <c r="W763" s="98"/>
    </row>
    <row r="764" hidden="1">
      <c r="A764" s="95"/>
      <c r="B764" s="95"/>
      <c r="C764" s="54"/>
      <c r="D764" s="83"/>
      <c r="E764" s="96"/>
      <c r="F764" s="42"/>
      <c r="G764" s="97"/>
      <c r="H764" s="96"/>
      <c r="I764" s="96"/>
      <c r="J764" s="98"/>
      <c r="K764" s="99"/>
      <c r="L764" s="96"/>
      <c r="M764" s="42"/>
      <c r="N764" s="42"/>
      <c r="O764" s="42"/>
      <c r="P764" s="83"/>
      <c r="Q764" s="83"/>
      <c r="R764" s="42"/>
      <c r="S764" s="42"/>
      <c r="T764" s="43" t="str">
        <f>IFERROR(__xludf.DUMMYFUNCTION("IFERROR(VLOOKUP(C764,IMPORTRANGE(""https://docs.google.com/spreadsheets/d/1RmEXtNg60OGvqZjyMxiYNPJ6S_kcz01v57qrHugDWVc/edit#gid=0"",""Chegadas!E:AQ""),19,0),"""")"),"")</f>
        <v/>
      </c>
      <c r="U764" s="100"/>
      <c r="V764" s="98"/>
      <c r="W764" s="98"/>
    </row>
    <row r="765" hidden="1">
      <c r="A765" s="95"/>
      <c r="B765" s="95"/>
      <c r="C765" s="54"/>
      <c r="D765" s="83"/>
      <c r="E765" s="96"/>
      <c r="F765" s="42"/>
      <c r="G765" s="97"/>
      <c r="H765" s="96"/>
      <c r="I765" s="96"/>
      <c r="J765" s="98"/>
      <c r="K765" s="99"/>
      <c r="L765" s="96"/>
      <c r="M765" s="42"/>
      <c r="N765" s="42"/>
      <c r="O765" s="42"/>
      <c r="P765" s="83"/>
      <c r="Q765" s="83"/>
      <c r="R765" s="42"/>
      <c r="S765" s="42"/>
      <c r="T765" s="43" t="str">
        <f>IFERROR(__xludf.DUMMYFUNCTION("IFERROR(VLOOKUP(C765,IMPORTRANGE(""https://docs.google.com/spreadsheets/d/1RmEXtNg60OGvqZjyMxiYNPJ6S_kcz01v57qrHugDWVc/edit#gid=0"",""Chegadas!E:AQ""),19,0),"""")"),"")</f>
        <v/>
      </c>
      <c r="U765" s="100"/>
      <c r="V765" s="98"/>
      <c r="W765" s="98"/>
    </row>
    <row r="766" hidden="1">
      <c r="A766" s="95"/>
      <c r="B766" s="95"/>
      <c r="C766" s="54"/>
      <c r="D766" s="83"/>
      <c r="E766" s="96"/>
      <c r="F766" s="42"/>
      <c r="G766" s="97"/>
      <c r="H766" s="96"/>
      <c r="I766" s="96"/>
      <c r="J766" s="98"/>
      <c r="K766" s="99"/>
      <c r="L766" s="96"/>
      <c r="M766" s="42"/>
      <c r="N766" s="42"/>
      <c r="O766" s="42"/>
      <c r="P766" s="83"/>
      <c r="Q766" s="83"/>
      <c r="R766" s="42"/>
      <c r="S766" s="42"/>
      <c r="T766" s="43" t="str">
        <f>IFERROR(__xludf.DUMMYFUNCTION("IFERROR(VLOOKUP(C766,IMPORTRANGE(""https://docs.google.com/spreadsheets/d/1RmEXtNg60OGvqZjyMxiYNPJ6S_kcz01v57qrHugDWVc/edit#gid=0"",""Chegadas!E:AQ""),19,0),"""")"),"")</f>
        <v/>
      </c>
      <c r="U766" s="100"/>
      <c r="V766" s="98"/>
      <c r="W766" s="98"/>
    </row>
    <row r="767" hidden="1">
      <c r="A767" s="95"/>
      <c r="B767" s="95"/>
      <c r="C767" s="54"/>
      <c r="D767" s="83"/>
      <c r="E767" s="96"/>
      <c r="F767" s="42"/>
      <c r="G767" s="97"/>
      <c r="H767" s="96"/>
      <c r="I767" s="96"/>
      <c r="J767" s="98"/>
      <c r="K767" s="99"/>
      <c r="L767" s="96"/>
      <c r="M767" s="42"/>
      <c r="N767" s="42"/>
      <c r="O767" s="42"/>
      <c r="P767" s="83"/>
      <c r="Q767" s="83"/>
      <c r="R767" s="42"/>
      <c r="S767" s="42"/>
      <c r="T767" s="43" t="str">
        <f>IFERROR(__xludf.DUMMYFUNCTION("IFERROR(VLOOKUP(C767,IMPORTRANGE(""https://docs.google.com/spreadsheets/d/1RmEXtNg60OGvqZjyMxiYNPJ6S_kcz01v57qrHugDWVc/edit#gid=0"",""Chegadas!E:AQ""),19,0),"""")"),"")</f>
        <v/>
      </c>
      <c r="U767" s="100"/>
      <c r="V767" s="98"/>
      <c r="W767" s="98"/>
    </row>
    <row r="768" hidden="1">
      <c r="A768" s="95"/>
      <c r="B768" s="95"/>
      <c r="C768" s="54"/>
      <c r="D768" s="83"/>
      <c r="E768" s="96"/>
      <c r="F768" s="42"/>
      <c r="G768" s="97"/>
      <c r="H768" s="96"/>
      <c r="I768" s="96"/>
      <c r="J768" s="98"/>
      <c r="K768" s="99"/>
      <c r="L768" s="96"/>
      <c r="M768" s="42"/>
      <c r="N768" s="42"/>
      <c r="O768" s="42"/>
      <c r="P768" s="83"/>
      <c r="Q768" s="83"/>
      <c r="R768" s="42"/>
      <c r="S768" s="42"/>
      <c r="T768" s="43" t="str">
        <f>IFERROR(__xludf.DUMMYFUNCTION("IFERROR(VLOOKUP(C768,IMPORTRANGE(""https://docs.google.com/spreadsheets/d/1RmEXtNg60OGvqZjyMxiYNPJ6S_kcz01v57qrHugDWVc/edit#gid=0"",""Chegadas!E:AQ""),19,0),"""")"),"")</f>
        <v/>
      </c>
      <c r="U768" s="100"/>
      <c r="V768" s="98"/>
      <c r="W768" s="98"/>
    </row>
    <row r="769" hidden="1">
      <c r="A769" s="95"/>
      <c r="B769" s="95"/>
      <c r="C769" s="54"/>
      <c r="D769" s="83"/>
      <c r="E769" s="96"/>
      <c r="F769" s="42"/>
      <c r="G769" s="97"/>
      <c r="H769" s="96"/>
      <c r="I769" s="96"/>
      <c r="J769" s="98"/>
      <c r="K769" s="99"/>
      <c r="L769" s="96"/>
      <c r="M769" s="42"/>
      <c r="N769" s="42"/>
      <c r="O769" s="42"/>
      <c r="P769" s="83"/>
      <c r="Q769" s="83"/>
      <c r="R769" s="42"/>
      <c r="S769" s="42"/>
      <c r="T769" s="43" t="str">
        <f>IFERROR(__xludf.DUMMYFUNCTION("IFERROR(VLOOKUP(C769,IMPORTRANGE(""https://docs.google.com/spreadsheets/d/1RmEXtNg60OGvqZjyMxiYNPJ6S_kcz01v57qrHugDWVc/edit#gid=0"",""Chegadas!E:AQ""),19,0),"""")"),"")</f>
        <v/>
      </c>
      <c r="U769" s="100"/>
      <c r="V769" s="98"/>
      <c r="W769" s="98"/>
    </row>
    <row r="770" hidden="1">
      <c r="A770" s="95"/>
      <c r="B770" s="95"/>
      <c r="C770" s="54"/>
      <c r="D770" s="83"/>
      <c r="E770" s="96"/>
      <c r="F770" s="42"/>
      <c r="G770" s="97"/>
      <c r="H770" s="96"/>
      <c r="I770" s="96"/>
      <c r="J770" s="98"/>
      <c r="K770" s="99"/>
      <c r="L770" s="96"/>
      <c r="M770" s="42"/>
      <c r="N770" s="42"/>
      <c r="O770" s="42"/>
      <c r="P770" s="83"/>
      <c r="Q770" s="83"/>
      <c r="R770" s="42"/>
      <c r="S770" s="42"/>
      <c r="T770" s="43" t="str">
        <f>IFERROR(__xludf.DUMMYFUNCTION("IFERROR(VLOOKUP(C770,IMPORTRANGE(""https://docs.google.com/spreadsheets/d/1RmEXtNg60OGvqZjyMxiYNPJ6S_kcz01v57qrHugDWVc/edit#gid=0"",""Chegadas!E:AQ""),19,0),"""")"),"")</f>
        <v/>
      </c>
      <c r="U770" s="100"/>
      <c r="V770" s="98"/>
      <c r="W770" s="98"/>
    </row>
    <row r="771" hidden="1">
      <c r="A771" s="95"/>
      <c r="B771" s="95"/>
      <c r="C771" s="54"/>
      <c r="D771" s="83"/>
      <c r="E771" s="96"/>
      <c r="F771" s="42"/>
      <c r="G771" s="97"/>
      <c r="H771" s="96"/>
      <c r="I771" s="96"/>
      <c r="J771" s="98"/>
      <c r="K771" s="99"/>
      <c r="L771" s="96"/>
      <c r="M771" s="42"/>
      <c r="N771" s="42"/>
      <c r="O771" s="42"/>
      <c r="P771" s="83"/>
      <c r="Q771" s="83"/>
      <c r="R771" s="42"/>
      <c r="S771" s="42"/>
      <c r="T771" s="43" t="str">
        <f>IFERROR(__xludf.DUMMYFUNCTION("IFERROR(VLOOKUP(C771,IMPORTRANGE(""https://docs.google.com/spreadsheets/d/1RmEXtNg60OGvqZjyMxiYNPJ6S_kcz01v57qrHugDWVc/edit#gid=0"",""Chegadas!E:AQ""),19,0),"""")"),"")</f>
        <v/>
      </c>
      <c r="U771" s="100"/>
      <c r="V771" s="98"/>
      <c r="W771" s="98"/>
    </row>
    <row r="772" hidden="1">
      <c r="A772" s="95"/>
      <c r="B772" s="95"/>
      <c r="C772" s="54"/>
      <c r="D772" s="83"/>
      <c r="E772" s="96"/>
      <c r="F772" s="42"/>
      <c r="G772" s="97"/>
      <c r="H772" s="96"/>
      <c r="I772" s="96"/>
      <c r="J772" s="98"/>
      <c r="K772" s="99"/>
      <c r="L772" s="96"/>
      <c r="M772" s="42"/>
      <c r="N772" s="42"/>
      <c r="O772" s="42"/>
      <c r="P772" s="83"/>
      <c r="Q772" s="83"/>
      <c r="R772" s="42"/>
      <c r="S772" s="42"/>
      <c r="T772" s="43" t="str">
        <f>IFERROR(__xludf.DUMMYFUNCTION("IFERROR(VLOOKUP(C772,IMPORTRANGE(""https://docs.google.com/spreadsheets/d/1RmEXtNg60OGvqZjyMxiYNPJ6S_kcz01v57qrHugDWVc/edit#gid=0"",""Chegadas!E:AQ""),19,0),"""")"),"")</f>
        <v/>
      </c>
      <c r="U772" s="100"/>
      <c r="V772" s="98"/>
      <c r="W772" s="98"/>
    </row>
    <row r="773" hidden="1">
      <c r="A773" s="95"/>
      <c r="B773" s="95"/>
      <c r="C773" s="54"/>
      <c r="D773" s="83"/>
      <c r="E773" s="96"/>
      <c r="F773" s="42"/>
      <c r="G773" s="97"/>
      <c r="H773" s="96"/>
      <c r="I773" s="96"/>
      <c r="J773" s="98"/>
      <c r="K773" s="99"/>
      <c r="L773" s="96"/>
      <c r="M773" s="42"/>
      <c r="N773" s="42"/>
      <c r="O773" s="42"/>
      <c r="P773" s="83"/>
      <c r="Q773" s="83"/>
      <c r="R773" s="42"/>
      <c r="S773" s="42"/>
      <c r="T773" s="43" t="str">
        <f>IFERROR(__xludf.DUMMYFUNCTION("IFERROR(VLOOKUP(C773,IMPORTRANGE(""https://docs.google.com/spreadsheets/d/1RmEXtNg60OGvqZjyMxiYNPJ6S_kcz01v57qrHugDWVc/edit#gid=0"",""Chegadas!E:AQ""),19,0),"""")"),"")</f>
        <v/>
      </c>
      <c r="U773" s="100"/>
      <c r="V773" s="98"/>
      <c r="W773" s="98"/>
    </row>
    <row r="774" hidden="1">
      <c r="A774" s="95"/>
      <c r="B774" s="95"/>
      <c r="C774" s="54"/>
      <c r="D774" s="83"/>
      <c r="E774" s="96"/>
      <c r="F774" s="42"/>
      <c r="G774" s="97"/>
      <c r="H774" s="96"/>
      <c r="I774" s="96"/>
      <c r="J774" s="98"/>
      <c r="K774" s="99"/>
      <c r="L774" s="96"/>
      <c r="M774" s="42"/>
      <c r="N774" s="42"/>
      <c r="O774" s="42"/>
      <c r="P774" s="83"/>
      <c r="Q774" s="83"/>
      <c r="R774" s="42"/>
      <c r="S774" s="42"/>
      <c r="T774" s="43" t="str">
        <f>IFERROR(__xludf.DUMMYFUNCTION("IFERROR(VLOOKUP(C774,IMPORTRANGE(""https://docs.google.com/spreadsheets/d/1RmEXtNg60OGvqZjyMxiYNPJ6S_kcz01v57qrHugDWVc/edit#gid=0"",""Chegadas!E:AQ""),19,0),"""")"),"")</f>
        <v/>
      </c>
      <c r="U774" s="100"/>
      <c r="V774" s="98"/>
      <c r="W774" s="98"/>
    </row>
    <row r="775" hidden="1">
      <c r="A775" s="95"/>
      <c r="B775" s="95"/>
      <c r="C775" s="54"/>
      <c r="D775" s="83"/>
      <c r="E775" s="96"/>
      <c r="F775" s="42"/>
      <c r="G775" s="97"/>
      <c r="H775" s="96"/>
      <c r="I775" s="96"/>
      <c r="J775" s="98"/>
      <c r="K775" s="99"/>
      <c r="L775" s="96"/>
      <c r="M775" s="42"/>
      <c r="N775" s="42"/>
      <c r="O775" s="42"/>
      <c r="P775" s="83"/>
      <c r="Q775" s="83"/>
      <c r="R775" s="42"/>
      <c r="S775" s="42"/>
      <c r="T775" s="43" t="str">
        <f>IFERROR(__xludf.DUMMYFUNCTION("IFERROR(VLOOKUP(C775,IMPORTRANGE(""https://docs.google.com/spreadsheets/d/1RmEXtNg60OGvqZjyMxiYNPJ6S_kcz01v57qrHugDWVc/edit#gid=0"",""Chegadas!E:AQ""),19,0),"""")"),"")</f>
        <v/>
      </c>
      <c r="U775" s="100"/>
      <c r="V775" s="98"/>
      <c r="W775" s="98"/>
    </row>
    <row r="776" hidden="1">
      <c r="A776" s="95"/>
      <c r="B776" s="95"/>
      <c r="C776" s="54"/>
      <c r="D776" s="83"/>
      <c r="E776" s="96"/>
      <c r="F776" s="42"/>
      <c r="G776" s="97"/>
      <c r="H776" s="96"/>
      <c r="I776" s="96"/>
      <c r="J776" s="98"/>
      <c r="K776" s="99"/>
      <c r="L776" s="96"/>
      <c r="M776" s="42"/>
      <c r="N776" s="42"/>
      <c r="O776" s="42"/>
      <c r="P776" s="83"/>
      <c r="Q776" s="83"/>
      <c r="R776" s="42"/>
      <c r="S776" s="42"/>
      <c r="T776" s="43" t="str">
        <f>IFERROR(__xludf.DUMMYFUNCTION("IFERROR(VLOOKUP(C776,IMPORTRANGE(""https://docs.google.com/spreadsheets/d/1RmEXtNg60OGvqZjyMxiYNPJ6S_kcz01v57qrHugDWVc/edit#gid=0"",""Chegadas!E:AQ""),19,0),"""")"),"")</f>
        <v/>
      </c>
      <c r="U776" s="100"/>
      <c r="V776" s="98"/>
      <c r="W776" s="98"/>
    </row>
    <row r="777" hidden="1">
      <c r="A777" s="95"/>
      <c r="B777" s="95"/>
      <c r="C777" s="54"/>
      <c r="D777" s="83"/>
      <c r="E777" s="96"/>
      <c r="F777" s="42"/>
      <c r="G777" s="97"/>
      <c r="H777" s="96"/>
      <c r="I777" s="96"/>
      <c r="J777" s="98"/>
      <c r="K777" s="99"/>
      <c r="L777" s="96"/>
      <c r="M777" s="42"/>
      <c r="N777" s="42"/>
      <c r="O777" s="42"/>
      <c r="P777" s="83"/>
      <c r="Q777" s="83"/>
      <c r="R777" s="42"/>
      <c r="S777" s="42"/>
      <c r="T777" s="43" t="str">
        <f>IFERROR(__xludf.DUMMYFUNCTION("IFERROR(VLOOKUP(C777,IMPORTRANGE(""https://docs.google.com/spreadsheets/d/1RmEXtNg60OGvqZjyMxiYNPJ6S_kcz01v57qrHugDWVc/edit#gid=0"",""Chegadas!E:AQ""),19,0),"""")"),"")</f>
        <v/>
      </c>
      <c r="U777" s="100"/>
      <c r="V777" s="98"/>
      <c r="W777" s="98"/>
    </row>
    <row r="778" hidden="1">
      <c r="A778" s="95"/>
      <c r="B778" s="95"/>
      <c r="C778" s="54"/>
      <c r="D778" s="83"/>
      <c r="E778" s="96"/>
      <c r="F778" s="42"/>
      <c r="G778" s="97"/>
      <c r="H778" s="96"/>
      <c r="I778" s="96"/>
      <c r="J778" s="98"/>
      <c r="K778" s="99"/>
      <c r="L778" s="96"/>
      <c r="M778" s="42"/>
      <c r="N778" s="42"/>
      <c r="O778" s="42"/>
      <c r="P778" s="83"/>
      <c r="Q778" s="83"/>
      <c r="R778" s="42"/>
      <c r="S778" s="42"/>
      <c r="T778" s="43" t="str">
        <f>IFERROR(__xludf.DUMMYFUNCTION("IFERROR(VLOOKUP(C778,IMPORTRANGE(""https://docs.google.com/spreadsheets/d/1RmEXtNg60OGvqZjyMxiYNPJ6S_kcz01v57qrHugDWVc/edit#gid=0"",""Chegadas!E:AQ""),19,0),"""")"),"")</f>
        <v/>
      </c>
      <c r="U778" s="100"/>
      <c r="V778" s="98"/>
      <c r="W778" s="98"/>
    </row>
    <row r="779" hidden="1">
      <c r="A779" s="95"/>
      <c r="B779" s="95"/>
      <c r="C779" s="54"/>
      <c r="D779" s="83"/>
      <c r="E779" s="96"/>
      <c r="F779" s="42"/>
      <c r="G779" s="97"/>
      <c r="H779" s="96"/>
      <c r="I779" s="96"/>
      <c r="J779" s="98"/>
      <c r="K779" s="99"/>
      <c r="L779" s="96"/>
      <c r="M779" s="42"/>
      <c r="N779" s="42"/>
      <c r="O779" s="42"/>
      <c r="P779" s="83"/>
      <c r="Q779" s="83"/>
      <c r="R779" s="42"/>
      <c r="S779" s="42"/>
      <c r="T779" s="43" t="str">
        <f>IFERROR(__xludf.DUMMYFUNCTION("IFERROR(VLOOKUP(C779,IMPORTRANGE(""https://docs.google.com/spreadsheets/d/1RmEXtNg60OGvqZjyMxiYNPJ6S_kcz01v57qrHugDWVc/edit#gid=0"",""Chegadas!E:AQ""),19,0),"""")"),"")</f>
        <v/>
      </c>
      <c r="U779" s="100"/>
      <c r="V779" s="98"/>
      <c r="W779" s="98"/>
    </row>
    <row r="780" hidden="1">
      <c r="A780" s="95"/>
      <c r="B780" s="95"/>
      <c r="C780" s="54"/>
      <c r="D780" s="83"/>
      <c r="E780" s="96"/>
      <c r="F780" s="42"/>
      <c r="G780" s="97"/>
      <c r="H780" s="96"/>
      <c r="I780" s="96"/>
      <c r="J780" s="98"/>
      <c r="K780" s="99"/>
      <c r="L780" s="96"/>
      <c r="M780" s="42"/>
      <c r="N780" s="42"/>
      <c r="O780" s="42"/>
      <c r="P780" s="83"/>
      <c r="Q780" s="83"/>
      <c r="R780" s="42"/>
      <c r="S780" s="42"/>
      <c r="T780" s="43" t="str">
        <f>IFERROR(__xludf.DUMMYFUNCTION("IFERROR(VLOOKUP(C780,IMPORTRANGE(""https://docs.google.com/spreadsheets/d/1RmEXtNg60OGvqZjyMxiYNPJ6S_kcz01v57qrHugDWVc/edit#gid=0"",""Chegadas!E:AQ""),19,0),"""")"),"")</f>
        <v/>
      </c>
      <c r="U780" s="100"/>
      <c r="V780" s="98"/>
      <c r="W780" s="98"/>
    </row>
    <row r="781" hidden="1">
      <c r="A781" s="95"/>
      <c r="B781" s="95"/>
      <c r="C781" s="54"/>
      <c r="D781" s="83"/>
      <c r="E781" s="96"/>
      <c r="F781" s="42"/>
      <c r="G781" s="97"/>
      <c r="H781" s="96"/>
      <c r="I781" s="96"/>
      <c r="J781" s="98"/>
      <c r="K781" s="99"/>
      <c r="L781" s="96"/>
      <c r="M781" s="42"/>
      <c r="N781" s="42"/>
      <c r="O781" s="42"/>
      <c r="P781" s="83"/>
      <c r="Q781" s="83"/>
      <c r="R781" s="42"/>
      <c r="S781" s="42"/>
      <c r="T781" s="43" t="str">
        <f>IFERROR(__xludf.DUMMYFUNCTION("IFERROR(VLOOKUP(C781,IMPORTRANGE(""https://docs.google.com/spreadsheets/d/1RmEXtNg60OGvqZjyMxiYNPJ6S_kcz01v57qrHugDWVc/edit#gid=0"",""Chegadas!E:AQ""),19,0),"""")"),"")</f>
        <v/>
      </c>
      <c r="U781" s="100"/>
      <c r="V781" s="98"/>
      <c r="W781" s="98"/>
    </row>
    <row r="782" hidden="1">
      <c r="A782" s="95"/>
      <c r="B782" s="95"/>
      <c r="C782" s="54"/>
      <c r="D782" s="83"/>
      <c r="E782" s="96"/>
      <c r="F782" s="42"/>
      <c r="G782" s="97"/>
      <c r="H782" s="96"/>
      <c r="I782" s="96"/>
      <c r="J782" s="98"/>
      <c r="K782" s="99"/>
      <c r="L782" s="96"/>
      <c r="M782" s="42"/>
      <c r="N782" s="42"/>
      <c r="O782" s="42"/>
      <c r="P782" s="83"/>
      <c r="Q782" s="83"/>
      <c r="R782" s="42"/>
      <c r="S782" s="42"/>
      <c r="T782" s="43" t="str">
        <f>IFERROR(__xludf.DUMMYFUNCTION("IFERROR(VLOOKUP(C782,IMPORTRANGE(""https://docs.google.com/spreadsheets/d/1RmEXtNg60OGvqZjyMxiYNPJ6S_kcz01v57qrHugDWVc/edit#gid=0"",""Chegadas!E:AQ""),19,0),"""")"),"")</f>
        <v/>
      </c>
      <c r="U782" s="100"/>
      <c r="V782" s="98"/>
      <c r="W782" s="98"/>
    </row>
    <row r="783" hidden="1">
      <c r="A783" s="95"/>
      <c r="B783" s="95"/>
      <c r="C783" s="54"/>
      <c r="D783" s="83"/>
      <c r="E783" s="96"/>
      <c r="F783" s="42"/>
      <c r="G783" s="97"/>
      <c r="H783" s="96"/>
      <c r="I783" s="96"/>
      <c r="J783" s="98"/>
      <c r="K783" s="99"/>
      <c r="L783" s="96"/>
      <c r="M783" s="42"/>
      <c r="N783" s="42"/>
      <c r="O783" s="42"/>
      <c r="P783" s="83"/>
      <c r="Q783" s="83"/>
      <c r="R783" s="42"/>
      <c r="S783" s="42"/>
      <c r="T783" s="43" t="str">
        <f>IFERROR(__xludf.DUMMYFUNCTION("IFERROR(VLOOKUP(C783,IMPORTRANGE(""https://docs.google.com/spreadsheets/d/1RmEXtNg60OGvqZjyMxiYNPJ6S_kcz01v57qrHugDWVc/edit#gid=0"",""Chegadas!E:AQ""),19,0),"""")"),"")</f>
        <v/>
      </c>
      <c r="U783" s="100"/>
      <c r="V783" s="98"/>
      <c r="W783" s="98"/>
    </row>
    <row r="784" hidden="1">
      <c r="A784" s="95"/>
      <c r="B784" s="95"/>
      <c r="C784" s="54"/>
      <c r="D784" s="83"/>
      <c r="E784" s="96"/>
      <c r="F784" s="42"/>
      <c r="G784" s="97"/>
      <c r="H784" s="96"/>
      <c r="I784" s="96"/>
      <c r="J784" s="98"/>
      <c r="K784" s="99"/>
      <c r="L784" s="96"/>
      <c r="M784" s="42"/>
      <c r="N784" s="42"/>
      <c r="O784" s="42"/>
      <c r="P784" s="83"/>
      <c r="Q784" s="83"/>
      <c r="R784" s="42"/>
      <c r="S784" s="42"/>
      <c r="T784" s="43" t="str">
        <f>IFERROR(__xludf.DUMMYFUNCTION("IFERROR(VLOOKUP(C784,IMPORTRANGE(""https://docs.google.com/spreadsheets/d/1RmEXtNg60OGvqZjyMxiYNPJ6S_kcz01v57qrHugDWVc/edit#gid=0"",""Chegadas!E:AQ""),19,0),"""")"),"")</f>
        <v/>
      </c>
      <c r="U784" s="100"/>
      <c r="V784" s="98"/>
      <c r="W784" s="98"/>
    </row>
    <row r="785" hidden="1">
      <c r="A785" s="95"/>
      <c r="B785" s="95"/>
      <c r="C785" s="54"/>
      <c r="D785" s="83"/>
      <c r="E785" s="96"/>
      <c r="F785" s="42"/>
      <c r="G785" s="97"/>
      <c r="H785" s="96"/>
      <c r="I785" s="96"/>
      <c r="J785" s="98"/>
      <c r="K785" s="99"/>
      <c r="L785" s="96"/>
      <c r="M785" s="42"/>
      <c r="N785" s="42"/>
      <c r="O785" s="42"/>
      <c r="P785" s="83"/>
      <c r="Q785" s="83"/>
      <c r="R785" s="42"/>
      <c r="S785" s="42"/>
      <c r="T785" s="43" t="str">
        <f>IFERROR(__xludf.DUMMYFUNCTION("IFERROR(VLOOKUP(C785,IMPORTRANGE(""https://docs.google.com/spreadsheets/d/1RmEXtNg60OGvqZjyMxiYNPJ6S_kcz01v57qrHugDWVc/edit#gid=0"",""Chegadas!E:AQ""),19,0),"""")"),"")</f>
        <v/>
      </c>
      <c r="U785" s="100"/>
      <c r="V785" s="98"/>
      <c r="W785" s="98"/>
    </row>
    <row r="786" hidden="1">
      <c r="A786" s="95"/>
      <c r="B786" s="95"/>
      <c r="C786" s="54"/>
      <c r="D786" s="83"/>
      <c r="E786" s="96"/>
      <c r="F786" s="42"/>
      <c r="G786" s="97"/>
      <c r="H786" s="96"/>
      <c r="I786" s="96"/>
      <c r="J786" s="98"/>
      <c r="K786" s="99"/>
      <c r="L786" s="96"/>
      <c r="M786" s="42"/>
      <c r="N786" s="42"/>
      <c r="O786" s="42"/>
      <c r="P786" s="83"/>
      <c r="Q786" s="83"/>
      <c r="R786" s="42"/>
      <c r="S786" s="42"/>
      <c r="T786" s="43" t="str">
        <f>IFERROR(__xludf.DUMMYFUNCTION("IFERROR(VLOOKUP(C786,IMPORTRANGE(""https://docs.google.com/spreadsheets/d/1RmEXtNg60OGvqZjyMxiYNPJ6S_kcz01v57qrHugDWVc/edit#gid=0"",""Chegadas!E:AQ""),19,0),"""")"),"")</f>
        <v/>
      </c>
      <c r="U786" s="100"/>
      <c r="V786" s="98"/>
      <c r="W786" s="98"/>
    </row>
    <row r="787" hidden="1">
      <c r="A787" s="95"/>
      <c r="B787" s="95"/>
      <c r="C787" s="54"/>
      <c r="D787" s="83"/>
      <c r="E787" s="96"/>
      <c r="F787" s="42"/>
      <c r="G787" s="97"/>
      <c r="H787" s="96"/>
      <c r="I787" s="96"/>
      <c r="J787" s="98"/>
      <c r="K787" s="99"/>
      <c r="L787" s="96"/>
      <c r="M787" s="42"/>
      <c r="N787" s="42"/>
      <c r="O787" s="42"/>
      <c r="P787" s="83"/>
      <c r="Q787" s="83"/>
      <c r="R787" s="42"/>
      <c r="S787" s="42"/>
      <c r="T787" s="43" t="str">
        <f>IFERROR(__xludf.DUMMYFUNCTION("IFERROR(VLOOKUP(C787,IMPORTRANGE(""https://docs.google.com/spreadsheets/d/1RmEXtNg60OGvqZjyMxiYNPJ6S_kcz01v57qrHugDWVc/edit#gid=0"",""Chegadas!E:AQ""),19,0),"""")"),"")</f>
        <v/>
      </c>
      <c r="U787" s="100"/>
      <c r="V787" s="98"/>
      <c r="W787" s="98"/>
    </row>
    <row r="788" hidden="1">
      <c r="A788" s="95"/>
      <c r="B788" s="95"/>
      <c r="C788" s="54"/>
      <c r="D788" s="83"/>
      <c r="E788" s="96"/>
      <c r="F788" s="42"/>
      <c r="G788" s="97"/>
      <c r="H788" s="96"/>
      <c r="I788" s="96"/>
      <c r="J788" s="98"/>
      <c r="K788" s="99"/>
      <c r="L788" s="96"/>
      <c r="M788" s="42"/>
      <c r="N788" s="42"/>
      <c r="O788" s="42"/>
      <c r="P788" s="83"/>
      <c r="Q788" s="83"/>
      <c r="R788" s="42"/>
      <c r="S788" s="42"/>
      <c r="T788" s="43" t="str">
        <f>IFERROR(__xludf.DUMMYFUNCTION("IFERROR(VLOOKUP(C788,IMPORTRANGE(""https://docs.google.com/spreadsheets/d/1RmEXtNg60OGvqZjyMxiYNPJ6S_kcz01v57qrHugDWVc/edit#gid=0"",""Chegadas!E:AQ""),19,0),"""")"),"")</f>
        <v/>
      </c>
      <c r="U788" s="100"/>
      <c r="V788" s="98"/>
      <c r="W788" s="98"/>
    </row>
    <row r="789" hidden="1">
      <c r="A789" s="95"/>
      <c r="B789" s="95"/>
      <c r="C789" s="54"/>
      <c r="D789" s="83"/>
      <c r="E789" s="96"/>
      <c r="F789" s="42"/>
      <c r="G789" s="97"/>
      <c r="H789" s="96"/>
      <c r="I789" s="96"/>
      <c r="J789" s="98"/>
      <c r="K789" s="99"/>
      <c r="L789" s="96"/>
      <c r="M789" s="42"/>
      <c r="N789" s="42"/>
      <c r="O789" s="42"/>
      <c r="P789" s="83"/>
      <c r="Q789" s="83"/>
      <c r="R789" s="42"/>
      <c r="S789" s="42"/>
      <c r="T789" s="43" t="str">
        <f>IFERROR(__xludf.DUMMYFUNCTION("IFERROR(VLOOKUP(C789,IMPORTRANGE(""https://docs.google.com/spreadsheets/d/1RmEXtNg60OGvqZjyMxiYNPJ6S_kcz01v57qrHugDWVc/edit#gid=0"",""Chegadas!E:AQ""),19,0),"""")"),"")</f>
        <v/>
      </c>
      <c r="U789" s="100"/>
      <c r="V789" s="98"/>
      <c r="W789" s="98"/>
    </row>
    <row r="790" hidden="1">
      <c r="A790" s="95"/>
      <c r="B790" s="95"/>
      <c r="C790" s="54"/>
      <c r="D790" s="83"/>
      <c r="E790" s="96"/>
      <c r="F790" s="42"/>
      <c r="G790" s="97"/>
      <c r="H790" s="96"/>
      <c r="I790" s="96"/>
      <c r="J790" s="98"/>
      <c r="K790" s="99"/>
      <c r="L790" s="96"/>
      <c r="M790" s="42"/>
      <c r="N790" s="42"/>
      <c r="O790" s="42"/>
      <c r="P790" s="83"/>
      <c r="Q790" s="83"/>
      <c r="R790" s="42"/>
      <c r="S790" s="42"/>
      <c r="T790" s="43" t="str">
        <f>IFERROR(__xludf.DUMMYFUNCTION("IFERROR(VLOOKUP(C790,IMPORTRANGE(""https://docs.google.com/spreadsheets/d/1RmEXtNg60OGvqZjyMxiYNPJ6S_kcz01v57qrHugDWVc/edit#gid=0"",""Chegadas!E:AQ""),19,0),"""")"),"")</f>
        <v/>
      </c>
      <c r="U790" s="100"/>
      <c r="V790" s="98"/>
      <c r="W790" s="98"/>
    </row>
    <row r="791" hidden="1">
      <c r="A791" s="95"/>
      <c r="B791" s="95"/>
      <c r="C791" s="54"/>
      <c r="D791" s="83"/>
      <c r="E791" s="96"/>
      <c r="F791" s="42"/>
      <c r="G791" s="97"/>
      <c r="H791" s="96"/>
      <c r="I791" s="96"/>
      <c r="J791" s="98"/>
      <c r="K791" s="99"/>
      <c r="L791" s="96"/>
      <c r="M791" s="42"/>
      <c r="N791" s="42"/>
      <c r="O791" s="42"/>
      <c r="P791" s="83"/>
      <c r="Q791" s="83"/>
      <c r="R791" s="42"/>
      <c r="S791" s="42"/>
      <c r="T791" s="43" t="str">
        <f>IFERROR(__xludf.DUMMYFUNCTION("IFERROR(VLOOKUP(C791,IMPORTRANGE(""https://docs.google.com/spreadsheets/d/1RmEXtNg60OGvqZjyMxiYNPJ6S_kcz01v57qrHugDWVc/edit#gid=0"",""Chegadas!E:AQ""),19,0),"""")"),"")</f>
        <v/>
      </c>
      <c r="U791" s="100"/>
      <c r="V791" s="98"/>
      <c r="W791" s="98"/>
    </row>
    <row r="792" hidden="1">
      <c r="A792" s="95"/>
      <c r="B792" s="95"/>
      <c r="C792" s="54"/>
      <c r="D792" s="83"/>
      <c r="E792" s="96"/>
      <c r="F792" s="42"/>
      <c r="G792" s="97"/>
      <c r="H792" s="96"/>
      <c r="I792" s="96"/>
      <c r="J792" s="98"/>
      <c r="K792" s="99"/>
      <c r="L792" s="96"/>
      <c r="M792" s="42"/>
      <c r="N792" s="42"/>
      <c r="O792" s="42"/>
      <c r="P792" s="83"/>
      <c r="Q792" s="83"/>
      <c r="R792" s="42"/>
      <c r="S792" s="42"/>
      <c r="T792" s="43" t="str">
        <f>IFERROR(__xludf.DUMMYFUNCTION("IFERROR(VLOOKUP(C792,IMPORTRANGE(""https://docs.google.com/spreadsheets/d/1RmEXtNg60OGvqZjyMxiYNPJ6S_kcz01v57qrHugDWVc/edit#gid=0"",""Chegadas!E:AQ""),19,0),"""")"),"")</f>
        <v/>
      </c>
      <c r="U792" s="100"/>
      <c r="V792" s="98"/>
      <c r="W792" s="98"/>
    </row>
    <row r="793" hidden="1">
      <c r="A793" s="95"/>
      <c r="B793" s="95"/>
      <c r="C793" s="54"/>
      <c r="D793" s="83"/>
      <c r="E793" s="96"/>
      <c r="F793" s="42"/>
      <c r="G793" s="97"/>
      <c r="H793" s="96"/>
      <c r="I793" s="96"/>
      <c r="J793" s="98"/>
      <c r="K793" s="99"/>
      <c r="L793" s="96"/>
      <c r="M793" s="42"/>
      <c r="N793" s="42"/>
      <c r="O793" s="42"/>
      <c r="P793" s="83"/>
      <c r="Q793" s="83"/>
      <c r="R793" s="42"/>
      <c r="S793" s="42"/>
      <c r="T793" s="43" t="str">
        <f>IFERROR(__xludf.DUMMYFUNCTION("IFERROR(VLOOKUP(C793,IMPORTRANGE(""https://docs.google.com/spreadsheets/d/1RmEXtNg60OGvqZjyMxiYNPJ6S_kcz01v57qrHugDWVc/edit#gid=0"",""Chegadas!E:AQ""),19,0),"""")"),"")</f>
        <v/>
      </c>
      <c r="U793" s="100"/>
      <c r="V793" s="98"/>
      <c r="W793" s="98"/>
    </row>
    <row r="794" hidden="1">
      <c r="A794" s="95"/>
      <c r="B794" s="95"/>
      <c r="C794" s="54"/>
      <c r="D794" s="83"/>
      <c r="E794" s="96"/>
      <c r="F794" s="42"/>
      <c r="G794" s="97"/>
      <c r="H794" s="96"/>
      <c r="I794" s="96"/>
      <c r="J794" s="98"/>
      <c r="K794" s="99"/>
      <c r="L794" s="96"/>
      <c r="M794" s="42"/>
      <c r="N794" s="42"/>
      <c r="O794" s="42"/>
      <c r="P794" s="83"/>
      <c r="Q794" s="83"/>
      <c r="R794" s="42"/>
      <c r="S794" s="42"/>
      <c r="T794" s="43" t="str">
        <f>IFERROR(__xludf.DUMMYFUNCTION("IFERROR(VLOOKUP(C794,IMPORTRANGE(""https://docs.google.com/spreadsheets/d/1RmEXtNg60OGvqZjyMxiYNPJ6S_kcz01v57qrHugDWVc/edit#gid=0"",""Chegadas!E:AQ""),19,0),"""")"),"")</f>
        <v/>
      </c>
      <c r="U794" s="100"/>
      <c r="V794" s="98"/>
      <c r="W794" s="98"/>
    </row>
    <row r="795" hidden="1">
      <c r="A795" s="95"/>
      <c r="B795" s="95"/>
      <c r="C795" s="54"/>
      <c r="D795" s="83"/>
      <c r="E795" s="96"/>
      <c r="F795" s="42"/>
      <c r="G795" s="97"/>
      <c r="H795" s="96"/>
      <c r="I795" s="96"/>
      <c r="J795" s="98"/>
      <c r="K795" s="99"/>
      <c r="L795" s="96"/>
      <c r="M795" s="42"/>
      <c r="N795" s="42"/>
      <c r="O795" s="42"/>
      <c r="P795" s="83"/>
      <c r="Q795" s="83"/>
      <c r="R795" s="42"/>
      <c r="S795" s="42"/>
      <c r="T795" s="43" t="str">
        <f>IFERROR(__xludf.DUMMYFUNCTION("IFERROR(VLOOKUP(C795,IMPORTRANGE(""https://docs.google.com/spreadsheets/d/1RmEXtNg60OGvqZjyMxiYNPJ6S_kcz01v57qrHugDWVc/edit#gid=0"",""Chegadas!E:AQ""),19,0),"""")"),"")</f>
        <v/>
      </c>
      <c r="U795" s="100"/>
      <c r="V795" s="98"/>
      <c r="W795" s="98"/>
    </row>
    <row r="796" hidden="1">
      <c r="A796" s="95"/>
      <c r="B796" s="95"/>
      <c r="C796" s="54"/>
      <c r="D796" s="83"/>
      <c r="E796" s="96"/>
      <c r="F796" s="42"/>
      <c r="G796" s="97"/>
      <c r="H796" s="96"/>
      <c r="I796" s="96"/>
      <c r="J796" s="98"/>
      <c r="K796" s="99"/>
      <c r="L796" s="96"/>
      <c r="M796" s="42"/>
      <c r="N796" s="42"/>
      <c r="O796" s="42"/>
      <c r="P796" s="83"/>
      <c r="Q796" s="83"/>
      <c r="R796" s="42"/>
      <c r="S796" s="42"/>
      <c r="T796" s="43" t="str">
        <f>IFERROR(__xludf.DUMMYFUNCTION("IFERROR(VLOOKUP(C796,IMPORTRANGE(""https://docs.google.com/spreadsheets/d/1RmEXtNg60OGvqZjyMxiYNPJ6S_kcz01v57qrHugDWVc/edit#gid=0"",""Chegadas!E:AQ""),19,0),"""")"),"")</f>
        <v/>
      </c>
      <c r="U796" s="100"/>
      <c r="V796" s="98"/>
      <c r="W796" s="98"/>
    </row>
    <row r="797" hidden="1">
      <c r="A797" s="95"/>
      <c r="B797" s="95"/>
      <c r="C797" s="54"/>
      <c r="D797" s="83"/>
      <c r="E797" s="96"/>
      <c r="F797" s="42"/>
      <c r="G797" s="97"/>
      <c r="H797" s="96"/>
      <c r="I797" s="96"/>
      <c r="J797" s="98"/>
      <c r="K797" s="99"/>
      <c r="L797" s="96"/>
      <c r="M797" s="42"/>
      <c r="N797" s="42"/>
      <c r="O797" s="42"/>
      <c r="P797" s="83"/>
      <c r="Q797" s="83"/>
      <c r="R797" s="42"/>
      <c r="S797" s="42"/>
      <c r="T797" s="43" t="str">
        <f>IFERROR(__xludf.DUMMYFUNCTION("IFERROR(VLOOKUP(C797,IMPORTRANGE(""https://docs.google.com/spreadsheets/d/1RmEXtNg60OGvqZjyMxiYNPJ6S_kcz01v57qrHugDWVc/edit#gid=0"",""Chegadas!E:AQ""),19,0),"""")"),"")</f>
        <v/>
      </c>
      <c r="U797" s="100"/>
      <c r="V797" s="98"/>
      <c r="W797" s="98"/>
    </row>
    <row r="798" hidden="1">
      <c r="A798" s="95"/>
      <c r="B798" s="95"/>
      <c r="C798" s="54"/>
      <c r="D798" s="83"/>
      <c r="E798" s="96"/>
      <c r="F798" s="42"/>
      <c r="G798" s="97"/>
      <c r="H798" s="96"/>
      <c r="I798" s="96"/>
      <c r="J798" s="98"/>
      <c r="K798" s="99"/>
      <c r="L798" s="96"/>
      <c r="M798" s="42"/>
      <c r="N798" s="42"/>
      <c r="O798" s="42"/>
      <c r="P798" s="83"/>
      <c r="Q798" s="83"/>
      <c r="R798" s="42"/>
      <c r="S798" s="42"/>
      <c r="T798" s="43" t="str">
        <f>IFERROR(__xludf.DUMMYFUNCTION("IFERROR(VLOOKUP(C798,IMPORTRANGE(""https://docs.google.com/spreadsheets/d/1RmEXtNg60OGvqZjyMxiYNPJ6S_kcz01v57qrHugDWVc/edit#gid=0"",""Chegadas!E:AQ""),19,0),"""")"),"")</f>
        <v/>
      </c>
      <c r="U798" s="100"/>
      <c r="V798" s="98"/>
      <c r="W798" s="98"/>
    </row>
    <row r="799" hidden="1">
      <c r="A799" s="95"/>
      <c r="B799" s="95"/>
      <c r="C799" s="54"/>
      <c r="D799" s="83"/>
      <c r="E799" s="96"/>
      <c r="F799" s="42"/>
      <c r="G799" s="97"/>
      <c r="H799" s="96"/>
      <c r="I799" s="96"/>
      <c r="J799" s="98"/>
      <c r="K799" s="99"/>
      <c r="L799" s="96"/>
      <c r="M799" s="42"/>
      <c r="N799" s="42"/>
      <c r="O799" s="42"/>
      <c r="P799" s="83"/>
      <c r="Q799" s="83"/>
      <c r="R799" s="42"/>
      <c r="S799" s="42"/>
      <c r="T799" s="43" t="str">
        <f>IFERROR(__xludf.DUMMYFUNCTION("IFERROR(VLOOKUP(C799,IMPORTRANGE(""https://docs.google.com/spreadsheets/d/1RmEXtNg60OGvqZjyMxiYNPJ6S_kcz01v57qrHugDWVc/edit#gid=0"",""Chegadas!E:AQ""),19,0),"""")"),"")</f>
        <v/>
      </c>
      <c r="U799" s="100"/>
      <c r="V799" s="98"/>
      <c r="W799" s="98"/>
    </row>
    <row r="800" hidden="1">
      <c r="A800" s="95"/>
      <c r="B800" s="95"/>
      <c r="C800" s="54"/>
      <c r="D800" s="83"/>
      <c r="E800" s="96"/>
      <c r="F800" s="42"/>
      <c r="G800" s="97"/>
      <c r="H800" s="96"/>
      <c r="I800" s="96"/>
      <c r="J800" s="98"/>
      <c r="K800" s="99"/>
      <c r="L800" s="96"/>
      <c r="M800" s="42"/>
      <c r="N800" s="42"/>
      <c r="O800" s="42"/>
      <c r="P800" s="83"/>
      <c r="Q800" s="83"/>
      <c r="R800" s="42"/>
      <c r="S800" s="42"/>
      <c r="T800" s="43" t="str">
        <f>IFERROR(__xludf.DUMMYFUNCTION("IFERROR(VLOOKUP(C800,IMPORTRANGE(""https://docs.google.com/spreadsheets/d/1RmEXtNg60OGvqZjyMxiYNPJ6S_kcz01v57qrHugDWVc/edit#gid=0"",""Chegadas!E:AQ""),19,0),"""")"),"")</f>
        <v/>
      </c>
      <c r="U800" s="100"/>
      <c r="V800" s="98"/>
      <c r="W800" s="98"/>
    </row>
    <row r="801" hidden="1">
      <c r="A801" s="95"/>
      <c r="B801" s="95"/>
      <c r="C801" s="54"/>
      <c r="D801" s="83"/>
      <c r="E801" s="96"/>
      <c r="F801" s="42"/>
      <c r="G801" s="97"/>
      <c r="H801" s="96"/>
      <c r="I801" s="96"/>
      <c r="J801" s="98"/>
      <c r="K801" s="99"/>
      <c r="L801" s="96"/>
      <c r="M801" s="42"/>
      <c r="N801" s="42"/>
      <c r="O801" s="42"/>
      <c r="P801" s="83"/>
      <c r="Q801" s="83"/>
      <c r="R801" s="42"/>
      <c r="S801" s="42"/>
      <c r="T801" s="43" t="str">
        <f>IFERROR(__xludf.DUMMYFUNCTION("IFERROR(VLOOKUP(C801,IMPORTRANGE(""https://docs.google.com/spreadsheets/d/1RmEXtNg60OGvqZjyMxiYNPJ6S_kcz01v57qrHugDWVc/edit#gid=0"",""Chegadas!E:AQ""),19,0),"""")"),"")</f>
        <v/>
      </c>
      <c r="U801" s="100"/>
      <c r="V801" s="98"/>
      <c r="W801" s="98"/>
    </row>
    <row r="802" hidden="1">
      <c r="A802" s="95"/>
      <c r="B802" s="95"/>
      <c r="C802" s="54"/>
      <c r="D802" s="83"/>
      <c r="E802" s="96"/>
      <c r="F802" s="42"/>
      <c r="G802" s="97"/>
      <c r="H802" s="96"/>
      <c r="I802" s="96"/>
      <c r="J802" s="98"/>
      <c r="K802" s="99"/>
      <c r="L802" s="96"/>
      <c r="M802" s="42"/>
      <c r="N802" s="42"/>
      <c r="O802" s="42"/>
      <c r="P802" s="83"/>
      <c r="Q802" s="83"/>
      <c r="R802" s="42"/>
      <c r="S802" s="42"/>
      <c r="T802" s="43" t="str">
        <f>IFERROR(__xludf.DUMMYFUNCTION("IFERROR(VLOOKUP(C802,IMPORTRANGE(""https://docs.google.com/spreadsheets/d/1RmEXtNg60OGvqZjyMxiYNPJ6S_kcz01v57qrHugDWVc/edit#gid=0"",""Chegadas!E:AQ""),19,0),"""")"),"")</f>
        <v/>
      </c>
      <c r="U802" s="100"/>
      <c r="V802" s="98"/>
      <c r="W802" s="98"/>
    </row>
    <row r="803" hidden="1">
      <c r="A803" s="95"/>
      <c r="B803" s="95"/>
      <c r="C803" s="54"/>
      <c r="D803" s="83"/>
      <c r="E803" s="96"/>
      <c r="F803" s="42"/>
      <c r="G803" s="97"/>
      <c r="H803" s="96"/>
      <c r="I803" s="96"/>
      <c r="J803" s="98"/>
      <c r="K803" s="99"/>
      <c r="L803" s="96"/>
      <c r="M803" s="42"/>
      <c r="N803" s="42"/>
      <c r="O803" s="42"/>
      <c r="P803" s="83"/>
      <c r="Q803" s="83"/>
      <c r="R803" s="42"/>
      <c r="S803" s="42"/>
      <c r="T803" s="43" t="str">
        <f>IFERROR(__xludf.DUMMYFUNCTION("IFERROR(VLOOKUP(C803,IMPORTRANGE(""https://docs.google.com/spreadsheets/d/1RmEXtNg60OGvqZjyMxiYNPJ6S_kcz01v57qrHugDWVc/edit#gid=0"",""Chegadas!E:AQ""),19,0),"""")"),"")</f>
        <v/>
      </c>
      <c r="U803" s="100"/>
      <c r="V803" s="98"/>
      <c r="W803" s="98"/>
    </row>
    <row r="804" hidden="1">
      <c r="A804" s="95"/>
      <c r="B804" s="95"/>
      <c r="C804" s="54"/>
      <c r="D804" s="83"/>
      <c r="E804" s="96"/>
      <c r="F804" s="42"/>
      <c r="G804" s="97"/>
      <c r="H804" s="96"/>
      <c r="I804" s="96"/>
      <c r="J804" s="98"/>
      <c r="K804" s="99"/>
      <c r="L804" s="96"/>
      <c r="M804" s="42"/>
      <c r="N804" s="42"/>
      <c r="O804" s="42"/>
      <c r="P804" s="83"/>
      <c r="Q804" s="83"/>
      <c r="R804" s="42"/>
      <c r="S804" s="42"/>
      <c r="T804" s="43" t="str">
        <f>IFERROR(__xludf.DUMMYFUNCTION("IFERROR(VLOOKUP(C804,IMPORTRANGE(""https://docs.google.com/spreadsheets/d/1RmEXtNg60OGvqZjyMxiYNPJ6S_kcz01v57qrHugDWVc/edit#gid=0"",""Chegadas!E:AQ""),19,0),"""")"),"")</f>
        <v/>
      </c>
      <c r="U804" s="100"/>
      <c r="V804" s="98"/>
      <c r="W804" s="98"/>
    </row>
    <row r="805" hidden="1">
      <c r="A805" s="95"/>
      <c r="B805" s="95"/>
      <c r="C805" s="54"/>
      <c r="D805" s="83"/>
      <c r="E805" s="96"/>
      <c r="F805" s="42"/>
      <c r="G805" s="97"/>
      <c r="H805" s="96"/>
      <c r="I805" s="96"/>
      <c r="J805" s="98"/>
      <c r="K805" s="99"/>
      <c r="L805" s="96"/>
      <c r="M805" s="42"/>
      <c r="N805" s="42"/>
      <c r="O805" s="42"/>
      <c r="P805" s="83"/>
      <c r="Q805" s="83"/>
      <c r="R805" s="42"/>
      <c r="S805" s="42"/>
      <c r="T805" s="43" t="str">
        <f>IFERROR(__xludf.DUMMYFUNCTION("IFERROR(VLOOKUP(C805,IMPORTRANGE(""https://docs.google.com/spreadsheets/d/1RmEXtNg60OGvqZjyMxiYNPJ6S_kcz01v57qrHugDWVc/edit#gid=0"",""Chegadas!E:AQ""),19,0),"""")"),"")</f>
        <v/>
      </c>
      <c r="U805" s="100"/>
      <c r="V805" s="98"/>
      <c r="W805" s="98"/>
    </row>
    <row r="806" hidden="1">
      <c r="A806" s="95"/>
      <c r="B806" s="95"/>
      <c r="C806" s="54"/>
      <c r="D806" s="83"/>
      <c r="E806" s="96"/>
      <c r="F806" s="42"/>
      <c r="G806" s="97"/>
      <c r="H806" s="96"/>
      <c r="I806" s="96"/>
      <c r="J806" s="98"/>
      <c r="K806" s="99"/>
      <c r="L806" s="96"/>
      <c r="M806" s="42"/>
      <c r="N806" s="42"/>
      <c r="O806" s="42"/>
      <c r="P806" s="83"/>
      <c r="Q806" s="83"/>
      <c r="R806" s="42"/>
      <c r="S806" s="42"/>
      <c r="T806" s="43" t="str">
        <f>IFERROR(__xludf.DUMMYFUNCTION("IFERROR(VLOOKUP(C806,IMPORTRANGE(""https://docs.google.com/spreadsheets/d/1RmEXtNg60OGvqZjyMxiYNPJ6S_kcz01v57qrHugDWVc/edit#gid=0"",""Chegadas!E:AQ""),19,0),"""")"),"")</f>
        <v/>
      </c>
      <c r="U806" s="100"/>
      <c r="V806" s="98"/>
      <c r="W806" s="98"/>
    </row>
    <row r="807" hidden="1">
      <c r="A807" s="95"/>
      <c r="B807" s="95"/>
      <c r="C807" s="54"/>
      <c r="D807" s="83"/>
      <c r="E807" s="96"/>
      <c r="F807" s="42"/>
      <c r="G807" s="97"/>
      <c r="H807" s="96"/>
      <c r="I807" s="96"/>
      <c r="J807" s="98"/>
      <c r="K807" s="99"/>
      <c r="L807" s="96"/>
      <c r="M807" s="42"/>
      <c r="N807" s="42"/>
      <c r="O807" s="42"/>
      <c r="P807" s="83"/>
      <c r="Q807" s="83"/>
      <c r="R807" s="42"/>
      <c r="S807" s="42"/>
      <c r="T807" s="43" t="str">
        <f>IFERROR(__xludf.DUMMYFUNCTION("IFERROR(VLOOKUP(C807,IMPORTRANGE(""https://docs.google.com/spreadsheets/d/1RmEXtNg60OGvqZjyMxiYNPJ6S_kcz01v57qrHugDWVc/edit#gid=0"",""Chegadas!E:AQ""),19,0),"""")"),"")</f>
        <v/>
      </c>
      <c r="U807" s="100"/>
      <c r="V807" s="98"/>
      <c r="W807" s="98"/>
    </row>
    <row r="808" hidden="1">
      <c r="A808" s="95"/>
      <c r="B808" s="95"/>
      <c r="C808" s="54"/>
      <c r="D808" s="83"/>
      <c r="E808" s="96"/>
      <c r="F808" s="42"/>
      <c r="G808" s="97"/>
      <c r="H808" s="96"/>
      <c r="I808" s="96"/>
      <c r="J808" s="98"/>
      <c r="K808" s="99"/>
      <c r="L808" s="96"/>
      <c r="M808" s="42"/>
      <c r="N808" s="42"/>
      <c r="O808" s="42"/>
      <c r="P808" s="83"/>
      <c r="Q808" s="83"/>
      <c r="R808" s="42"/>
      <c r="S808" s="42"/>
      <c r="T808" s="43" t="str">
        <f>IFERROR(__xludf.DUMMYFUNCTION("IFERROR(VLOOKUP(C808,IMPORTRANGE(""https://docs.google.com/spreadsheets/d/1RmEXtNg60OGvqZjyMxiYNPJ6S_kcz01v57qrHugDWVc/edit#gid=0"",""Chegadas!E:AQ""),19,0),"""")"),"")</f>
        <v/>
      </c>
      <c r="U808" s="100"/>
      <c r="V808" s="98"/>
      <c r="W808" s="98"/>
    </row>
    <row r="809" hidden="1">
      <c r="A809" s="95"/>
      <c r="B809" s="95"/>
      <c r="C809" s="54"/>
      <c r="D809" s="83"/>
      <c r="E809" s="96"/>
      <c r="F809" s="42"/>
      <c r="G809" s="97"/>
      <c r="H809" s="96"/>
      <c r="I809" s="96"/>
      <c r="J809" s="98"/>
      <c r="K809" s="99"/>
      <c r="L809" s="96"/>
      <c r="M809" s="42"/>
      <c r="N809" s="42"/>
      <c r="O809" s="42"/>
      <c r="P809" s="83"/>
      <c r="Q809" s="83"/>
      <c r="R809" s="42"/>
      <c r="S809" s="42"/>
      <c r="T809" s="43" t="str">
        <f>IFERROR(__xludf.DUMMYFUNCTION("IFERROR(VLOOKUP(C809,IMPORTRANGE(""https://docs.google.com/spreadsheets/d/1RmEXtNg60OGvqZjyMxiYNPJ6S_kcz01v57qrHugDWVc/edit#gid=0"",""Chegadas!E:AQ""),19,0),"""")"),"")</f>
        <v/>
      </c>
      <c r="U809" s="100"/>
      <c r="V809" s="98"/>
      <c r="W809" s="98"/>
    </row>
    <row r="810" hidden="1">
      <c r="A810" s="95"/>
      <c r="B810" s="95"/>
      <c r="C810" s="54"/>
      <c r="D810" s="83"/>
      <c r="E810" s="96"/>
      <c r="F810" s="42"/>
      <c r="G810" s="97"/>
      <c r="H810" s="96"/>
      <c r="I810" s="96"/>
      <c r="J810" s="98"/>
      <c r="K810" s="99"/>
      <c r="L810" s="96"/>
      <c r="M810" s="42"/>
      <c r="N810" s="42"/>
      <c r="O810" s="42"/>
      <c r="P810" s="83"/>
      <c r="Q810" s="83"/>
      <c r="R810" s="42"/>
      <c r="S810" s="42"/>
      <c r="T810" s="43" t="str">
        <f>IFERROR(__xludf.DUMMYFUNCTION("IFERROR(VLOOKUP(C810,IMPORTRANGE(""https://docs.google.com/spreadsheets/d/1RmEXtNg60OGvqZjyMxiYNPJ6S_kcz01v57qrHugDWVc/edit#gid=0"",""Chegadas!E:AQ""),19,0),"""")"),"")</f>
        <v/>
      </c>
      <c r="U810" s="100"/>
      <c r="V810" s="98"/>
      <c r="W810" s="98"/>
    </row>
  </sheetData>
  <autoFilter ref="$A$1:$W$810">
    <filterColumn colId="20">
      <filters blank="1">
        <filter val="Ativo"/>
      </filters>
    </filterColumn>
    <filterColumn colId="15">
      <filters>
        <filter val="MT-5084/2020"/>
        <filter val="MODERNA-1130/23"/>
        <filter val="MT-5206/2021"/>
        <filter val="MT-5423/2021"/>
        <filter val="MT-5268/2021"/>
        <filter val="9886/2023-BRI-1"/>
        <filter val="7197/2021-ELE-1"/>
        <filter val="MT-5970/2022"/>
        <filter val="9142/2023-BRI-1"/>
        <filter val="9142/2023-BRI-2"/>
        <filter val="6544/2021-BRI"/>
        <filter val="MT-5624/2021"/>
        <filter val="MODERNA-1133/23"/>
        <filter val="7141/2021-ELE-1"/>
        <filter val="6926/2021-ELE-1"/>
        <filter val="MT-5341/2021"/>
        <filter val="MT-5486/2021"/>
        <filter val="MT-5205/2021"/>
        <filter val="MT-5717/2021"/>
        <filter val="7661/2022-AE-2"/>
        <filter val="7661/2022-AE-1"/>
        <filter val="6788/2021-BRI"/>
        <filter val="5236-2019-BRI-1"/>
        <filter val="MT-5639/2021"/>
        <filter val="MT-5179/2021"/>
        <filter val="9141/2023-BRI-1"/>
        <filter val="5269/2020-BRI-1"/>
        <filter val="MODERNA-1132/23"/>
        <filter val="5605/2020-AE-1"/>
        <filter val="MT-5057/2020"/>
        <filter val="MT-5157/2021"/>
        <filter val="Certificado do fornecedor"/>
        <filter val="MT-5204/2021"/>
        <filter val="MT-5718/2021"/>
        <filter val="6916-2021-BRI-1&#10;MT-5493/2021"/>
        <filter val="9773/2023-BRI-1"/>
        <filter val="11356/2024-BRI-1"/>
        <filter val="MT-4968/2020"/>
        <filter val="MT-5258/2021"/>
        <filter val="MT-5343/2021"/>
        <filter val="10953/2024-ELE-1"/>
        <filter val="5450-2020-BRI-1"/>
        <filter val="6851/2021-ELE-1"/>
        <filter val="IP-BRI-9435-2019-4"/>
        <filter val="MT-5259/2021"/>
        <filter val="5617/2020-BRI-1"/>
        <filter val="MT-5730/2021"/>
        <filter val="MODERNA-1455/23"/>
        <filter val="6906-2021-ELE-1&#10; MT-5590/2021"/>
        <filter val="9114/2023-AE-3"/>
        <filter val="9114/2023-AE-4"/>
        <filter val="9114/2023-AE-5"/>
        <filter val="9114/2023-AE-1"/>
        <filter val="6504/2021-ELE-1"/>
        <filter val="9114/2023-AE-2"/>
        <filter val="8085/2022-BRI-1"/>
        <filter val="5169-2019-ELE-1"/>
        <filter val="6927/2021-ELE-1"/>
        <filter val="MT-5846/2022"/>
        <filter val="MT-5826/2021"/>
        <filter val="MT-5177/2021"/>
        <filter val="MT-5347/2021"/>
        <filter val="MT-5613/2021"/>
        <filter val="NA"/>
        <filter val="10247/2023-BRI-1"/>
        <filter val="MODERNA-0089/22"/>
        <filter val="MT-5494/2021"/>
        <filter val="5319/2020-ELE-1"/>
        <filter val="6994/2021-ELE-1"/>
        <filter val="MT-5689/2021"/>
        <filter val="MT-5625/2021"/>
        <filter val="MT-5295/2021"/>
        <filter val="8325/2022-BRI-1"/>
        <filter val="MT-5342/2021"/>
        <filter val="5637-2020-BRI-1"/>
        <filter val="MT-5716/2021"/>
        <filter val="MT-5348/2021"/>
        <filter val="MT-5720/2021"/>
        <filter val="6364/2020-ELE-1"/>
        <filter val="MT-5549/2021"/>
        <filter val="5237-2019-BRI -1"/>
        <filter val="MT-5263/2021"/>
        <filter val="MODERNA-1456/23"/>
        <filter val="5168/2019-ELE-1"/>
        <filter val="MODERNA-1131/23"/>
        <filter val="5238/2019-BRI-1"/>
        <filter val="MODERNA-2323/23"/>
        <filter val="000910/2015"/>
        <filter val="MT-5502/2021"/>
        <filter val="MT-5178/2021"/>
        <filter val="7333-2021-ELE-2"/>
        <filter val="7333-2021-ELE-1"/>
        <filter val="IPI-BRI-9951-2019-05"/>
        <filter val="6829/2021-ELE-1"/>
        <filter val="7285/2021-ELE-1"/>
      </filters>
    </filterColumn>
  </autoFilter>
  <customSheetViews>
    <customSheetView guid="{D0AFF231-FA66-403A-9E1B-F06EA203B753}" filter="1" showAutoFilter="1">
      <autoFilter ref="$A$1:$V$810"/>
    </customSheetView>
    <customSheetView guid="{6C5725FA-0D4A-46AD-A831-E82FB2A5D55C}" filter="1" showAutoFilter="1">
      <autoFilter ref="$A$1:$V$810"/>
    </customSheetView>
    <customSheetView guid="{A70C5536-001D-4756-8E73-AB34B92543E2}" filter="1" showAutoFilter="1">
      <autoFilter ref="$A$1:$V$810">
        <filterColumn colId="15">
          <filters>
            <filter val="MODERNA-1657/23"/>
            <filter val="9886/2023-BRI-1"/>
            <filter val="12224/2025-AE-2"/>
            <filter val="12224/2025-AE-1"/>
            <filter val="9142/2023-BRI-1"/>
            <filter val="12224/2025-AE-4"/>
            <filter val="12224/2025-AE-3"/>
            <filter val="10725/2024-BRI-1"/>
            <filter val="MODERNA-3670/24"/>
            <filter val="5605/2020-AE-1"/>
            <filter val="Certificado do fornecedor"/>
            <filter val="9773/2023-BRI-1"/>
            <filter val="11356/2024-BRI-1"/>
            <filter val="10953/2024-ELE-1"/>
            <filter val="10473/2024-BRI-1"/>
            <filter val="10247/2023-BRI-1"/>
            <filter val="MODERNA-1456/23"/>
            <filter val="10807/2024-AE-1"/>
            <filter val="10550/2024-BRI-1"/>
            <filter val="MODERNA-1131/23"/>
            <filter val="MODERNA-2323/23"/>
          </filters>
        </filterColumn>
      </autoFilter>
    </customSheetView>
  </customSheetViews>
  <conditionalFormatting sqref="M2:M111 M113:M153 M155:M196 M207 M236:M241 M262:M293">
    <cfRule type="containsBlanks" dxfId="1" priority="1">
      <formula>LEN(TRIM(M2))=0</formula>
    </cfRule>
  </conditionalFormatting>
  <conditionalFormatting sqref="M2:M111 M113:M153 M155:M196 M207 M236:M241 M262:M293">
    <cfRule type="notContainsBlanks" dxfId="2" priority="2">
      <formula>LEN(TRIM(M2))&gt;0</formula>
    </cfRule>
  </conditionalFormatting>
  <dataValidations>
    <dataValidation type="list" allowBlank="1" showErrorMessage="1" sqref="G2:G293">
      <formula1>"TECH - HOME TECH,TECH - MUSIC,CASA E DECORAÇÃO,TECH,COMES E BEBES,USO PESSOAL,CASA E DECORACAO"</formula1>
    </dataValidation>
    <dataValidation type="list" allowBlank="1" showErrorMessage="1" sqref="U2:U293">
      <formula1>"Encerrado,Ativo,SKU excluído,Em andamento"</formula1>
    </dataValidation>
    <dataValidation type="list" allowBlank="1" showErrorMessage="1" sqref="R2:R293">
      <formula1>"BRICS OCP 0098,MASTER,MODERNA"</formula1>
    </dataValidation>
  </dataValidations>
  <hyperlinks>
    <hyperlink r:id="rId4" ref="V113"/>
    <hyperlink r:id="rId5" ref="V154"/>
    <hyperlink r:id="rId6" ref="V155"/>
    <hyperlink r:id="rId7" ref="V164"/>
    <hyperlink r:id="rId8" ref="V165"/>
    <hyperlink r:id="rId9" ref="V166"/>
    <hyperlink r:id="rId10" ref="V167"/>
    <hyperlink r:id="rId11" ref="V168"/>
    <hyperlink r:id="rId12" ref="V169"/>
    <hyperlink r:id="rId13" ref="V170"/>
    <hyperlink r:id="rId14" ref="V171"/>
    <hyperlink r:id="rId15" ref="V207"/>
    <hyperlink r:id="rId16" ref="V230"/>
    <hyperlink r:id="rId17" ref="V231"/>
    <hyperlink r:id="rId18" ref="V232"/>
    <hyperlink r:id="rId19" ref="V233"/>
    <hyperlink r:id="rId20" ref="V234"/>
    <hyperlink r:id="rId21" ref="V235"/>
  </hyperlinks>
  <drawing r:id="rId22"/>
  <legacy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1.5"/>
    <col customWidth="1" min="2" max="2" width="13.63"/>
    <col customWidth="1" min="3" max="3" width="9.25"/>
    <col customWidth="1" min="4" max="4" width="9.88"/>
    <col customWidth="1" min="5" max="5" width="20.63"/>
    <col customWidth="1" min="6" max="6" width="35.63"/>
    <col customWidth="1" min="7" max="7" width="11.38"/>
    <col customWidth="1" min="8" max="8" width="19.13"/>
    <col customWidth="1" min="9" max="9" width="15.63"/>
    <col customWidth="1" min="10" max="10" width="45.63"/>
    <col customWidth="1" min="11" max="11" width="13.25"/>
    <col customWidth="1" min="12" max="12" width="17.63"/>
    <col customWidth="1" min="13" max="13" width="13.38"/>
    <col customWidth="1" min="14" max="17" width="17.25"/>
    <col customWidth="1" min="18" max="18" width="12.5"/>
    <col customWidth="1" min="21" max="21" width="30.0"/>
    <col customWidth="1" min="22" max="22" width="17.88"/>
    <col customWidth="1" hidden="1" min="23" max="31" width="36.75"/>
  </cols>
  <sheetData>
    <row r="1" ht="23.25" customHeight="1">
      <c r="A1" s="101" t="s">
        <v>208</v>
      </c>
      <c r="B1" s="102" t="s">
        <v>209</v>
      </c>
      <c r="C1" s="102" t="s">
        <v>210</v>
      </c>
      <c r="D1" s="101" t="s">
        <v>211</v>
      </c>
      <c r="E1" s="101" t="s">
        <v>212</v>
      </c>
      <c r="F1" s="102" t="s">
        <v>213</v>
      </c>
      <c r="G1" s="101" t="s">
        <v>214</v>
      </c>
      <c r="H1" s="101" t="s">
        <v>215</v>
      </c>
      <c r="I1" s="101" t="s">
        <v>216</v>
      </c>
      <c r="J1" s="101" t="s">
        <v>217</v>
      </c>
      <c r="K1" s="101" t="s">
        <v>218</v>
      </c>
      <c r="L1" s="101" t="s">
        <v>219</v>
      </c>
      <c r="M1" s="101" t="s">
        <v>220</v>
      </c>
      <c r="N1" s="101" t="s">
        <v>221</v>
      </c>
      <c r="O1" s="101" t="s">
        <v>222</v>
      </c>
      <c r="P1" s="101" t="s">
        <v>223</v>
      </c>
      <c r="Q1" s="101" t="s">
        <v>224</v>
      </c>
      <c r="R1" s="101" t="s">
        <v>226</v>
      </c>
      <c r="S1" s="103" t="s">
        <v>227</v>
      </c>
      <c r="T1" s="101" t="s">
        <v>228</v>
      </c>
      <c r="U1" s="31" t="s">
        <v>229</v>
      </c>
      <c r="V1" s="31" t="s">
        <v>230</v>
      </c>
      <c r="W1" s="101"/>
      <c r="X1" s="101"/>
      <c r="Y1" s="101"/>
      <c r="Z1" s="101"/>
      <c r="AA1" s="101"/>
      <c r="AB1" s="101"/>
      <c r="AC1" s="101"/>
      <c r="AD1" s="101"/>
      <c r="AE1" s="101"/>
    </row>
    <row r="2" ht="45.0" customHeight="1">
      <c r="A2" s="32" t="s">
        <v>1528</v>
      </c>
      <c r="B2" s="95"/>
      <c r="C2" s="34" t="s">
        <v>1529</v>
      </c>
      <c r="D2" s="37" t="s">
        <v>1530</v>
      </c>
      <c r="E2" s="35" t="s">
        <v>310</v>
      </c>
      <c r="F2" s="104" t="s">
        <v>1531</v>
      </c>
      <c r="G2" s="37" t="s">
        <v>1532</v>
      </c>
      <c r="H2" s="38" t="s">
        <v>98</v>
      </c>
      <c r="I2" s="38" t="s">
        <v>903</v>
      </c>
      <c r="J2" s="75" t="s">
        <v>1533</v>
      </c>
      <c r="K2" s="72"/>
      <c r="L2" s="38" t="s">
        <v>862</v>
      </c>
      <c r="M2" s="105"/>
      <c r="N2" s="41">
        <v>45085.0</v>
      </c>
      <c r="O2" s="41">
        <f t="shared" ref="O2:O14" si="1">N2-90</f>
        <v>44995</v>
      </c>
      <c r="P2" s="35" t="s">
        <v>1534</v>
      </c>
      <c r="Q2" s="35" t="s">
        <v>1535</v>
      </c>
      <c r="R2" s="45" t="b">
        <v>1</v>
      </c>
      <c r="S2" s="43" t="str">
        <f>IFERROR(__xludf.DUMMYFUNCTION("VLOOKUP(C2,importrange(""https://docs.google.com/spreadsheets/d/1fN1Q8KwrSYW55JpWNgQQ61JbS3zg1Ft2OqML6ziwN_Q/edit#gid=1174286835"",""PreCons!J:V""),13,0)"),"#N/A")</f>
        <v>#N/A</v>
      </c>
      <c r="T2" s="106" t="s">
        <v>242</v>
      </c>
      <c r="U2" s="107" t="s">
        <v>1536</v>
      </c>
      <c r="V2" s="61">
        <f>IFERROR(IF(T2="Ativo","Ativo",IF(T2="SKU excluído","Vencido",VLOOKUP(C2,Encerramentos!B:G,6,0))),"")</f>
        <v>45869</v>
      </c>
      <c r="W2" s="45"/>
      <c r="X2" s="45"/>
      <c r="Y2" s="45"/>
      <c r="Z2" s="45"/>
      <c r="AA2" s="45"/>
      <c r="AB2" s="45"/>
      <c r="AC2" s="45"/>
      <c r="AD2" s="45"/>
      <c r="AE2" s="45"/>
    </row>
    <row r="3" ht="45.0" customHeight="1">
      <c r="A3" s="32" t="s">
        <v>1528</v>
      </c>
      <c r="B3" s="95"/>
      <c r="C3" s="34" t="s">
        <v>1537</v>
      </c>
      <c r="D3" s="37" t="s">
        <v>1530</v>
      </c>
      <c r="E3" s="35" t="s">
        <v>310</v>
      </c>
      <c r="F3" s="104" t="s">
        <v>1538</v>
      </c>
      <c r="G3" s="37" t="s">
        <v>1532</v>
      </c>
      <c r="H3" s="38" t="s">
        <v>98</v>
      </c>
      <c r="I3" s="38" t="s">
        <v>903</v>
      </c>
      <c r="J3" s="75" t="s">
        <v>1539</v>
      </c>
      <c r="K3" s="72"/>
      <c r="L3" s="38" t="s">
        <v>862</v>
      </c>
      <c r="M3" s="105"/>
      <c r="N3" s="41">
        <v>45085.0</v>
      </c>
      <c r="O3" s="41">
        <f t="shared" si="1"/>
        <v>44995</v>
      </c>
      <c r="P3" s="35" t="s">
        <v>1534</v>
      </c>
      <c r="Q3" s="35" t="s">
        <v>1535</v>
      </c>
      <c r="R3" s="45" t="b">
        <v>1</v>
      </c>
      <c r="S3" s="43" t="str">
        <f>IFERROR(__xludf.DUMMYFUNCTION("VLOOKUP(C3,importrange(""https://docs.google.com/spreadsheets/d/1fN1Q8KwrSYW55JpWNgQQ61JbS3zg1Ft2OqML6ziwN_Q/edit#gid=1174286835"",""PreCons!J:V""),13,0)"),"#N/A")</f>
        <v>#N/A</v>
      </c>
      <c r="T3" s="106" t="s">
        <v>242</v>
      </c>
      <c r="U3" s="107" t="s">
        <v>1536</v>
      </c>
      <c r="V3" s="61">
        <f>IFERROR(IF(T3="Ativo","Ativo",IF(T3="SKU excluído","Vencido",VLOOKUP(C3,Encerramentos!B:G,6,0))),"")</f>
        <v>45869</v>
      </c>
      <c r="W3" s="45"/>
      <c r="X3" s="45"/>
      <c r="Y3" s="45"/>
      <c r="Z3" s="45"/>
      <c r="AA3" s="45"/>
      <c r="AB3" s="45"/>
      <c r="AC3" s="45"/>
      <c r="AD3" s="45"/>
      <c r="AE3" s="45"/>
    </row>
    <row r="4" ht="45.0" customHeight="1">
      <c r="A4" s="32" t="s">
        <v>1528</v>
      </c>
      <c r="B4" s="95"/>
      <c r="C4" s="85" t="s">
        <v>1540</v>
      </c>
      <c r="D4" s="37" t="s">
        <v>1530</v>
      </c>
      <c r="E4" s="37" t="s">
        <v>504</v>
      </c>
      <c r="F4" s="45" t="s">
        <v>1541</v>
      </c>
      <c r="G4" s="37" t="s">
        <v>1532</v>
      </c>
      <c r="H4" s="38" t="s">
        <v>236</v>
      </c>
      <c r="I4" s="47" t="s">
        <v>910</v>
      </c>
      <c r="J4" s="75" t="s">
        <v>1542</v>
      </c>
      <c r="K4" s="72"/>
      <c r="L4" s="38" t="s">
        <v>239</v>
      </c>
      <c r="M4" s="105"/>
      <c r="N4" s="41">
        <v>45151.0</v>
      </c>
      <c r="O4" s="41">
        <f t="shared" si="1"/>
        <v>45061</v>
      </c>
      <c r="P4" s="35" t="s">
        <v>1543</v>
      </c>
      <c r="Q4" s="35" t="s">
        <v>1544</v>
      </c>
      <c r="R4" s="45" t="b">
        <v>1</v>
      </c>
      <c r="S4" s="43" t="str">
        <f>IFERROR(__xludf.DUMMYFUNCTION("VLOOKUP(C4,importrange(""https://docs.google.com/spreadsheets/d/1fN1Q8KwrSYW55JpWNgQQ61JbS3zg1Ft2OqML6ziwN_Q/edit#gid=1174286835"",""PreCons!J:V""),13,0)"),"#N/A")</f>
        <v>#N/A</v>
      </c>
      <c r="T4" s="106" t="s">
        <v>242</v>
      </c>
      <c r="U4" s="108" t="s">
        <v>1545</v>
      </c>
      <c r="V4" s="109">
        <f t="shared" ref="V4:V6" si="2">N4</f>
        <v>45151</v>
      </c>
      <c r="W4" s="45"/>
      <c r="X4" s="45"/>
      <c r="Y4" s="45"/>
      <c r="Z4" s="45"/>
      <c r="AA4" s="45"/>
      <c r="AB4" s="45"/>
      <c r="AC4" s="45"/>
      <c r="AD4" s="45"/>
      <c r="AE4" s="45"/>
    </row>
    <row r="5" ht="45.0" customHeight="1">
      <c r="A5" s="32" t="s">
        <v>1528</v>
      </c>
      <c r="B5" s="95"/>
      <c r="C5" s="85" t="s">
        <v>1546</v>
      </c>
      <c r="D5" s="37" t="s">
        <v>1530</v>
      </c>
      <c r="E5" s="37" t="s">
        <v>504</v>
      </c>
      <c r="F5" s="45" t="s">
        <v>1547</v>
      </c>
      <c r="G5" s="37" t="s">
        <v>1532</v>
      </c>
      <c r="H5" s="38" t="s">
        <v>236</v>
      </c>
      <c r="I5" s="47" t="s">
        <v>910</v>
      </c>
      <c r="J5" s="75" t="s">
        <v>1548</v>
      </c>
      <c r="K5" s="72"/>
      <c r="L5" s="38" t="s">
        <v>239</v>
      </c>
      <c r="M5" s="105"/>
      <c r="N5" s="41">
        <v>45151.0</v>
      </c>
      <c r="O5" s="41">
        <f t="shared" si="1"/>
        <v>45061</v>
      </c>
      <c r="P5" s="35" t="s">
        <v>1543</v>
      </c>
      <c r="Q5" s="35" t="s">
        <v>1544</v>
      </c>
      <c r="R5" s="45" t="b">
        <v>1</v>
      </c>
      <c r="S5" s="43" t="str">
        <f>IFERROR(__xludf.DUMMYFUNCTION("VLOOKUP(C5,importrange(""https://docs.google.com/spreadsheets/d/1fN1Q8KwrSYW55JpWNgQQ61JbS3zg1Ft2OqML6ziwN_Q/edit#gid=1174286835"",""PreCons!J:V""),13,0)"),"#N/A")</f>
        <v>#N/A</v>
      </c>
      <c r="T5" s="106" t="s">
        <v>242</v>
      </c>
      <c r="U5" s="108" t="s">
        <v>1549</v>
      </c>
      <c r="V5" s="109">
        <f t="shared" si="2"/>
        <v>45151</v>
      </c>
      <c r="W5" s="45"/>
      <c r="X5" s="45"/>
      <c r="Y5" s="45"/>
      <c r="Z5" s="45"/>
      <c r="AA5" s="45"/>
      <c r="AB5" s="45"/>
      <c r="AC5" s="45"/>
      <c r="AD5" s="45"/>
      <c r="AE5" s="45"/>
    </row>
    <row r="6" ht="45.0" customHeight="1">
      <c r="A6" s="32" t="s">
        <v>1528</v>
      </c>
      <c r="B6" s="110" t="str">
        <f>HYPERLINK("https://imagens.imgnet.com.br/f/imaginarium/"&amp;C6&amp;";"&amp;C6,image("https://imagens.imgnet.com.br/f/imaginarium/"&amp;C6&amp;"))"))</f>
        <v/>
      </c>
      <c r="C6" s="85"/>
      <c r="D6" s="37"/>
      <c r="E6" s="37" t="s">
        <v>1550</v>
      </c>
      <c r="F6" s="45" t="s">
        <v>1551</v>
      </c>
      <c r="G6" s="37" t="s">
        <v>1552</v>
      </c>
      <c r="H6" s="38" t="s">
        <v>388</v>
      </c>
      <c r="I6" s="38"/>
      <c r="J6" s="75"/>
      <c r="K6" s="72"/>
      <c r="L6" s="38" t="s">
        <v>343</v>
      </c>
      <c r="M6" s="105"/>
      <c r="N6" s="111">
        <v>45198.0</v>
      </c>
      <c r="O6" s="50">
        <f t="shared" si="1"/>
        <v>45108</v>
      </c>
      <c r="P6" s="35" t="s">
        <v>1553</v>
      </c>
      <c r="Q6" s="35" t="s">
        <v>1554</v>
      </c>
      <c r="R6" s="45" t="b">
        <v>0</v>
      </c>
      <c r="S6" s="43" t="str">
        <f>IFERROR(__xludf.DUMMYFUNCTION("VLOOKUP(C6,importrange(""https://docs.google.com/spreadsheets/d/1fN1Q8KwrSYW55JpWNgQQ61JbS3zg1Ft2OqML6ziwN_Q/edit#gid=1174286835"",""PreCons!J:V""),13,0)"),"#N/A")</f>
        <v>#N/A</v>
      </c>
      <c r="T6" s="106" t="s">
        <v>242</v>
      </c>
      <c r="U6" s="107"/>
      <c r="V6" s="109">
        <f t="shared" si="2"/>
        <v>45198</v>
      </c>
      <c r="W6" s="45"/>
      <c r="X6" s="45"/>
      <c r="Y6" s="45"/>
      <c r="Z6" s="45"/>
      <c r="AA6" s="45"/>
      <c r="AB6" s="45"/>
      <c r="AC6" s="45"/>
      <c r="AD6" s="45"/>
      <c r="AE6" s="45"/>
    </row>
    <row r="7" ht="45.0" customHeight="1">
      <c r="A7" s="32" t="s">
        <v>1528</v>
      </c>
      <c r="B7" s="95"/>
      <c r="C7" s="85" t="s">
        <v>1555</v>
      </c>
      <c r="D7" s="37" t="s">
        <v>1556</v>
      </c>
      <c r="E7" s="35" t="s">
        <v>310</v>
      </c>
      <c r="F7" s="45" t="s">
        <v>1557</v>
      </c>
      <c r="G7" s="37" t="s">
        <v>1532</v>
      </c>
      <c r="H7" s="38" t="s">
        <v>98</v>
      </c>
      <c r="I7" s="38" t="s">
        <v>903</v>
      </c>
      <c r="J7" s="75" t="s">
        <v>1558</v>
      </c>
      <c r="K7" s="72"/>
      <c r="L7" s="38" t="s">
        <v>862</v>
      </c>
      <c r="M7" s="105"/>
      <c r="N7" s="50">
        <v>45254.0</v>
      </c>
      <c r="O7" s="50">
        <f t="shared" si="1"/>
        <v>45164</v>
      </c>
      <c r="P7" s="35" t="s">
        <v>1559</v>
      </c>
      <c r="Q7" s="35" t="s">
        <v>1560</v>
      </c>
      <c r="R7" s="45" t="b">
        <v>1</v>
      </c>
      <c r="S7" s="43" t="str">
        <f>IFERROR(__xludf.DUMMYFUNCTION("VLOOKUP(C7,importrange(""https://docs.google.com/spreadsheets/d/1fN1Q8KwrSYW55JpWNgQQ61JbS3zg1Ft2OqML6ziwN_Q/edit#gid=1174286835"",""PreCons!J:V""),13,0)"),"#N/A")</f>
        <v>#N/A</v>
      </c>
      <c r="T7" s="106" t="s">
        <v>242</v>
      </c>
      <c r="U7" s="107"/>
      <c r="V7" s="61">
        <f>IFERROR(IF(T7="Ativo","Ativo",IF(T7="SKU excluído","Vencido",VLOOKUP(C7,Encerramentos!B:G,6,0))),"")</f>
        <v>46116</v>
      </c>
      <c r="W7" s="45"/>
      <c r="X7" s="45"/>
      <c r="Y7" s="45"/>
      <c r="Z7" s="45"/>
      <c r="AA7" s="45"/>
      <c r="AB7" s="45"/>
      <c r="AC7" s="45"/>
      <c r="AD7" s="45"/>
      <c r="AE7" s="45"/>
    </row>
    <row r="8" ht="45.0" customHeight="1">
      <c r="A8" s="32" t="s">
        <v>1528</v>
      </c>
      <c r="B8" s="95"/>
      <c r="C8" s="85" t="s">
        <v>1561</v>
      </c>
      <c r="D8" s="37" t="s">
        <v>1556</v>
      </c>
      <c r="E8" s="35" t="s">
        <v>310</v>
      </c>
      <c r="F8" s="45" t="s">
        <v>1562</v>
      </c>
      <c r="G8" s="37" t="s">
        <v>1532</v>
      </c>
      <c r="H8" s="38" t="s">
        <v>98</v>
      </c>
      <c r="I8" s="38" t="s">
        <v>910</v>
      </c>
      <c r="J8" s="75" t="s">
        <v>1563</v>
      </c>
      <c r="K8" s="72"/>
      <c r="L8" s="38" t="s">
        <v>862</v>
      </c>
      <c r="M8" s="105"/>
      <c r="N8" s="50">
        <v>45254.0</v>
      </c>
      <c r="O8" s="50">
        <f t="shared" si="1"/>
        <v>45164</v>
      </c>
      <c r="P8" s="35" t="s">
        <v>1559</v>
      </c>
      <c r="Q8" s="35" t="s">
        <v>1560</v>
      </c>
      <c r="R8" s="45" t="b">
        <v>1</v>
      </c>
      <c r="S8" s="43" t="str">
        <f>IFERROR(__xludf.DUMMYFUNCTION("VLOOKUP(C8,importrange(""https://docs.google.com/spreadsheets/d/1fN1Q8KwrSYW55JpWNgQQ61JbS3zg1Ft2OqML6ziwN_Q/edit#gid=1174286835"",""PreCons!J:V""),13,0)"),"#N/A")</f>
        <v>#N/A</v>
      </c>
      <c r="T8" s="106" t="s">
        <v>242</v>
      </c>
      <c r="U8" s="107"/>
      <c r="V8" s="61">
        <f>IFERROR(IF(T8="Ativo","Ativo",IF(T8="SKU excluído","Vencido",VLOOKUP(C8,Encerramentos!B:G,6,0))),"")</f>
        <v>46116</v>
      </c>
      <c r="W8" s="45"/>
      <c r="X8" s="45"/>
      <c r="Y8" s="45"/>
      <c r="Z8" s="45"/>
      <c r="AA8" s="45"/>
      <c r="AB8" s="45"/>
      <c r="AC8" s="45"/>
      <c r="AD8" s="45"/>
      <c r="AE8" s="45"/>
    </row>
    <row r="9" ht="45.0" customHeight="1">
      <c r="A9" s="32" t="s">
        <v>1528</v>
      </c>
      <c r="B9" s="52"/>
      <c r="C9" s="85" t="s">
        <v>1564</v>
      </c>
      <c r="D9" s="37" t="s">
        <v>1565</v>
      </c>
      <c r="E9" s="35" t="s">
        <v>1566</v>
      </c>
      <c r="F9" s="36" t="s">
        <v>1567</v>
      </c>
      <c r="G9" s="37" t="s">
        <v>1552</v>
      </c>
      <c r="H9" s="38" t="s">
        <v>98</v>
      </c>
      <c r="I9" s="38" t="s">
        <v>341</v>
      </c>
      <c r="J9" s="39" t="s">
        <v>1568</v>
      </c>
      <c r="K9" s="58">
        <v>45298.0</v>
      </c>
      <c r="L9" s="38" t="s">
        <v>980</v>
      </c>
      <c r="M9" s="105"/>
      <c r="N9" s="50">
        <v>45256.0</v>
      </c>
      <c r="O9" s="41">
        <f t="shared" si="1"/>
        <v>45166</v>
      </c>
      <c r="P9" s="35" t="s">
        <v>1569</v>
      </c>
      <c r="Q9" s="35" t="s">
        <v>1570</v>
      </c>
      <c r="R9" s="45" t="b">
        <v>1</v>
      </c>
      <c r="S9" s="43" t="str">
        <f>IFERROR(__xludf.DUMMYFUNCTION("VLOOKUP(C9,importrange(""https://docs.google.com/spreadsheets/d/1fN1Q8KwrSYW55JpWNgQQ61JbS3zg1Ft2OqML6ziwN_Q/edit#gid=1174286835"",""PreCons!J:V""),13,0)"),"#N/A")</f>
        <v>#N/A</v>
      </c>
      <c r="T9" s="106" t="s">
        <v>242</v>
      </c>
      <c r="U9" s="107" t="s">
        <v>1571</v>
      </c>
      <c r="V9" s="61">
        <f>IFERROR(IF(T9="Ativo","Ativo",IF(T9="SKU excluído","Vencido",VLOOKUP(C9,Encerramentos!B:G,6,0))),"")</f>
        <v>45998</v>
      </c>
      <c r="W9" s="45"/>
      <c r="X9" s="45"/>
      <c r="Y9" s="45"/>
      <c r="Z9" s="45"/>
      <c r="AA9" s="45"/>
      <c r="AB9" s="45"/>
      <c r="AC9" s="45"/>
      <c r="AD9" s="45"/>
      <c r="AE9" s="45"/>
    </row>
    <row r="10" ht="45.0" customHeight="1">
      <c r="A10" s="32" t="s">
        <v>1528</v>
      </c>
      <c r="C10" s="112" t="s">
        <v>1572</v>
      </c>
      <c r="D10" s="113"/>
      <c r="E10" s="35" t="s">
        <v>1573</v>
      </c>
      <c r="F10" s="36" t="s">
        <v>1574</v>
      </c>
      <c r="G10" s="37" t="s">
        <v>1552</v>
      </c>
      <c r="H10" s="38" t="s">
        <v>98</v>
      </c>
      <c r="I10" s="38"/>
      <c r="J10" s="114" t="s">
        <v>1575</v>
      </c>
      <c r="K10" s="58">
        <v>45799.0</v>
      </c>
      <c r="L10" s="38" t="s">
        <v>980</v>
      </c>
      <c r="M10" s="47" t="s">
        <v>1573</v>
      </c>
      <c r="N10" s="50">
        <v>45808.0</v>
      </c>
      <c r="O10" s="50">
        <f t="shared" si="1"/>
        <v>45718</v>
      </c>
      <c r="P10" s="35" t="s">
        <v>1576</v>
      </c>
      <c r="Q10" s="35" t="s">
        <v>1577</v>
      </c>
      <c r="R10" s="45" t="b">
        <v>1</v>
      </c>
      <c r="S10" s="43" t="str">
        <f>IFERROR(__xludf.DUMMYFUNCTION("VLOOKUP(C10,importrange(""https://docs.google.com/spreadsheets/d/1fN1Q8KwrSYW55JpWNgQQ61JbS3zg1Ft2OqML6ziwN_Q/edit#gid=1174286835"",""PreCons!J:V""),13,0)"),"#N/A")</f>
        <v>#N/A</v>
      </c>
      <c r="T10" s="88" t="s">
        <v>242</v>
      </c>
      <c r="U10" s="107" t="s">
        <v>1578</v>
      </c>
      <c r="V10" s="61">
        <f>IFERROR(IF(T10="Ativo","Ativo",IF(T10="SKU excluído","Vencido",VLOOKUP(C10,Encerramentos!B:G,6,0))),"")</f>
        <v>46501</v>
      </c>
      <c r="W10" s="45"/>
      <c r="X10" s="45"/>
      <c r="Y10" s="45"/>
      <c r="Z10" s="45"/>
      <c r="AA10" s="45"/>
      <c r="AB10" s="45"/>
      <c r="AC10" s="45"/>
      <c r="AD10" s="45"/>
      <c r="AE10" s="45"/>
    </row>
    <row r="11" ht="45.0" customHeight="1">
      <c r="A11" s="32" t="s">
        <v>1528</v>
      </c>
      <c r="B11" s="95"/>
      <c r="C11" s="85" t="s">
        <v>1561</v>
      </c>
      <c r="D11" s="37" t="s">
        <v>1556</v>
      </c>
      <c r="E11" s="35" t="s">
        <v>310</v>
      </c>
      <c r="F11" s="45" t="s">
        <v>1579</v>
      </c>
      <c r="G11" s="37" t="s">
        <v>1532</v>
      </c>
      <c r="H11" s="38" t="s">
        <v>98</v>
      </c>
      <c r="I11" s="38" t="s">
        <v>910</v>
      </c>
      <c r="J11" s="47" t="s">
        <v>1580</v>
      </c>
      <c r="K11" s="58">
        <v>45418.0</v>
      </c>
      <c r="L11" s="38" t="s">
        <v>862</v>
      </c>
      <c r="M11" s="63" t="s">
        <v>919</v>
      </c>
      <c r="N11" s="50">
        <v>45444.0</v>
      </c>
      <c r="O11" s="50">
        <f t="shared" si="1"/>
        <v>45354</v>
      </c>
      <c r="P11" s="35" t="s">
        <v>1581</v>
      </c>
      <c r="Q11" s="35" t="s">
        <v>1560</v>
      </c>
      <c r="R11" s="45" t="b">
        <v>1</v>
      </c>
      <c r="S11" s="43" t="str">
        <f>IFERROR(__xludf.DUMMYFUNCTION("VLOOKUP(C11,importrange(""https://docs.google.com/spreadsheets/d/1fN1Q8KwrSYW55JpWNgQQ61JbS3zg1Ft2OqML6ziwN_Q/edit#gid=1174286835"",""PreCons!J:V""),13,0)"),"#N/A")</f>
        <v>#N/A</v>
      </c>
      <c r="T11" s="106" t="s">
        <v>242</v>
      </c>
      <c r="U11" s="107" t="s">
        <v>1582</v>
      </c>
      <c r="V11" s="61">
        <f>IFERROR(IF(T11="Ativo","Ativo",IF(T11="SKU excluído","Vencido",VLOOKUP(C11,Encerramentos!B:G,6,0))),"")</f>
        <v>46116</v>
      </c>
      <c r="W11" s="45"/>
      <c r="X11" s="45"/>
      <c r="Y11" s="45"/>
      <c r="Z11" s="45"/>
      <c r="AA11" s="45"/>
      <c r="AB11" s="45"/>
      <c r="AC11" s="45"/>
      <c r="AD11" s="45"/>
      <c r="AE11" s="45"/>
    </row>
    <row r="12" ht="45.0" customHeight="1">
      <c r="A12" s="32" t="s">
        <v>1528</v>
      </c>
      <c r="B12" s="95"/>
      <c r="C12" s="85" t="s">
        <v>1555</v>
      </c>
      <c r="D12" s="37" t="s">
        <v>1556</v>
      </c>
      <c r="E12" s="35" t="s">
        <v>310</v>
      </c>
      <c r="F12" s="45" t="s">
        <v>1583</v>
      </c>
      <c r="G12" s="37" t="s">
        <v>1532</v>
      </c>
      <c r="H12" s="38" t="s">
        <v>98</v>
      </c>
      <c r="I12" s="38" t="s">
        <v>966</v>
      </c>
      <c r="J12" s="47" t="s">
        <v>1584</v>
      </c>
      <c r="K12" s="58">
        <v>45418.0</v>
      </c>
      <c r="L12" s="38" t="s">
        <v>862</v>
      </c>
      <c r="M12" s="63" t="s">
        <v>919</v>
      </c>
      <c r="N12" s="50">
        <v>45444.0</v>
      </c>
      <c r="O12" s="50">
        <f t="shared" si="1"/>
        <v>45354</v>
      </c>
      <c r="P12" s="35" t="s">
        <v>1581</v>
      </c>
      <c r="Q12" s="35" t="s">
        <v>1560</v>
      </c>
      <c r="R12" s="45" t="b">
        <v>1</v>
      </c>
      <c r="S12" s="43" t="str">
        <f>IFERROR(__xludf.DUMMYFUNCTION("VLOOKUP(C12,importrange(""https://docs.google.com/spreadsheets/d/1fN1Q8KwrSYW55JpWNgQQ61JbS3zg1Ft2OqML6ziwN_Q/edit#gid=1174286835"",""PreCons!J:V""),13,0)"),"#N/A")</f>
        <v>#N/A</v>
      </c>
      <c r="T12" s="106" t="s">
        <v>242</v>
      </c>
      <c r="U12" s="107" t="s">
        <v>1582</v>
      </c>
      <c r="V12" s="61">
        <f>IFERROR(IF(T12="Ativo","Ativo",IF(T12="SKU excluído","Vencido",VLOOKUP(C12,Encerramentos!B:G,6,0))),"")</f>
        <v>46116</v>
      </c>
      <c r="W12" s="45"/>
      <c r="X12" s="45"/>
      <c r="Y12" s="45"/>
      <c r="Z12" s="45"/>
      <c r="AA12" s="45"/>
      <c r="AB12" s="45"/>
      <c r="AC12" s="45"/>
      <c r="AD12" s="45"/>
      <c r="AE12" s="45"/>
    </row>
    <row r="13" ht="45.0" customHeight="1">
      <c r="A13" s="32" t="s">
        <v>1528</v>
      </c>
      <c r="B13" s="95"/>
      <c r="C13" s="85" t="s">
        <v>1585</v>
      </c>
      <c r="D13" s="37" t="s">
        <v>1586</v>
      </c>
      <c r="E13" s="35" t="s">
        <v>310</v>
      </c>
      <c r="F13" s="45" t="s">
        <v>1587</v>
      </c>
      <c r="G13" s="37" t="s">
        <v>1552</v>
      </c>
      <c r="H13" s="38" t="s">
        <v>98</v>
      </c>
      <c r="I13" s="38" t="s">
        <v>910</v>
      </c>
      <c r="J13" s="38" t="s">
        <v>1588</v>
      </c>
      <c r="K13" s="58">
        <v>45418.0</v>
      </c>
      <c r="L13" s="38" t="s">
        <v>862</v>
      </c>
      <c r="M13" s="63" t="s">
        <v>919</v>
      </c>
      <c r="N13" s="50">
        <v>45444.0</v>
      </c>
      <c r="O13" s="50">
        <f t="shared" si="1"/>
        <v>45354</v>
      </c>
      <c r="P13" s="35" t="s">
        <v>1581</v>
      </c>
      <c r="Q13" s="35" t="s">
        <v>1560</v>
      </c>
      <c r="R13" s="45" t="b">
        <v>1</v>
      </c>
      <c r="S13" s="43" t="str">
        <f>IFERROR(__xludf.DUMMYFUNCTION("VLOOKUP(C13,importrange(""https://docs.google.com/spreadsheets/d/1fN1Q8KwrSYW55JpWNgQQ61JbS3zg1Ft2OqML6ziwN_Q/edit#gid=1174286835"",""PreCons!J:V""),13,0)"),"#N/A")</f>
        <v>#N/A</v>
      </c>
      <c r="T13" s="106" t="s">
        <v>242</v>
      </c>
      <c r="U13" s="107" t="s">
        <v>1582</v>
      </c>
      <c r="V13" s="61">
        <f>IFERROR(IF(T13="Ativo","Ativo",IF(T13="SKU excluído","Vencido",VLOOKUP(C13,Encerramentos!B:G,6,0))),"")</f>
        <v>46116</v>
      </c>
      <c r="W13" s="45"/>
      <c r="X13" s="45"/>
      <c r="Y13" s="45"/>
      <c r="Z13" s="45"/>
      <c r="AA13" s="45"/>
      <c r="AB13" s="45"/>
      <c r="AC13" s="45"/>
      <c r="AD13" s="45"/>
      <c r="AE13" s="45"/>
    </row>
    <row r="14" ht="45.0" customHeight="1">
      <c r="A14" s="32" t="s">
        <v>1528</v>
      </c>
      <c r="B14" s="95"/>
      <c r="C14" s="85" t="s">
        <v>1589</v>
      </c>
      <c r="D14" s="37" t="s">
        <v>1586</v>
      </c>
      <c r="E14" s="35" t="s">
        <v>310</v>
      </c>
      <c r="F14" s="45" t="s">
        <v>1590</v>
      </c>
      <c r="G14" s="37" t="s">
        <v>1552</v>
      </c>
      <c r="H14" s="38" t="s">
        <v>98</v>
      </c>
      <c r="I14" s="38" t="s">
        <v>910</v>
      </c>
      <c r="J14" s="38" t="s">
        <v>1591</v>
      </c>
      <c r="K14" s="58">
        <v>45418.0</v>
      </c>
      <c r="L14" s="38" t="s">
        <v>862</v>
      </c>
      <c r="M14" s="63" t="s">
        <v>919</v>
      </c>
      <c r="N14" s="50">
        <v>45444.0</v>
      </c>
      <c r="O14" s="50">
        <f t="shared" si="1"/>
        <v>45354</v>
      </c>
      <c r="P14" s="35" t="s">
        <v>1581</v>
      </c>
      <c r="Q14" s="35" t="s">
        <v>1560</v>
      </c>
      <c r="R14" s="45" t="b">
        <v>1</v>
      </c>
      <c r="S14" s="43" t="str">
        <f>IFERROR(__xludf.DUMMYFUNCTION("VLOOKUP(C14,importrange(""https://docs.google.com/spreadsheets/d/1fN1Q8KwrSYW55JpWNgQQ61JbS3zg1Ft2OqML6ziwN_Q/edit#gid=1174286835"",""PreCons!J:V""),13,0)"),"#N/A")</f>
        <v>#N/A</v>
      </c>
      <c r="T14" s="106" t="s">
        <v>242</v>
      </c>
      <c r="U14" s="107" t="s">
        <v>1582</v>
      </c>
      <c r="V14" s="61">
        <f>IFERROR(IF(T14="Ativo","Ativo",IF(T14="SKU excluído","Vencido",VLOOKUP(C14,Encerramentos!B:G,6,0))),"")</f>
        <v>46116</v>
      </c>
      <c r="W14" s="45"/>
      <c r="X14" s="45"/>
      <c r="Y14" s="45"/>
      <c r="Z14" s="45"/>
      <c r="AA14" s="45"/>
      <c r="AB14" s="45"/>
      <c r="AC14" s="45"/>
      <c r="AD14" s="45"/>
      <c r="AE14" s="45"/>
    </row>
    <row r="15" ht="45.0" customHeight="1">
      <c r="A15" s="32" t="s">
        <v>1528</v>
      </c>
      <c r="B15" s="95"/>
      <c r="C15" s="112" t="s">
        <v>1592</v>
      </c>
      <c r="D15" s="37" t="s">
        <v>1530</v>
      </c>
      <c r="E15" s="35" t="s">
        <v>310</v>
      </c>
      <c r="F15" s="115" t="s">
        <v>1593</v>
      </c>
      <c r="G15" s="37" t="s">
        <v>1532</v>
      </c>
      <c r="H15" s="38" t="s">
        <v>98</v>
      </c>
      <c r="I15" s="38" t="s">
        <v>910</v>
      </c>
      <c r="J15" s="47" t="s">
        <v>1594</v>
      </c>
      <c r="K15" s="58">
        <v>45491.0</v>
      </c>
      <c r="L15" s="38" t="s">
        <v>862</v>
      </c>
      <c r="M15" s="47" t="s">
        <v>919</v>
      </c>
      <c r="N15" s="49" t="s">
        <v>929</v>
      </c>
      <c r="O15" s="49" t="s">
        <v>929</v>
      </c>
      <c r="P15" s="35" t="s">
        <v>1595</v>
      </c>
      <c r="Q15" s="35" t="s">
        <v>1596</v>
      </c>
      <c r="R15" s="45" t="b">
        <v>1</v>
      </c>
      <c r="S15" s="43" t="str">
        <f>IFERROR(__xludf.DUMMYFUNCTION("VLOOKUP(C15,importrange(""https://docs.google.com/spreadsheets/d/1fN1Q8KwrSYW55JpWNgQQ61JbS3zg1Ft2OqML6ziwN_Q/edit#gid=1174286835"",""PreCons!J:V""),13,0)"),"#N/A")</f>
        <v>#N/A</v>
      </c>
      <c r="T15" s="106" t="s">
        <v>930</v>
      </c>
      <c r="U15" s="107" t="s">
        <v>1597</v>
      </c>
      <c r="V15" s="61" t="str">
        <f>IFERROR(IF(T15="Ativo","Ativo",IF(T15="SKU excluído","Vencido",VLOOKUP(C15,Encerramentos!B:G,6,0))),"")</f>
        <v>Vencido</v>
      </c>
      <c r="W15" s="45"/>
      <c r="X15" s="45"/>
      <c r="Y15" s="45"/>
      <c r="Z15" s="45"/>
      <c r="AA15" s="45"/>
      <c r="AB15" s="45"/>
      <c r="AC15" s="45"/>
      <c r="AD15" s="45"/>
      <c r="AE15" s="45"/>
    </row>
    <row r="16" ht="45.0" customHeight="1">
      <c r="A16" s="32" t="s">
        <v>1528</v>
      </c>
      <c r="B16" s="95"/>
      <c r="C16" s="112" t="s">
        <v>1598</v>
      </c>
      <c r="D16" s="37" t="s">
        <v>1530</v>
      </c>
      <c r="E16" s="35" t="s">
        <v>310</v>
      </c>
      <c r="F16" s="45" t="s">
        <v>1599</v>
      </c>
      <c r="G16" s="37" t="s">
        <v>1532</v>
      </c>
      <c r="H16" s="38" t="s">
        <v>98</v>
      </c>
      <c r="I16" s="38" t="s">
        <v>910</v>
      </c>
      <c r="J16" s="47" t="s">
        <v>1600</v>
      </c>
      <c r="K16" s="58">
        <v>45491.0</v>
      </c>
      <c r="L16" s="38" t="s">
        <v>862</v>
      </c>
      <c r="M16" s="47" t="s">
        <v>919</v>
      </c>
      <c r="N16" s="50">
        <v>45512.0</v>
      </c>
      <c r="O16" s="50">
        <f>N16-90</f>
        <v>45422</v>
      </c>
      <c r="P16" s="35" t="s">
        <v>1595</v>
      </c>
      <c r="Q16" s="35" t="s">
        <v>1596</v>
      </c>
      <c r="R16" s="45" t="b">
        <v>1</v>
      </c>
      <c r="S16" s="43" t="str">
        <f>IFERROR(__xludf.DUMMYFUNCTION("VLOOKUP(C16,importrange(""https://docs.google.com/spreadsheets/d/1fN1Q8KwrSYW55JpWNgQQ61JbS3zg1Ft2OqML6ziwN_Q/edit#gid=1174286835"",""PreCons!J:V""),13,0)"),"#N/A")</f>
        <v>#N/A</v>
      </c>
      <c r="T16" s="106" t="s">
        <v>242</v>
      </c>
      <c r="U16" s="107" t="s">
        <v>1597</v>
      </c>
      <c r="V16" s="61">
        <f>IFERROR(IF(T16="Ativo","Ativo",IF(T16="SKU excluído","Vencido",VLOOKUP(C16,Encerramentos!B:G,6,0))),"")</f>
        <v>46220</v>
      </c>
      <c r="W16" s="45"/>
      <c r="X16" s="45"/>
      <c r="Y16" s="45"/>
      <c r="Z16" s="45"/>
      <c r="AA16" s="45"/>
      <c r="AB16" s="45"/>
      <c r="AC16" s="45"/>
      <c r="AD16" s="45"/>
      <c r="AE16" s="45"/>
    </row>
    <row r="17" ht="45.0" customHeight="1">
      <c r="A17" s="32" t="s">
        <v>1528</v>
      </c>
      <c r="B17" s="95"/>
      <c r="C17" s="112" t="s">
        <v>1601</v>
      </c>
      <c r="D17" s="37" t="s">
        <v>1530</v>
      </c>
      <c r="E17" s="35" t="s">
        <v>310</v>
      </c>
      <c r="F17" s="45" t="s">
        <v>1602</v>
      </c>
      <c r="G17" s="37" t="s">
        <v>1532</v>
      </c>
      <c r="H17" s="38" t="s">
        <v>98</v>
      </c>
      <c r="I17" s="38" t="s">
        <v>910</v>
      </c>
      <c r="J17" s="47" t="s">
        <v>1603</v>
      </c>
      <c r="K17" s="58">
        <v>45491.0</v>
      </c>
      <c r="L17" s="38" t="s">
        <v>862</v>
      </c>
      <c r="M17" s="47" t="s">
        <v>919</v>
      </c>
      <c r="N17" s="49" t="s">
        <v>929</v>
      </c>
      <c r="O17" s="49" t="s">
        <v>929</v>
      </c>
      <c r="P17" s="35" t="s">
        <v>1595</v>
      </c>
      <c r="Q17" s="35" t="s">
        <v>1596</v>
      </c>
      <c r="R17" s="45" t="b">
        <v>1</v>
      </c>
      <c r="S17" s="43" t="str">
        <f>IFERROR(__xludf.DUMMYFUNCTION("VLOOKUP(C17,importrange(""https://docs.google.com/spreadsheets/d/1fN1Q8KwrSYW55JpWNgQQ61JbS3zg1Ft2OqML6ziwN_Q/edit#gid=1174286835"",""PreCons!J:V""),13,0)"),"#N/A")</f>
        <v>#N/A</v>
      </c>
      <c r="T17" s="106" t="s">
        <v>930</v>
      </c>
      <c r="U17" s="107" t="s">
        <v>1597</v>
      </c>
      <c r="V17" s="61" t="str">
        <f>IFERROR(IF(T17="Ativo","Ativo",IF(T17="SKU excluído","Vencido",VLOOKUP(C17,Encerramentos!B:G,6,0))),"")</f>
        <v>Vencido</v>
      </c>
      <c r="W17" s="45"/>
      <c r="X17" s="45"/>
      <c r="Y17" s="45"/>
      <c r="Z17" s="45"/>
      <c r="AA17" s="45"/>
      <c r="AB17" s="45"/>
      <c r="AC17" s="45"/>
      <c r="AD17" s="45"/>
      <c r="AE17" s="45"/>
    </row>
    <row r="18" ht="45.0" customHeight="1">
      <c r="A18" s="32" t="s">
        <v>1528</v>
      </c>
      <c r="B18" s="95"/>
      <c r="C18" s="112" t="s">
        <v>1604</v>
      </c>
      <c r="D18" s="37" t="s">
        <v>1530</v>
      </c>
      <c r="E18" s="35" t="s">
        <v>310</v>
      </c>
      <c r="F18" s="45" t="s">
        <v>1605</v>
      </c>
      <c r="G18" s="37" t="s">
        <v>1532</v>
      </c>
      <c r="H18" s="38" t="s">
        <v>98</v>
      </c>
      <c r="I18" s="38" t="s">
        <v>910</v>
      </c>
      <c r="J18" s="47" t="s">
        <v>1606</v>
      </c>
      <c r="K18" s="58">
        <v>45491.0</v>
      </c>
      <c r="L18" s="38" t="s">
        <v>862</v>
      </c>
      <c r="M18" s="47" t="s">
        <v>919</v>
      </c>
      <c r="N18" s="50">
        <v>45512.0</v>
      </c>
      <c r="O18" s="50">
        <f>N18-90</f>
        <v>45422</v>
      </c>
      <c r="P18" s="35" t="s">
        <v>1595</v>
      </c>
      <c r="Q18" s="35" t="s">
        <v>1596</v>
      </c>
      <c r="R18" s="45" t="b">
        <v>1</v>
      </c>
      <c r="S18" s="43" t="str">
        <f>IFERROR(__xludf.DUMMYFUNCTION("VLOOKUP(C18,importrange(""https://docs.google.com/spreadsheets/d/1fN1Q8KwrSYW55JpWNgQQ61JbS3zg1Ft2OqML6ziwN_Q/edit#gid=1174286835"",""PreCons!J:V""),13,0)"),"#N/A")</f>
        <v>#N/A</v>
      </c>
      <c r="T18" s="106" t="s">
        <v>242</v>
      </c>
      <c r="U18" s="107" t="s">
        <v>1597</v>
      </c>
      <c r="V18" s="61">
        <f>IFERROR(IF(T18="Ativo","Ativo",IF(T18="SKU excluído","Vencido",VLOOKUP(C18,Encerramentos!B:G,6,0))),"")</f>
        <v>46220</v>
      </c>
      <c r="W18" s="45"/>
      <c r="X18" s="45"/>
      <c r="Y18" s="45"/>
      <c r="Z18" s="45"/>
      <c r="AA18" s="45"/>
      <c r="AB18" s="45"/>
      <c r="AC18" s="45"/>
      <c r="AD18" s="45"/>
      <c r="AE18" s="45"/>
    </row>
    <row r="19" ht="45.0" customHeight="1">
      <c r="A19" s="32" t="s">
        <v>1528</v>
      </c>
      <c r="B19" s="95"/>
      <c r="C19" s="112" t="s">
        <v>1607</v>
      </c>
      <c r="D19" s="37" t="s">
        <v>1530</v>
      </c>
      <c r="E19" s="35" t="s">
        <v>310</v>
      </c>
      <c r="F19" s="45" t="s">
        <v>1306</v>
      </c>
      <c r="G19" s="37" t="s">
        <v>1532</v>
      </c>
      <c r="H19" s="38" t="s">
        <v>98</v>
      </c>
      <c r="I19" s="38" t="s">
        <v>971</v>
      </c>
      <c r="J19" s="47" t="s">
        <v>1608</v>
      </c>
      <c r="K19" s="58">
        <v>45491.0</v>
      </c>
      <c r="L19" s="38" t="s">
        <v>862</v>
      </c>
      <c r="M19" s="47" t="s">
        <v>919</v>
      </c>
      <c r="N19" s="49" t="s">
        <v>929</v>
      </c>
      <c r="O19" s="49" t="s">
        <v>929</v>
      </c>
      <c r="P19" s="35" t="s">
        <v>1595</v>
      </c>
      <c r="Q19" s="35" t="s">
        <v>1596</v>
      </c>
      <c r="R19" s="45" t="b">
        <v>1</v>
      </c>
      <c r="S19" s="43" t="str">
        <f>IFERROR(__xludf.DUMMYFUNCTION("VLOOKUP(C19,importrange(""https://docs.google.com/spreadsheets/d/1fN1Q8KwrSYW55JpWNgQQ61JbS3zg1Ft2OqML6ziwN_Q/edit#gid=1174286835"",""PreCons!J:V""),13,0)"),"#N/A")</f>
        <v>#N/A</v>
      </c>
      <c r="T19" s="106" t="s">
        <v>930</v>
      </c>
      <c r="U19" s="107" t="s">
        <v>1597</v>
      </c>
      <c r="V19" s="61" t="str">
        <f>IFERROR(IF(T19="Ativo","Ativo",IF(T19="SKU excluído","Vencido",VLOOKUP(C19,Encerramentos!B:G,6,0))),"")</f>
        <v>Vencido</v>
      </c>
      <c r="W19" s="45"/>
      <c r="X19" s="45"/>
      <c r="Y19" s="45"/>
      <c r="Z19" s="45"/>
      <c r="AA19" s="45"/>
      <c r="AB19" s="45"/>
      <c r="AC19" s="45"/>
      <c r="AD19" s="45"/>
      <c r="AE19" s="45"/>
    </row>
    <row r="20" ht="45.0" customHeight="1">
      <c r="A20" s="32" t="s">
        <v>1528</v>
      </c>
      <c r="B20" s="95"/>
      <c r="C20" s="112" t="s">
        <v>1609</v>
      </c>
      <c r="D20" s="37" t="s">
        <v>1530</v>
      </c>
      <c r="E20" s="35" t="s">
        <v>310</v>
      </c>
      <c r="F20" s="45" t="s">
        <v>1610</v>
      </c>
      <c r="G20" s="37" t="s">
        <v>1532</v>
      </c>
      <c r="H20" s="38" t="s">
        <v>98</v>
      </c>
      <c r="I20" s="38" t="s">
        <v>910</v>
      </c>
      <c r="J20" s="47" t="s">
        <v>1611</v>
      </c>
      <c r="K20" s="58">
        <v>45491.0</v>
      </c>
      <c r="L20" s="38" t="s">
        <v>862</v>
      </c>
      <c r="M20" s="47" t="s">
        <v>919</v>
      </c>
      <c r="N20" s="50">
        <v>45512.0</v>
      </c>
      <c r="O20" s="50">
        <f t="shared" ref="O20:O39" si="3">N20-90</f>
        <v>45422</v>
      </c>
      <c r="P20" s="35" t="s">
        <v>1595</v>
      </c>
      <c r="Q20" s="35" t="s">
        <v>1596</v>
      </c>
      <c r="R20" s="45" t="b">
        <v>1</v>
      </c>
      <c r="S20" s="43" t="str">
        <f>IFERROR(__xludf.DUMMYFUNCTION("VLOOKUP(C20,importrange(""https://docs.google.com/spreadsheets/d/1fN1Q8KwrSYW55JpWNgQQ61JbS3zg1Ft2OqML6ziwN_Q/edit#gid=1174286835"",""PreCons!J:V""),13,0)"),"#N/A")</f>
        <v>#N/A</v>
      </c>
      <c r="T20" s="106" t="s">
        <v>242</v>
      </c>
      <c r="U20" s="107" t="s">
        <v>1597</v>
      </c>
      <c r="V20" s="61">
        <f>IFERROR(IF(T20="Ativo","Ativo",IF(T20="SKU excluído","Vencido",VLOOKUP(C20,Encerramentos!B:G,6,0))),"")</f>
        <v>46220</v>
      </c>
      <c r="W20" s="45"/>
      <c r="X20" s="45"/>
      <c r="Y20" s="45"/>
      <c r="Z20" s="45"/>
      <c r="AA20" s="45"/>
      <c r="AB20" s="45"/>
      <c r="AC20" s="45"/>
      <c r="AD20" s="45"/>
      <c r="AE20" s="45"/>
    </row>
    <row r="21" ht="45.0" customHeight="1">
      <c r="A21" s="32" t="s">
        <v>1528</v>
      </c>
      <c r="B21" s="95"/>
      <c r="C21" s="112" t="s">
        <v>1612</v>
      </c>
      <c r="D21" s="37" t="s">
        <v>1530</v>
      </c>
      <c r="E21" s="35" t="s">
        <v>310</v>
      </c>
      <c r="F21" s="45" t="s">
        <v>1613</v>
      </c>
      <c r="G21" s="37" t="s">
        <v>1532</v>
      </c>
      <c r="H21" s="38" t="s">
        <v>98</v>
      </c>
      <c r="I21" s="38" t="s">
        <v>910</v>
      </c>
      <c r="J21" s="47" t="s">
        <v>1614</v>
      </c>
      <c r="K21" s="58">
        <v>45491.0</v>
      </c>
      <c r="L21" s="38" t="s">
        <v>862</v>
      </c>
      <c r="M21" s="47" t="s">
        <v>919</v>
      </c>
      <c r="N21" s="50">
        <v>45512.0</v>
      </c>
      <c r="O21" s="50">
        <f t="shared" si="3"/>
        <v>45422</v>
      </c>
      <c r="P21" s="35" t="s">
        <v>1595</v>
      </c>
      <c r="Q21" s="35" t="s">
        <v>1596</v>
      </c>
      <c r="R21" s="45" t="b">
        <v>1</v>
      </c>
      <c r="S21" s="43" t="str">
        <f>IFERROR(__xludf.DUMMYFUNCTION("VLOOKUP(C21,importrange(""https://docs.google.com/spreadsheets/d/1fN1Q8KwrSYW55JpWNgQQ61JbS3zg1Ft2OqML6ziwN_Q/edit#gid=1174286835"",""PreCons!J:V""),13,0)"),"#N/A")</f>
        <v>#N/A</v>
      </c>
      <c r="T21" s="106" t="s">
        <v>242</v>
      </c>
      <c r="U21" s="107" t="s">
        <v>1597</v>
      </c>
      <c r="V21" s="61">
        <f>IFERROR(IF(T21="Ativo","Ativo",IF(T21="SKU excluído","Vencido",VLOOKUP(C21,Encerramentos!B:G,6,0))),"")</f>
        <v>46220</v>
      </c>
      <c r="W21" s="45"/>
      <c r="X21" s="45"/>
      <c r="Y21" s="45"/>
      <c r="Z21" s="45"/>
      <c r="AA21" s="45"/>
      <c r="AB21" s="45"/>
      <c r="AC21" s="45"/>
      <c r="AD21" s="45"/>
      <c r="AE21" s="45"/>
    </row>
    <row r="22" ht="45.0" customHeight="1">
      <c r="A22" s="32" t="s">
        <v>1528</v>
      </c>
      <c r="B22" s="95"/>
      <c r="C22" s="112" t="s">
        <v>1615</v>
      </c>
      <c r="D22" s="37" t="s">
        <v>1586</v>
      </c>
      <c r="E22" s="35" t="s">
        <v>310</v>
      </c>
      <c r="F22" s="45" t="s">
        <v>1613</v>
      </c>
      <c r="G22" s="37" t="s">
        <v>1552</v>
      </c>
      <c r="H22" s="38" t="s">
        <v>98</v>
      </c>
      <c r="I22" s="38" t="s">
        <v>910</v>
      </c>
      <c r="J22" s="38" t="s">
        <v>1616</v>
      </c>
      <c r="K22" s="58">
        <v>45491.0</v>
      </c>
      <c r="L22" s="38" t="s">
        <v>862</v>
      </c>
      <c r="M22" s="47" t="s">
        <v>919</v>
      </c>
      <c r="N22" s="50">
        <v>45512.0</v>
      </c>
      <c r="O22" s="50">
        <f t="shared" si="3"/>
        <v>45422</v>
      </c>
      <c r="P22" s="35" t="s">
        <v>1595</v>
      </c>
      <c r="Q22" s="35" t="s">
        <v>1596</v>
      </c>
      <c r="R22" s="45" t="b">
        <v>1</v>
      </c>
      <c r="S22" s="43" t="str">
        <f>IFERROR(__xludf.DUMMYFUNCTION("VLOOKUP(C22,importrange(""https://docs.google.com/spreadsheets/d/1fN1Q8KwrSYW55JpWNgQQ61JbS3zg1Ft2OqML6ziwN_Q/edit#gid=1174286835"",""PreCons!J:V""),13,0)"),"#N/A")</f>
        <v>#N/A</v>
      </c>
      <c r="T22" s="106" t="s">
        <v>242</v>
      </c>
      <c r="U22" s="107" t="s">
        <v>1597</v>
      </c>
      <c r="V22" s="61">
        <f>IFERROR(IF(T22="Ativo","Ativo",IF(T22="SKU excluído","Vencido",VLOOKUP(C22,Encerramentos!B:G,6,0))),"")</f>
        <v>46220</v>
      </c>
      <c r="W22" s="45"/>
      <c r="X22" s="45"/>
      <c r="Y22" s="45"/>
      <c r="Z22" s="45"/>
      <c r="AA22" s="45"/>
      <c r="AB22" s="45"/>
      <c r="AC22" s="45"/>
      <c r="AD22" s="45"/>
      <c r="AE22" s="45"/>
    </row>
    <row r="23" ht="45.0" customHeight="1">
      <c r="A23" s="32" t="s">
        <v>1528</v>
      </c>
      <c r="B23" s="95"/>
      <c r="C23" s="112" t="s">
        <v>1617</v>
      </c>
      <c r="D23" s="37" t="s">
        <v>1586</v>
      </c>
      <c r="E23" s="35" t="s">
        <v>310</v>
      </c>
      <c r="F23" s="45" t="s">
        <v>127</v>
      </c>
      <c r="G23" s="37" t="s">
        <v>1552</v>
      </c>
      <c r="H23" s="38" t="s">
        <v>98</v>
      </c>
      <c r="I23" s="38" t="s">
        <v>910</v>
      </c>
      <c r="J23" s="38" t="s">
        <v>1618</v>
      </c>
      <c r="K23" s="58">
        <v>45491.0</v>
      </c>
      <c r="L23" s="38" t="s">
        <v>862</v>
      </c>
      <c r="M23" s="47" t="s">
        <v>919</v>
      </c>
      <c r="N23" s="50">
        <v>45512.0</v>
      </c>
      <c r="O23" s="50">
        <f t="shared" si="3"/>
        <v>45422</v>
      </c>
      <c r="P23" s="35" t="s">
        <v>1595</v>
      </c>
      <c r="Q23" s="35" t="s">
        <v>1596</v>
      </c>
      <c r="R23" s="45" t="b">
        <v>1</v>
      </c>
      <c r="S23" s="43" t="str">
        <f>IFERROR(__xludf.DUMMYFUNCTION("VLOOKUP(C23,importrange(""https://docs.google.com/spreadsheets/d/1fN1Q8KwrSYW55JpWNgQQ61JbS3zg1Ft2OqML6ziwN_Q/edit#gid=1174286835"",""PreCons!J:V""),13,0)"),"#N/A")</f>
        <v>#N/A</v>
      </c>
      <c r="T23" s="106" t="s">
        <v>242</v>
      </c>
      <c r="U23" s="107" t="s">
        <v>1597</v>
      </c>
      <c r="V23" s="61">
        <f>IFERROR(IF(T23="Ativo","Ativo",IF(T23="SKU excluído","Vencido",VLOOKUP(C23,Encerramentos!B:G,6,0))),"")</f>
        <v>46220</v>
      </c>
      <c r="W23" s="45"/>
      <c r="X23" s="45"/>
      <c r="Y23" s="45"/>
      <c r="Z23" s="45"/>
      <c r="AA23" s="45"/>
      <c r="AB23" s="45"/>
      <c r="AC23" s="45"/>
      <c r="AD23" s="45"/>
      <c r="AE23" s="45"/>
    </row>
    <row r="24" ht="45.0" customHeight="1">
      <c r="A24" s="32" t="s">
        <v>1528</v>
      </c>
      <c r="B24" s="95"/>
      <c r="C24" s="112" t="s">
        <v>1619</v>
      </c>
      <c r="D24" s="37" t="s">
        <v>1586</v>
      </c>
      <c r="E24" s="35" t="s">
        <v>310</v>
      </c>
      <c r="F24" s="45" t="s">
        <v>1306</v>
      </c>
      <c r="G24" s="37" t="s">
        <v>1552</v>
      </c>
      <c r="H24" s="38" t="s">
        <v>98</v>
      </c>
      <c r="I24" s="38" t="s">
        <v>910</v>
      </c>
      <c r="J24" s="38" t="s">
        <v>1620</v>
      </c>
      <c r="K24" s="58">
        <v>45491.0</v>
      </c>
      <c r="L24" s="38" t="s">
        <v>862</v>
      </c>
      <c r="M24" s="47" t="s">
        <v>919</v>
      </c>
      <c r="N24" s="50">
        <v>45512.0</v>
      </c>
      <c r="O24" s="50">
        <f t="shared" si="3"/>
        <v>45422</v>
      </c>
      <c r="P24" s="35" t="s">
        <v>1595</v>
      </c>
      <c r="Q24" s="35" t="s">
        <v>1596</v>
      </c>
      <c r="R24" s="45" t="b">
        <v>1</v>
      </c>
      <c r="S24" s="43" t="str">
        <f>IFERROR(__xludf.DUMMYFUNCTION("VLOOKUP(C24,importrange(""https://docs.google.com/spreadsheets/d/1fN1Q8KwrSYW55JpWNgQQ61JbS3zg1Ft2OqML6ziwN_Q/edit#gid=1174286835"",""PreCons!J:V""),13,0)"),"#N/A")</f>
        <v>#N/A</v>
      </c>
      <c r="T24" s="106" t="s">
        <v>242</v>
      </c>
      <c r="U24" s="107" t="s">
        <v>1597</v>
      </c>
      <c r="V24" s="61">
        <f>IFERROR(IF(T24="Ativo","Ativo",IF(T24="SKU excluído","Vencido",VLOOKUP(C24,Encerramentos!B:G,6,0))),"")</f>
        <v>46220</v>
      </c>
      <c r="W24" s="45"/>
      <c r="X24" s="45"/>
      <c r="Y24" s="45"/>
      <c r="Z24" s="45"/>
      <c r="AA24" s="45"/>
      <c r="AB24" s="45"/>
      <c r="AC24" s="45"/>
      <c r="AD24" s="45"/>
      <c r="AE24" s="45"/>
    </row>
    <row r="25" ht="45.0" customHeight="1">
      <c r="A25" s="32" t="s">
        <v>1528</v>
      </c>
      <c r="B25" s="95"/>
      <c r="C25" s="112" t="s">
        <v>1621</v>
      </c>
      <c r="D25" s="37" t="s">
        <v>1586</v>
      </c>
      <c r="E25" s="35" t="s">
        <v>310</v>
      </c>
      <c r="F25" s="45" t="s">
        <v>1622</v>
      </c>
      <c r="G25" s="37" t="s">
        <v>1552</v>
      </c>
      <c r="H25" s="38" t="s">
        <v>98</v>
      </c>
      <c r="I25" s="38" t="s">
        <v>910</v>
      </c>
      <c r="J25" s="38" t="s">
        <v>1623</v>
      </c>
      <c r="K25" s="58">
        <v>45491.0</v>
      </c>
      <c r="L25" s="38" t="s">
        <v>862</v>
      </c>
      <c r="M25" s="47" t="s">
        <v>919</v>
      </c>
      <c r="N25" s="50">
        <v>45512.0</v>
      </c>
      <c r="O25" s="50">
        <f t="shared" si="3"/>
        <v>45422</v>
      </c>
      <c r="P25" s="35" t="s">
        <v>1595</v>
      </c>
      <c r="Q25" s="35" t="s">
        <v>1596</v>
      </c>
      <c r="R25" s="45" t="b">
        <v>1</v>
      </c>
      <c r="S25" s="43" t="str">
        <f>IFERROR(__xludf.DUMMYFUNCTION("VLOOKUP(C25,importrange(""https://docs.google.com/spreadsheets/d/1fN1Q8KwrSYW55JpWNgQQ61JbS3zg1Ft2OqML6ziwN_Q/edit#gid=1174286835"",""PreCons!J:V""),13,0)"),"#N/A")</f>
        <v>#N/A</v>
      </c>
      <c r="T25" s="106" t="s">
        <v>242</v>
      </c>
      <c r="U25" s="107" t="s">
        <v>1597</v>
      </c>
      <c r="V25" s="61">
        <f>IFERROR(IF(T25="Ativo","Ativo",IF(T25="SKU excluído","Vencido",VLOOKUP(C25,Encerramentos!B:G,6,0))),"")</f>
        <v>46220</v>
      </c>
      <c r="W25" s="45"/>
      <c r="X25" s="45"/>
      <c r="Y25" s="45"/>
      <c r="Z25" s="45"/>
      <c r="AA25" s="45"/>
      <c r="AB25" s="45"/>
      <c r="AC25" s="45"/>
      <c r="AD25" s="45"/>
      <c r="AE25" s="45"/>
    </row>
    <row r="26" ht="45.0" customHeight="1">
      <c r="A26" s="32" t="s">
        <v>1528</v>
      </c>
      <c r="B26" s="95"/>
      <c r="C26" s="112" t="s">
        <v>1624</v>
      </c>
      <c r="D26" s="37" t="s">
        <v>1586</v>
      </c>
      <c r="E26" s="35" t="s">
        <v>310</v>
      </c>
      <c r="F26" s="45" t="s">
        <v>1593</v>
      </c>
      <c r="G26" s="37" t="s">
        <v>1552</v>
      </c>
      <c r="H26" s="38" t="s">
        <v>98</v>
      </c>
      <c r="I26" s="38" t="s">
        <v>910</v>
      </c>
      <c r="J26" s="38" t="s">
        <v>1625</v>
      </c>
      <c r="K26" s="58">
        <v>45491.0</v>
      </c>
      <c r="L26" s="38" t="s">
        <v>862</v>
      </c>
      <c r="M26" s="47" t="s">
        <v>919</v>
      </c>
      <c r="N26" s="50">
        <v>45512.0</v>
      </c>
      <c r="O26" s="50">
        <f t="shared" si="3"/>
        <v>45422</v>
      </c>
      <c r="P26" s="35" t="s">
        <v>1595</v>
      </c>
      <c r="Q26" s="35" t="s">
        <v>1596</v>
      </c>
      <c r="R26" s="45" t="b">
        <v>1</v>
      </c>
      <c r="S26" s="43" t="str">
        <f>IFERROR(__xludf.DUMMYFUNCTION("VLOOKUP(C26,importrange(""https://docs.google.com/spreadsheets/d/1fN1Q8KwrSYW55JpWNgQQ61JbS3zg1Ft2OqML6ziwN_Q/edit#gid=1174286835"",""PreCons!J:V""),13,0)"),"#N/A")</f>
        <v>#N/A</v>
      </c>
      <c r="T26" s="106" t="s">
        <v>242</v>
      </c>
      <c r="U26" s="107" t="s">
        <v>1597</v>
      </c>
      <c r="V26" s="61">
        <f>IFERROR(IF(T26="Ativo","Ativo",IF(T26="SKU excluído","Vencido",VLOOKUP(C26,Encerramentos!B:G,6,0))),"")</f>
        <v>46220</v>
      </c>
      <c r="W26" s="45"/>
      <c r="X26" s="45"/>
      <c r="Y26" s="45"/>
      <c r="Z26" s="45"/>
      <c r="AA26" s="45"/>
      <c r="AB26" s="45"/>
      <c r="AC26" s="45"/>
      <c r="AD26" s="45"/>
      <c r="AE26" s="45"/>
    </row>
    <row r="27" ht="45.0" customHeight="1">
      <c r="A27" s="32" t="s">
        <v>1528</v>
      </c>
      <c r="B27" s="95"/>
      <c r="C27" s="112" t="s">
        <v>1626</v>
      </c>
      <c r="D27" s="37" t="s">
        <v>1586</v>
      </c>
      <c r="E27" s="35" t="s">
        <v>310</v>
      </c>
      <c r="F27" s="45" t="s">
        <v>1627</v>
      </c>
      <c r="G27" s="37" t="s">
        <v>1552</v>
      </c>
      <c r="H27" s="38" t="s">
        <v>98</v>
      </c>
      <c r="I27" s="38" t="s">
        <v>910</v>
      </c>
      <c r="J27" s="38" t="s">
        <v>1628</v>
      </c>
      <c r="K27" s="58">
        <v>45491.0</v>
      </c>
      <c r="L27" s="38" t="s">
        <v>862</v>
      </c>
      <c r="M27" s="47" t="s">
        <v>919</v>
      </c>
      <c r="N27" s="50">
        <v>45512.0</v>
      </c>
      <c r="O27" s="50">
        <f t="shared" si="3"/>
        <v>45422</v>
      </c>
      <c r="P27" s="35" t="s">
        <v>1595</v>
      </c>
      <c r="Q27" s="35" t="s">
        <v>1596</v>
      </c>
      <c r="R27" s="45" t="b">
        <v>1</v>
      </c>
      <c r="S27" s="43" t="str">
        <f>IFERROR(__xludf.DUMMYFUNCTION("VLOOKUP(C27,importrange(""https://docs.google.com/spreadsheets/d/1fN1Q8KwrSYW55JpWNgQQ61JbS3zg1Ft2OqML6ziwN_Q/edit#gid=1174286835"",""PreCons!J:V""),13,0)"),"#N/A")</f>
        <v>#N/A</v>
      </c>
      <c r="T27" s="106" t="s">
        <v>242</v>
      </c>
      <c r="U27" s="107" t="s">
        <v>1597</v>
      </c>
      <c r="V27" s="61">
        <f>IFERROR(IF(T27="Ativo","Ativo",IF(T27="SKU excluído","Vencido",VLOOKUP(C27,Encerramentos!B:G,6,0))),"")</f>
        <v>46220</v>
      </c>
      <c r="W27" s="45"/>
      <c r="X27" s="45"/>
      <c r="Y27" s="45"/>
      <c r="Z27" s="45"/>
      <c r="AA27" s="45"/>
      <c r="AB27" s="45"/>
      <c r="AC27" s="45"/>
      <c r="AD27" s="45"/>
      <c r="AE27" s="45"/>
    </row>
    <row r="28" ht="45.0" customHeight="1">
      <c r="A28" s="32" t="s">
        <v>1528</v>
      </c>
      <c r="B28" s="95"/>
      <c r="C28" s="112" t="s">
        <v>1629</v>
      </c>
      <c r="D28" s="37" t="s">
        <v>1586</v>
      </c>
      <c r="E28" s="35" t="s">
        <v>310</v>
      </c>
      <c r="F28" s="45" t="s">
        <v>1602</v>
      </c>
      <c r="G28" s="37" t="s">
        <v>1552</v>
      </c>
      <c r="H28" s="38" t="s">
        <v>98</v>
      </c>
      <c r="I28" s="38" t="s">
        <v>910</v>
      </c>
      <c r="J28" s="38" t="s">
        <v>1630</v>
      </c>
      <c r="K28" s="58">
        <v>45491.0</v>
      </c>
      <c r="L28" s="38" t="s">
        <v>862</v>
      </c>
      <c r="M28" s="47" t="s">
        <v>919</v>
      </c>
      <c r="N28" s="50">
        <v>45512.0</v>
      </c>
      <c r="O28" s="50">
        <f t="shared" si="3"/>
        <v>45422</v>
      </c>
      <c r="P28" s="35" t="s">
        <v>1595</v>
      </c>
      <c r="Q28" s="35" t="s">
        <v>1596</v>
      </c>
      <c r="R28" s="45" t="b">
        <v>1</v>
      </c>
      <c r="S28" s="43" t="str">
        <f>IFERROR(__xludf.DUMMYFUNCTION("VLOOKUP(C28,importrange(""https://docs.google.com/spreadsheets/d/1fN1Q8KwrSYW55JpWNgQQ61JbS3zg1Ft2OqML6ziwN_Q/edit#gid=1174286835"",""PreCons!J:V""),13,0)"),"#N/A")</f>
        <v>#N/A</v>
      </c>
      <c r="T28" s="106" t="s">
        <v>242</v>
      </c>
      <c r="U28" s="107" t="s">
        <v>1597</v>
      </c>
      <c r="V28" s="61">
        <f>IFERROR(IF(T28="Ativo","Ativo",IF(T28="SKU excluído","Vencido",VLOOKUP(C28,Encerramentos!B:G,6,0))),"")</f>
        <v>46220</v>
      </c>
      <c r="W28" s="45"/>
      <c r="X28" s="45"/>
      <c r="Y28" s="45"/>
      <c r="Z28" s="45"/>
      <c r="AA28" s="45"/>
      <c r="AB28" s="45"/>
      <c r="AC28" s="45"/>
      <c r="AD28" s="45"/>
      <c r="AE28" s="45"/>
    </row>
    <row r="29" ht="45.0" customHeight="1">
      <c r="A29" s="32" t="s">
        <v>1528</v>
      </c>
      <c r="B29" s="110" t="str">
        <f>HYPERLINK("https://imagens.imgnet.com.br/f/imaginarium/"&amp;C29&amp;";"&amp;C29,image("https://imagens.imgnet.com.br/f/imaginarium/"&amp;C29&amp;"))"))</f>
        <v/>
      </c>
      <c r="C29" s="85"/>
      <c r="D29" s="37"/>
      <c r="E29" s="37" t="s">
        <v>1631</v>
      </c>
      <c r="F29" s="45" t="s">
        <v>1632</v>
      </c>
      <c r="G29" s="37" t="s">
        <v>1552</v>
      </c>
      <c r="H29" s="38" t="s">
        <v>388</v>
      </c>
      <c r="I29" s="38"/>
      <c r="J29" s="116" t="s">
        <v>1633</v>
      </c>
      <c r="K29" s="58">
        <v>45553.0</v>
      </c>
      <c r="L29" s="38" t="s">
        <v>343</v>
      </c>
      <c r="M29" s="117" t="s">
        <v>1634</v>
      </c>
      <c r="N29" s="50">
        <v>45512.0</v>
      </c>
      <c r="O29" s="50">
        <f t="shared" si="3"/>
        <v>45422</v>
      </c>
      <c r="P29" s="35" t="s">
        <v>1635</v>
      </c>
      <c r="Q29" s="35" t="s">
        <v>1636</v>
      </c>
      <c r="R29" s="45" t="b">
        <v>0</v>
      </c>
      <c r="S29" s="43" t="str">
        <f>IFERROR(__xludf.DUMMYFUNCTION("VLOOKUP(C29,importrange(""https://docs.google.com/spreadsheets/d/1fN1Q8KwrSYW55JpWNgQQ61JbS3zg1Ft2OqML6ziwN_Q/edit#gid=1174286835"",""PreCons!J:V""),13,0)"),"#N/A")</f>
        <v>#N/A</v>
      </c>
      <c r="T29" s="106" t="s">
        <v>242</v>
      </c>
      <c r="U29" s="107"/>
      <c r="V29" s="61" t="str">
        <f>IFERROR(IF(T29="Ativo","Ativo",IF(T29="SKU excluído","Vencido",VLOOKUP(C29,Encerramentos!B:G,6,0))),"")</f>
        <v/>
      </c>
      <c r="W29" s="45"/>
      <c r="X29" s="45"/>
      <c r="Y29" s="45"/>
      <c r="Z29" s="45"/>
      <c r="AA29" s="45"/>
      <c r="AB29" s="45"/>
      <c r="AC29" s="45"/>
      <c r="AD29" s="45"/>
      <c r="AE29" s="45"/>
    </row>
    <row r="30" ht="45.0" customHeight="1">
      <c r="A30" s="32" t="s">
        <v>1528</v>
      </c>
      <c r="B30" s="95"/>
      <c r="C30" s="85" t="s">
        <v>1637</v>
      </c>
      <c r="D30" s="37" t="s">
        <v>1586</v>
      </c>
      <c r="E30" s="35" t="s">
        <v>310</v>
      </c>
      <c r="F30" s="45" t="s">
        <v>1613</v>
      </c>
      <c r="G30" s="37" t="s">
        <v>1552</v>
      </c>
      <c r="H30" s="38" t="s">
        <v>98</v>
      </c>
      <c r="I30" s="38" t="s">
        <v>910</v>
      </c>
      <c r="J30" s="72" t="s">
        <v>1638</v>
      </c>
      <c r="K30" s="58">
        <v>45491.0</v>
      </c>
      <c r="L30" s="38" t="s">
        <v>862</v>
      </c>
      <c r="M30" s="47" t="s">
        <v>919</v>
      </c>
      <c r="N30" s="50">
        <v>45512.0</v>
      </c>
      <c r="O30" s="50">
        <f t="shared" si="3"/>
        <v>45422</v>
      </c>
      <c r="P30" s="35" t="s">
        <v>1595</v>
      </c>
      <c r="Q30" s="35" t="s">
        <v>1596</v>
      </c>
      <c r="R30" s="45" t="b">
        <v>1</v>
      </c>
      <c r="S30" s="43" t="str">
        <f>IFERROR(__xludf.DUMMYFUNCTION("VLOOKUP(C30,importrange(""https://docs.google.com/spreadsheets/d/1fN1Q8KwrSYW55JpWNgQQ61JbS3zg1Ft2OqML6ziwN_Q/edit#gid=1174286835"",""PreCons!J:V""),13,0)"),"#N/A")</f>
        <v>#N/A</v>
      </c>
      <c r="T30" s="106" t="s">
        <v>242</v>
      </c>
      <c r="U30" s="107" t="s">
        <v>1597</v>
      </c>
      <c r="V30" s="61">
        <f>IFERROR(IF(T30="Ativo","Ativo",IF(T30="SKU excluído","Vencido",VLOOKUP(C30,Encerramentos!B:G,6,0))),"")</f>
        <v>46220</v>
      </c>
      <c r="W30" s="45"/>
      <c r="X30" s="45"/>
      <c r="Y30" s="45"/>
      <c r="Z30" s="45"/>
      <c r="AA30" s="45"/>
      <c r="AB30" s="45"/>
      <c r="AC30" s="45"/>
      <c r="AD30" s="45"/>
      <c r="AE30" s="45"/>
    </row>
    <row r="31" ht="45.0" customHeight="1">
      <c r="A31" s="32" t="s">
        <v>1528</v>
      </c>
      <c r="B31" s="95"/>
      <c r="C31" s="85" t="s">
        <v>1639</v>
      </c>
      <c r="D31" s="37" t="s">
        <v>1586</v>
      </c>
      <c r="E31" s="35" t="s">
        <v>310</v>
      </c>
      <c r="F31" s="45" t="s">
        <v>1640</v>
      </c>
      <c r="G31" s="37" t="s">
        <v>1552</v>
      </c>
      <c r="H31" s="38" t="s">
        <v>98</v>
      </c>
      <c r="I31" s="38" t="s">
        <v>910</v>
      </c>
      <c r="J31" s="72" t="s">
        <v>1641</v>
      </c>
      <c r="K31" s="58">
        <v>45491.0</v>
      </c>
      <c r="L31" s="38" t="s">
        <v>862</v>
      </c>
      <c r="M31" s="47" t="s">
        <v>919</v>
      </c>
      <c r="N31" s="50">
        <v>45512.0</v>
      </c>
      <c r="O31" s="50">
        <f t="shared" si="3"/>
        <v>45422</v>
      </c>
      <c r="P31" s="35" t="s">
        <v>1595</v>
      </c>
      <c r="Q31" s="35" t="s">
        <v>1596</v>
      </c>
      <c r="R31" s="45" t="b">
        <v>1</v>
      </c>
      <c r="S31" s="43" t="str">
        <f>IFERROR(__xludf.DUMMYFUNCTION("VLOOKUP(C31,importrange(""https://docs.google.com/spreadsheets/d/1fN1Q8KwrSYW55JpWNgQQ61JbS3zg1Ft2OqML6ziwN_Q/edit#gid=1174286835"",""PreCons!J:V""),13,0)"),"#N/A")</f>
        <v>#N/A</v>
      </c>
      <c r="T31" s="106" t="s">
        <v>242</v>
      </c>
      <c r="U31" s="107" t="s">
        <v>1597</v>
      </c>
      <c r="V31" s="61">
        <f>IFERROR(IF(T31="Ativo","Ativo",IF(T31="SKU excluído","Vencido",VLOOKUP(C31,Encerramentos!B:G,6,0))),"")</f>
        <v>46220</v>
      </c>
      <c r="W31" s="45"/>
      <c r="X31" s="45"/>
      <c r="Y31" s="45"/>
      <c r="Z31" s="45"/>
      <c r="AA31" s="45"/>
      <c r="AB31" s="45"/>
      <c r="AC31" s="45"/>
      <c r="AD31" s="45"/>
      <c r="AE31" s="45"/>
    </row>
    <row r="32" ht="45.0" customHeight="1">
      <c r="A32" s="32" t="s">
        <v>1528</v>
      </c>
      <c r="B32" s="95"/>
      <c r="C32" s="85" t="s">
        <v>1642</v>
      </c>
      <c r="D32" s="37" t="s">
        <v>1530</v>
      </c>
      <c r="E32" s="37" t="s">
        <v>504</v>
      </c>
      <c r="F32" s="45" t="s">
        <v>1643</v>
      </c>
      <c r="G32" s="37" t="s">
        <v>1532</v>
      </c>
      <c r="H32" s="38" t="s">
        <v>236</v>
      </c>
      <c r="I32" s="38" t="s">
        <v>910</v>
      </c>
      <c r="J32" s="39" t="s">
        <v>1644</v>
      </c>
      <c r="K32" s="58">
        <v>45953.0</v>
      </c>
      <c r="L32" s="38" t="s">
        <v>239</v>
      </c>
      <c r="M32" s="38" t="s">
        <v>745</v>
      </c>
      <c r="N32" s="41">
        <v>46610.0</v>
      </c>
      <c r="O32" s="50">
        <f t="shared" si="3"/>
        <v>46520</v>
      </c>
      <c r="P32" s="35" t="s">
        <v>1645</v>
      </c>
      <c r="Q32" s="35" t="s">
        <v>1646</v>
      </c>
      <c r="R32" s="45" t="b">
        <v>1</v>
      </c>
      <c r="S32" s="43" t="str">
        <f>IFERROR(__xludf.DUMMYFUNCTION("VLOOKUP(C32,importrange(""https://docs.google.com/spreadsheets/d/1fN1Q8KwrSYW55JpWNgQQ61JbS3zg1Ft2OqML6ziwN_Q/edit#gid=1174286835"",""PreCons!J:V""),13,0)"),"#N/A")</f>
        <v>#N/A</v>
      </c>
      <c r="T32" s="73" t="s">
        <v>393</v>
      </c>
      <c r="U32" s="108" t="s">
        <v>1647</v>
      </c>
      <c r="V32" s="61" t="str">
        <f>IFERROR(IF(T32="Ativo","Ativo",IF(T32="SKU excluído","Vencido",VLOOKUP(C32,Encerramentos!B:G,6,0))),"")</f>
        <v>Ativo</v>
      </c>
      <c r="W32" s="45"/>
      <c r="X32" s="45"/>
      <c r="Y32" s="45"/>
      <c r="Z32" s="45"/>
      <c r="AA32" s="45"/>
      <c r="AB32" s="45"/>
      <c r="AC32" s="45"/>
      <c r="AD32" s="45"/>
      <c r="AE32" s="45"/>
    </row>
    <row r="33" ht="45.0" customHeight="1">
      <c r="A33" s="32" t="s">
        <v>1528</v>
      </c>
      <c r="B33" s="95"/>
      <c r="C33" s="85" t="s">
        <v>1648</v>
      </c>
      <c r="D33" s="37" t="s">
        <v>1530</v>
      </c>
      <c r="E33" s="37" t="s">
        <v>504</v>
      </c>
      <c r="F33" s="45" t="s">
        <v>1649</v>
      </c>
      <c r="G33" s="37" t="s">
        <v>1532</v>
      </c>
      <c r="H33" s="38" t="s">
        <v>236</v>
      </c>
      <c r="I33" s="38" t="s">
        <v>274</v>
      </c>
      <c r="J33" s="39" t="s">
        <v>1650</v>
      </c>
      <c r="K33" s="58">
        <v>45953.0</v>
      </c>
      <c r="L33" s="38" t="s">
        <v>239</v>
      </c>
      <c r="M33" s="38" t="s">
        <v>745</v>
      </c>
      <c r="N33" s="41">
        <v>46610.0</v>
      </c>
      <c r="O33" s="50">
        <f t="shared" si="3"/>
        <v>46520</v>
      </c>
      <c r="P33" s="35" t="s">
        <v>1645</v>
      </c>
      <c r="Q33" s="35" t="s">
        <v>1646</v>
      </c>
      <c r="R33" s="45" t="b">
        <v>1</v>
      </c>
      <c r="S33" s="43" t="str">
        <f>IFERROR(__xludf.DUMMYFUNCTION("VLOOKUP(C33,importrange(""https://docs.google.com/spreadsheets/d/1fN1Q8KwrSYW55JpWNgQQ61JbS3zg1Ft2OqML6ziwN_Q/edit#gid=1174286835"",""PreCons!J:V""),13,0)"),"#N/A")</f>
        <v>#N/A</v>
      </c>
      <c r="T33" s="73" t="s">
        <v>393</v>
      </c>
      <c r="U33" s="108" t="s">
        <v>1651</v>
      </c>
      <c r="V33" s="61" t="str">
        <f>IFERROR(IF(T33="Ativo","Ativo",IF(T33="SKU excluído","Vencido",VLOOKUP(C33,Encerramentos!B:G,6,0))),"")</f>
        <v>Ativo</v>
      </c>
      <c r="W33" s="45"/>
      <c r="X33" s="45"/>
      <c r="Y33" s="45"/>
      <c r="Z33" s="45"/>
      <c r="AA33" s="45"/>
      <c r="AB33" s="45"/>
      <c r="AC33" s="45"/>
      <c r="AD33" s="45"/>
      <c r="AE33" s="45"/>
    </row>
    <row r="34" ht="45.0" customHeight="1">
      <c r="A34" s="32" t="s">
        <v>1528</v>
      </c>
      <c r="B34" s="95"/>
      <c r="C34" s="85" t="s">
        <v>1652</v>
      </c>
      <c r="D34" s="37" t="s">
        <v>1530</v>
      </c>
      <c r="E34" s="37" t="s">
        <v>504</v>
      </c>
      <c r="F34" s="45" t="s">
        <v>1653</v>
      </c>
      <c r="G34" s="37" t="s">
        <v>1532</v>
      </c>
      <c r="H34" s="38" t="s">
        <v>236</v>
      </c>
      <c r="I34" s="38" t="s">
        <v>910</v>
      </c>
      <c r="J34" s="39" t="s">
        <v>1654</v>
      </c>
      <c r="K34" s="58">
        <v>45953.0</v>
      </c>
      <c r="L34" s="38" t="s">
        <v>239</v>
      </c>
      <c r="M34" s="38" t="s">
        <v>745</v>
      </c>
      <c r="N34" s="41">
        <v>46610.0</v>
      </c>
      <c r="O34" s="50">
        <f t="shared" si="3"/>
        <v>46520</v>
      </c>
      <c r="P34" s="35" t="s">
        <v>1655</v>
      </c>
      <c r="Q34" s="35" t="s">
        <v>1656</v>
      </c>
      <c r="R34" s="45" t="b">
        <v>1</v>
      </c>
      <c r="S34" s="43" t="str">
        <f>IFERROR(__xludf.DUMMYFUNCTION("VLOOKUP(C34,importrange(""https://docs.google.com/spreadsheets/d/1fN1Q8KwrSYW55JpWNgQQ61JbS3zg1Ft2OqML6ziwN_Q/edit#gid=1174286835"",""PreCons!J:V""),13,0)"),"#N/A")</f>
        <v>#N/A</v>
      </c>
      <c r="T34" s="73" t="s">
        <v>393</v>
      </c>
      <c r="U34" s="108" t="s">
        <v>1657</v>
      </c>
      <c r="V34" s="61" t="str">
        <f>IFERROR(IF(T34="Ativo","Ativo",IF(T34="SKU excluído","Vencido",VLOOKUP(C34,Encerramentos!B:G,6,0))),"")</f>
        <v>Ativo</v>
      </c>
      <c r="W34" s="45"/>
      <c r="X34" s="45"/>
      <c r="Y34" s="45"/>
      <c r="Z34" s="45"/>
      <c r="AA34" s="45"/>
      <c r="AB34" s="45"/>
      <c r="AC34" s="45"/>
      <c r="AD34" s="45"/>
      <c r="AE34" s="45"/>
    </row>
    <row r="35" ht="45.0" customHeight="1">
      <c r="A35" s="32" t="s">
        <v>1528</v>
      </c>
      <c r="B35" s="95"/>
      <c r="C35" s="85" t="s">
        <v>1658</v>
      </c>
      <c r="D35" s="37" t="s">
        <v>1530</v>
      </c>
      <c r="E35" s="37" t="s">
        <v>504</v>
      </c>
      <c r="F35" s="45" t="s">
        <v>1659</v>
      </c>
      <c r="G35" s="37" t="s">
        <v>1532</v>
      </c>
      <c r="H35" s="38" t="s">
        <v>236</v>
      </c>
      <c r="I35" s="38" t="s">
        <v>274</v>
      </c>
      <c r="J35" s="39" t="s">
        <v>1660</v>
      </c>
      <c r="K35" s="58">
        <v>45953.0</v>
      </c>
      <c r="L35" s="38" t="s">
        <v>239</v>
      </c>
      <c r="M35" s="38" t="s">
        <v>745</v>
      </c>
      <c r="N35" s="41">
        <v>46610.0</v>
      </c>
      <c r="O35" s="50">
        <f t="shared" si="3"/>
        <v>46520</v>
      </c>
      <c r="P35" s="35" t="s">
        <v>1655</v>
      </c>
      <c r="Q35" s="35" t="s">
        <v>1656</v>
      </c>
      <c r="R35" s="45" t="b">
        <v>1</v>
      </c>
      <c r="S35" s="43" t="str">
        <f>IFERROR(__xludf.DUMMYFUNCTION("VLOOKUP(C35,importrange(""https://docs.google.com/spreadsheets/d/1fN1Q8KwrSYW55JpWNgQQ61JbS3zg1Ft2OqML6ziwN_Q/edit#gid=1174286835"",""PreCons!J:V""),13,0)"),"#N/A")</f>
        <v>#N/A</v>
      </c>
      <c r="T35" s="73" t="s">
        <v>393</v>
      </c>
      <c r="U35" s="108" t="s">
        <v>1661</v>
      </c>
      <c r="V35" s="61" t="str">
        <f>IFERROR(IF(T35="Ativo","Ativo",IF(T35="SKU excluído","Vencido",VLOOKUP(C35,Encerramentos!B:G,6,0))),"")</f>
        <v>Ativo</v>
      </c>
      <c r="W35" s="34" t="str">
        <f t="shared" ref="W35:W36" si="4">C35</f>
        <v>100400443</v>
      </c>
      <c r="X35" s="45" t="str">
        <f t="shared" ref="X35:X36" si="5">F35</f>
        <v>FONE DE OUVIDO BLUETOOTH DRAGÃO STREET</v>
      </c>
      <c r="Y35" s="45" t="str">
        <f>IFERROR(__xludf.DUMMYFUNCTION("IFERROR(VLOOKUP(C35,importrange(""https://docs.google.com/spreadsheets/d/1v_iOR1nc8ubTAFeKKptx7vqb8ZCFD1aCr7cMnjuWpzY/edit#gid=1500027362"",""Cons!K:ad""),20,0),""Sem processo"")"),"Sem processo")</f>
        <v>Sem processo</v>
      </c>
      <c r="Z35" s="45" t="str">
        <f>IFERROR(__xludf.DUMMYFUNCTION("VLOOKUP(C35,importrange(""https://docs.google.com/spreadsheets/d/12s7E_njIG4vm-jcfRvO2GFI57qnFtJ3rSMb93tiG3Rk/edit?ts=5c746abb#gid=0"",""Página1!A:O""),9,0)"),"#REF!")</f>
        <v>#REF!</v>
      </c>
      <c r="AA35" s="45" t="s">
        <v>1662</v>
      </c>
      <c r="AB35" s="45" t="s">
        <v>10</v>
      </c>
      <c r="AC35" s="45"/>
      <c r="AD35" s="45"/>
      <c r="AE35" s="45"/>
    </row>
    <row r="36" ht="45.0" customHeight="1">
      <c r="A36" s="32" t="s">
        <v>1528</v>
      </c>
      <c r="B36" s="95"/>
      <c r="C36" s="85" t="s">
        <v>1663</v>
      </c>
      <c r="D36" s="37" t="s">
        <v>1586</v>
      </c>
      <c r="E36" s="35" t="s">
        <v>310</v>
      </c>
      <c r="F36" s="45" t="s">
        <v>1306</v>
      </c>
      <c r="G36" s="37" t="s">
        <v>1552</v>
      </c>
      <c r="H36" s="38" t="s">
        <v>98</v>
      </c>
      <c r="I36" s="38" t="s">
        <v>910</v>
      </c>
      <c r="J36" s="72" t="s">
        <v>1664</v>
      </c>
      <c r="K36" s="58">
        <v>45491.0</v>
      </c>
      <c r="L36" s="38" t="s">
        <v>862</v>
      </c>
      <c r="M36" s="47" t="s">
        <v>919</v>
      </c>
      <c r="N36" s="50">
        <v>45512.0</v>
      </c>
      <c r="O36" s="50">
        <f t="shared" si="3"/>
        <v>45422</v>
      </c>
      <c r="P36" s="35" t="s">
        <v>1595</v>
      </c>
      <c r="Q36" s="35" t="s">
        <v>1596</v>
      </c>
      <c r="R36" s="45" t="b">
        <v>1</v>
      </c>
      <c r="S36" s="43" t="str">
        <f>IFERROR(__xludf.DUMMYFUNCTION("VLOOKUP(C36,importrange(""https://docs.google.com/spreadsheets/d/1fN1Q8KwrSYW55JpWNgQQ61JbS3zg1Ft2OqML6ziwN_Q/edit#gid=1174286835"",""PreCons!J:V""),13,0)"),"#N/A")</f>
        <v>#N/A</v>
      </c>
      <c r="T36" s="106" t="s">
        <v>242</v>
      </c>
      <c r="U36" s="107" t="s">
        <v>1597</v>
      </c>
      <c r="V36" s="61">
        <f>IFERROR(IF(T36="Ativo","Ativo",IF(T36="SKU excluído","Vencido",VLOOKUP(C36,Encerramentos!B:G,6,0))),"")</f>
        <v>46220</v>
      </c>
      <c r="W36" s="34" t="str">
        <f t="shared" si="4"/>
        <v>050403749</v>
      </c>
      <c r="X36" s="45" t="str">
        <f t="shared" si="5"/>
        <v>CHAVEIRO PELUCIA UNICORNIO</v>
      </c>
      <c r="Y36" s="45" t="str">
        <f>IFERROR(__xludf.DUMMYFUNCTION("IFERROR(VLOOKUP(C36,importrange(""https://docs.google.com/spreadsheets/d/1v_iOR1nc8ubTAFeKKptx7vqb8ZCFD1aCr7cMnjuWpzY/edit#gid=1500027362"",""Cons!K:ad""),20,0),""Sem processo"")"),"Sem processo")</f>
        <v>Sem processo</v>
      </c>
      <c r="Z36" s="45" t="str">
        <f>IFERROR(__xludf.DUMMYFUNCTION("VLOOKUP(C36,importrange(""https://docs.google.com/spreadsheets/d/12s7E_njIG4vm-jcfRvO2GFI57qnFtJ3rSMb93tiG3Rk/edit?ts=5c746abb#gid=0"",""Página1!A:O""),9,0)"),"#REF!")</f>
        <v>#REF!</v>
      </c>
      <c r="AA36" s="45" t="s">
        <v>1662</v>
      </c>
      <c r="AB36" s="45" t="s">
        <v>10</v>
      </c>
      <c r="AC36" s="45"/>
      <c r="AD36" s="45"/>
      <c r="AE36" s="45"/>
    </row>
    <row r="37" ht="45.0" customHeight="1">
      <c r="A37" s="32" t="s">
        <v>1528</v>
      </c>
      <c r="B37" s="95"/>
      <c r="C37" s="85" t="s">
        <v>1665</v>
      </c>
      <c r="D37" s="37" t="s">
        <v>1586</v>
      </c>
      <c r="E37" s="35" t="s">
        <v>310</v>
      </c>
      <c r="F37" s="45" t="s">
        <v>1602</v>
      </c>
      <c r="G37" s="37" t="s">
        <v>1552</v>
      </c>
      <c r="H37" s="38" t="s">
        <v>98</v>
      </c>
      <c r="I37" s="38" t="s">
        <v>910</v>
      </c>
      <c r="J37" s="72" t="s">
        <v>1666</v>
      </c>
      <c r="K37" s="58">
        <v>45491.0</v>
      </c>
      <c r="L37" s="38" t="s">
        <v>862</v>
      </c>
      <c r="M37" s="47" t="s">
        <v>919</v>
      </c>
      <c r="N37" s="50">
        <v>45512.0</v>
      </c>
      <c r="O37" s="50">
        <f t="shared" si="3"/>
        <v>45422</v>
      </c>
      <c r="P37" s="35" t="s">
        <v>1595</v>
      </c>
      <c r="Q37" s="35" t="s">
        <v>1596</v>
      </c>
      <c r="R37" s="45" t="b">
        <v>1</v>
      </c>
      <c r="S37" s="43" t="str">
        <f>IFERROR(__xludf.DUMMYFUNCTION("VLOOKUP(C37,importrange(""https://docs.google.com/spreadsheets/d/1fN1Q8KwrSYW55JpWNgQQ61JbS3zg1Ft2OqML6ziwN_Q/edit#gid=1174286835"",""PreCons!J:V""),13,0)"),"#N/A")</f>
        <v>#N/A</v>
      </c>
      <c r="T37" s="106" t="s">
        <v>242</v>
      </c>
      <c r="U37" s="107" t="s">
        <v>1597</v>
      </c>
      <c r="V37" s="61">
        <f>IFERROR(IF(T37="Ativo","Ativo",IF(T37="SKU excluído","Vencido",VLOOKUP(C37,Encerramentos!B:G,6,0))),"")</f>
        <v>46220</v>
      </c>
      <c r="W37" s="42"/>
      <c r="X37" s="42"/>
      <c r="Y37" s="42"/>
      <c r="Z37" s="42"/>
      <c r="AA37" s="42"/>
      <c r="AB37" s="42"/>
      <c r="AC37" s="42"/>
      <c r="AD37" s="42"/>
      <c r="AE37" s="42"/>
    </row>
    <row r="38" ht="45.0" customHeight="1">
      <c r="A38" s="32" t="s">
        <v>1528</v>
      </c>
      <c r="B38" s="95"/>
      <c r="C38" s="118" t="s">
        <v>1667</v>
      </c>
      <c r="D38" s="37" t="s">
        <v>1530</v>
      </c>
      <c r="E38" s="113" t="s">
        <v>1631</v>
      </c>
      <c r="F38" s="104" t="s">
        <v>1668</v>
      </c>
      <c r="G38" s="37" t="s">
        <v>1552</v>
      </c>
      <c r="H38" s="38" t="s">
        <v>98</v>
      </c>
      <c r="I38" s="38" t="s">
        <v>910</v>
      </c>
      <c r="J38" s="75" t="s">
        <v>1669</v>
      </c>
      <c r="K38" s="58">
        <v>45566.0</v>
      </c>
      <c r="L38" s="38" t="s">
        <v>862</v>
      </c>
      <c r="M38" s="117"/>
      <c r="N38" s="66">
        <v>45564.0</v>
      </c>
      <c r="O38" s="76">
        <f t="shared" si="3"/>
        <v>45474</v>
      </c>
      <c r="P38" s="35" t="s">
        <v>1670</v>
      </c>
      <c r="Q38" s="35" t="s">
        <v>1671</v>
      </c>
      <c r="R38" s="45" t="b">
        <v>1</v>
      </c>
      <c r="S38" s="43" t="str">
        <f>IFERROR(__xludf.DUMMYFUNCTION("VLOOKUP(C38,importrange(""https://docs.google.com/spreadsheets/d/1fN1Q8KwrSYW55JpWNgQQ61JbS3zg1Ft2OqML6ziwN_Q/edit#gid=1174286835"",""PreCons!J:V""),13,0)"),"#N/A")</f>
        <v>#N/A</v>
      </c>
      <c r="T38" s="106" t="s">
        <v>242</v>
      </c>
      <c r="U38" s="107" t="s">
        <v>1672</v>
      </c>
      <c r="V38" s="61">
        <f>IFERROR(IF(T38="Ativo","Ativo",IF(T38="SKU excluído","Vencido",VLOOKUP(C38,Encerramentos!B:G,6,0))),"")</f>
        <v>46263</v>
      </c>
      <c r="W38" s="42"/>
      <c r="X38" s="42"/>
      <c r="Y38" s="42"/>
      <c r="Z38" s="42"/>
      <c r="AA38" s="42"/>
      <c r="AB38" s="42"/>
      <c r="AC38" s="42"/>
      <c r="AD38" s="42"/>
      <c r="AE38" s="42"/>
    </row>
    <row r="39" ht="45.0" customHeight="1">
      <c r="A39" s="32" t="s">
        <v>1528</v>
      </c>
      <c r="B39" s="95"/>
      <c r="C39" s="118" t="s">
        <v>1673</v>
      </c>
      <c r="D39" s="37" t="s">
        <v>1530</v>
      </c>
      <c r="E39" s="113" t="s">
        <v>1631</v>
      </c>
      <c r="F39" s="104" t="s">
        <v>1674</v>
      </c>
      <c r="G39" s="37" t="s">
        <v>1552</v>
      </c>
      <c r="H39" s="38" t="s">
        <v>98</v>
      </c>
      <c r="I39" s="38" t="s">
        <v>971</v>
      </c>
      <c r="J39" s="75" t="s">
        <v>1675</v>
      </c>
      <c r="K39" s="58">
        <v>45566.0</v>
      </c>
      <c r="L39" s="38" t="s">
        <v>862</v>
      </c>
      <c r="M39" s="117"/>
      <c r="N39" s="66">
        <v>45564.0</v>
      </c>
      <c r="O39" s="76">
        <f t="shared" si="3"/>
        <v>45474</v>
      </c>
      <c r="P39" s="35" t="s">
        <v>1670</v>
      </c>
      <c r="Q39" s="35" t="s">
        <v>1671</v>
      </c>
      <c r="R39" s="45" t="b">
        <v>1</v>
      </c>
      <c r="S39" s="43" t="str">
        <f>IFERROR(__xludf.DUMMYFUNCTION("VLOOKUP(C39,importrange(""https://docs.google.com/spreadsheets/d/1fN1Q8KwrSYW55JpWNgQQ61JbS3zg1Ft2OqML6ziwN_Q/edit#gid=1174286835"",""PreCons!J:V""),13,0)"),"#N/A")</f>
        <v>#N/A</v>
      </c>
      <c r="T39" s="106" t="s">
        <v>242</v>
      </c>
      <c r="U39" s="107" t="s">
        <v>1672</v>
      </c>
      <c r="V39" s="61">
        <f>IFERROR(IF(T39="Ativo","Ativo",IF(T39="SKU excluído","Vencido",VLOOKUP(C39,Encerramentos!B:G,6,0))),"")</f>
        <v>46263</v>
      </c>
      <c r="W39" s="42"/>
      <c r="X39" s="42"/>
      <c r="Y39" s="42"/>
      <c r="Z39" s="42"/>
      <c r="AA39" s="42"/>
      <c r="AB39" s="42"/>
      <c r="AC39" s="42"/>
      <c r="AD39" s="42"/>
      <c r="AE39" s="42"/>
    </row>
    <row r="40" ht="45.0" customHeight="1">
      <c r="A40" s="32" t="s">
        <v>1528</v>
      </c>
      <c r="B40" s="95"/>
      <c r="C40" s="85" t="s">
        <v>1676</v>
      </c>
      <c r="D40" s="37" t="s">
        <v>1530</v>
      </c>
      <c r="E40" s="37" t="s">
        <v>1677</v>
      </c>
      <c r="F40" s="45" t="s">
        <v>1678</v>
      </c>
      <c r="G40" s="37" t="s">
        <v>1532</v>
      </c>
      <c r="H40" s="38" t="s">
        <v>431</v>
      </c>
      <c r="I40" s="38" t="s">
        <v>1679</v>
      </c>
      <c r="J40" s="82" t="s">
        <v>1680</v>
      </c>
      <c r="K40" s="58">
        <v>45979.0</v>
      </c>
      <c r="L40" s="38" t="s">
        <v>265</v>
      </c>
      <c r="M40" s="38" t="s">
        <v>1677</v>
      </c>
      <c r="N40" s="41">
        <v>45982.0</v>
      </c>
      <c r="O40" s="66">
        <v>45953.0</v>
      </c>
      <c r="P40" s="35" t="s">
        <v>1681</v>
      </c>
      <c r="Q40" s="35" t="s">
        <v>61</v>
      </c>
      <c r="R40" s="45" t="b">
        <v>1</v>
      </c>
      <c r="S40" s="43" t="str">
        <f>IFERROR(__xludf.DUMMYFUNCTION("VLOOKUP(C40,importrange(""https://docs.google.com/spreadsheets/d/1fN1Q8KwrSYW55JpWNgQQ61JbS3zg1Ft2OqML6ziwN_Q/edit#gid=1174286835"",""PreCons!J:V""),13,0)"),"#N/A")</f>
        <v>#N/A</v>
      </c>
      <c r="T40" s="106" t="s">
        <v>242</v>
      </c>
      <c r="U40" s="107"/>
      <c r="V40" s="61">
        <f>IFERROR(IF(T40="Ativo","Ativo",IF(T40="SKU excluído","Vencido",VLOOKUP(C40,Encerramentos!B:G,6,0))),"")</f>
        <v>46711</v>
      </c>
      <c r="W40" s="42"/>
      <c r="X40" s="42"/>
      <c r="Y40" s="42"/>
      <c r="Z40" s="42"/>
      <c r="AA40" s="42"/>
      <c r="AB40" s="42"/>
      <c r="AC40" s="42"/>
      <c r="AD40" s="42"/>
      <c r="AE40" s="42"/>
    </row>
    <row r="41">
      <c r="A41" s="32" t="s">
        <v>1528</v>
      </c>
      <c r="B41" s="110" t="str">
        <f t="shared" ref="B41:B56" si="6">HYPERLINK("https://imagens.imgnet.com.br/f/imaginarium/"&amp;C41&amp;";"&amp;C41,image("https://imagens.imgnet.com.br/f/imaginarium/"&amp;C41&amp;"))"))</f>
        <v/>
      </c>
      <c r="C41" s="85"/>
      <c r="D41" s="37"/>
      <c r="E41" s="37" t="s">
        <v>1631</v>
      </c>
      <c r="F41" s="45" t="s">
        <v>1682</v>
      </c>
      <c r="G41" s="37" t="s">
        <v>1552</v>
      </c>
      <c r="H41" s="38" t="s">
        <v>1027</v>
      </c>
      <c r="I41" s="96"/>
      <c r="J41" s="72" t="s">
        <v>1683</v>
      </c>
      <c r="K41" s="58">
        <v>45951.0</v>
      </c>
      <c r="L41" s="38" t="s">
        <v>862</v>
      </c>
      <c r="M41" s="38" t="s">
        <v>1684</v>
      </c>
      <c r="N41" s="41">
        <v>46189.0</v>
      </c>
      <c r="O41" s="76">
        <f t="shared" ref="O41:O85" si="7">N41-90</f>
        <v>46099</v>
      </c>
      <c r="P41" s="35" t="s">
        <v>1685</v>
      </c>
      <c r="Q41" s="35" t="s">
        <v>1686</v>
      </c>
      <c r="R41" s="45" t="b">
        <v>1</v>
      </c>
      <c r="S41" s="43" t="str">
        <f>IFERROR(__xludf.DUMMYFUNCTION("VLOOKUP(C41,importrange(""https://docs.google.com/spreadsheets/d/1fN1Q8KwrSYW55JpWNgQQ61JbS3zg1Ft2OqML6ziwN_Q/edit#gid=1174286835"",""PreCons!J:V""),13,0)"),"#N/A")</f>
        <v>#N/A</v>
      </c>
      <c r="T41" s="73" t="s">
        <v>393</v>
      </c>
      <c r="U41" s="83"/>
      <c r="V41" s="61" t="str">
        <f>IFERROR(IF(T41="Ativo","Ativo",IF(T41="SKU excluído","Vencido",VLOOKUP(C41,Encerramentos!B:G,6,0))),"")</f>
        <v>Ativo</v>
      </c>
      <c r="W41" s="42"/>
      <c r="X41" s="42"/>
      <c r="Y41" s="42"/>
      <c r="Z41" s="42"/>
      <c r="AA41" s="42"/>
      <c r="AB41" s="42"/>
      <c r="AC41" s="42"/>
      <c r="AD41" s="42"/>
      <c r="AE41" s="42"/>
    </row>
    <row r="42">
      <c r="A42" s="32" t="s">
        <v>1528</v>
      </c>
      <c r="B42" s="110" t="str">
        <f t="shared" si="6"/>
        <v/>
      </c>
      <c r="C42" s="85" t="s">
        <v>1687</v>
      </c>
      <c r="D42" s="37" t="s">
        <v>1688</v>
      </c>
      <c r="E42" s="37" t="s">
        <v>1689</v>
      </c>
      <c r="F42" s="104" t="s">
        <v>1613</v>
      </c>
      <c r="G42" s="37" t="s">
        <v>1552</v>
      </c>
      <c r="H42" s="38" t="s">
        <v>98</v>
      </c>
      <c r="I42" s="38" t="s">
        <v>910</v>
      </c>
      <c r="J42" s="72" t="s">
        <v>1690</v>
      </c>
      <c r="K42" s="58">
        <v>45777.0</v>
      </c>
      <c r="L42" s="38" t="s">
        <v>862</v>
      </c>
      <c r="M42" s="38" t="s">
        <v>1239</v>
      </c>
      <c r="N42" s="41">
        <v>45812.0</v>
      </c>
      <c r="O42" s="76">
        <f t="shared" si="7"/>
        <v>45722</v>
      </c>
      <c r="P42" s="35" t="s">
        <v>1691</v>
      </c>
      <c r="Q42" s="35" t="s">
        <v>1692</v>
      </c>
      <c r="R42" s="45" t="b">
        <v>1</v>
      </c>
      <c r="S42" s="43" t="str">
        <f>IFERROR(__xludf.DUMMYFUNCTION("VLOOKUP(C42,importrange(""https://docs.google.com/spreadsheets/d/1fN1Q8KwrSYW55JpWNgQQ61JbS3zg1Ft2OqML6ziwN_Q/edit#gid=1174286835"",""PreCons!J:V""),13,0)"),"#N/A")</f>
        <v>#N/A</v>
      </c>
      <c r="T42" s="88" t="s">
        <v>242</v>
      </c>
      <c r="U42" s="60" t="s">
        <v>1693</v>
      </c>
      <c r="V42" s="61">
        <f>IFERROR(IF(T42="Ativo","Ativo",IF(T42="SKU excluído","Vencido",VLOOKUP(C42,Encerramentos!B:G,6,0))),"")</f>
        <v>46502</v>
      </c>
      <c r="W42" s="42"/>
      <c r="X42" s="42"/>
      <c r="Y42" s="42"/>
      <c r="Z42" s="42"/>
      <c r="AA42" s="42"/>
      <c r="AB42" s="42"/>
      <c r="AC42" s="42"/>
      <c r="AD42" s="42"/>
      <c r="AE42" s="42"/>
    </row>
    <row r="43">
      <c r="A43" s="32" t="s">
        <v>1528</v>
      </c>
      <c r="B43" s="110" t="str">
        <f t="shared" si="6"/>
        <v/>
      </c>
      <c r="C43" s="85" t="s">
        <v>1694</v>
      </c>
      <c r="D43" s="37" t="s">
        <v>1688</v>
      </c>
      <c r="E43" s="37" t="s">
        <v>1689</v>
      </c>
      <c r="F43" s="104" t="s">
        <v>1695</v>
      </c>
      <c r="G43" s="37" t="s">
        <v>1552</v>
      </c>
      <c r="H43" s="38" t="s">
        <v>98</v>
      </c>
      <c r="I43" s="38" t="s">
        <v>910</v>
      </c>
      <c r="J43" s="72" t="s">
        <v>1696</v>
      </c>
      <c r="K43" s="58">
        <v>45777.0</v>
      </c>
      <c r="L43" s="38" t="s">
        <v>862</v>
      </c>
      <c r="M43" s="38" t="s">
        <v>1239</v>
      </c>
      <c r="N43" s="41">
        <v>45812.0</v>
      </c>
      <c r="O43" s="76">
        <f t="shared" si="7"/>
        <v>45722</v>
      </c>
      <c r="P43" s="35" t="s">
        <v>1691</v>
      </c>
      <c r="Q43" s="35" t="s">
        <v>1692</v>
      </c>
      <c r="R43" s="45" t="b">
        <v>1</v>
      </c>
      <c r="S43" s="43" t="str">
        <f>IFERROR(__xludf.DUMMYFUNCTION("VLOOKUP(C43,importrange(""https://docs.google.com/spreadsheets/d/1fN1Q8KwrSYW55JpWNgQQ61JbS3zg1Ft2OqML6ziwN_Q/edit#gid=1174286835"",""PreCons!J:V""),13,0)"),"#N/A")</f>
        <v>#N/A</v>
      </c>
      <c r="T43" s="88" t="s">
        <v>242</v>
      </c>
      <c r="U43" s="60" t="s">
        <v>1693</v>
      </c>
      <c r="V43" s="61">
        <f>IFERROR(IF(T43="Ativo","Ativo",IF(T43="SKU excluído","Vencido",VLOOKUP(C43,Encerramentos!B:G,6,0))),"")</f>
        <v>46502</v>
      </c>
      <c r="W43" s="42"/>
      <c r="X43" s="42"/>
      <c r="Y43" s="42"/>
      <c r="Z43" s="42"/>
      <c r="AA43" s="42"/>
      <c r="AB43" s="42"/>
      <c r="AC43" s="42"/>
      <c r="AD43" s="42"/>
      <c r="AE43" s="42"/>
    </row>
    <row r="44">
      <c r="A44" s="32" t="s">
        <v>1528</v>
      </c>
      <c r="B44" s="110" t="str">
        <f t="shared" si="6"/>
        <v/>
      </c>
      <c r="C44" s="85" t="s">
        <v>1697</v>
      </c>
      <c r="D44" s="37" t="s">
        <v>1688</v>
      </c>
      <c r="E44" s="37" t="s">
        <v>1689</v>
      </c>
      <c r="F44" s="104" t="s">
        <v>1698</v>
      </c>
      <c r="G44" s="37" t="s">
        <v>1552</v>
      </c>
      <c r="H44" s="38" t="s">
        <v>98</v>
      </c>
      <c r="I44" s="38" t="s">
        <v>910</v>
      </c>
      <c r="J44" s="72" t="s">
        <v>1699</v>
      </c>
      <c r="K44" s="58">
        <v>45777.0</v>
      </c>
      <c r="L44" s="38" t="s">
        <v>862</v>
      </c>
      <c r="M44" s="38" t="s">
        <v>1239</v>
      </c>
      <c r="N44" s="41">
        <v>45812.0</v>
      </c>
      <c r="O44" s="76">
        <f t="shared" si="7"/>
        <v>45722</v>
      </c>
      <c r="P44" s="35" t="s">
        <v>1691</v>
      </c>
      <c r="Q44" s="35" t="s">
        <v>1692</v>
      </c>
      <c r="R44" s="45" t="b">
        <v>1</v>
      </c>
      <c r="S44" s="43" t="str">
        <f>IFERROR(__xludf.DUMMYFUNCTION("VLOOKUP(C44,importrange(""https://docs.google.com/spreadsheets/d/1fN1Q8KwrSYW55JpWNgQQ61JbS3zg1Ft2OqML6ziwN_Q/edit#gid=1174286835"",""PreCons!J:V""),13,0)"),"#N/A")</f>
        <v>#N/A</v>
      </c>
      <c r="T44" s="88" t="s">
        <v>242</v>
      </c>
      <c r="U44" s="60" t="s">
        <v>1693</v>
      </c>
      <c r="V44" s="61">
        <f>IFERROR(IF(T44="Ativo","Ativo",IF(T44="SKU excluído","Vencido",VLOOKUP(C44,Encerramentos!B:G,6,0))),"")</f>
        <v>46502</v>
      </c>
      <c r="W44" s="42"/>
      <c r="X44" s="42"/>
      <c r="Y44" s="42"/>
      <c r="Z44" s="42"/>
      <c r="AA44" s="42"/>
      <c r="AB44" s="42"/>
      <c r="AC44" s="42"/>
      <c r="AD44" s="42"/>
      <c r="AE44" s="42"/>
    </row>
    <row r="45">
      <c r="A45" s="32" t="s">
        <v>1528</v>
      </c>
      <c r="B45" s="110" t="str">
        <f t="shared" si="6"/>
        <v/>
      </c>
      <c r="C45" s="85" t="s">
        <v>1700</v>
      </c>
      <c r="D45" s="37" t="s">
        <v>1688</v>
      </c>
      <c r="E45" s="37" t="s">
        <v>1689</v>
      </c>
      <c r="F45" s="104" t="s">
        <v>1593</v>
      </c>
      <c r="G45" s="37" t="s">
        <v>1552</v>
      </c>
      <c r="H45" s="38" t="s">
        <v>98</v>
      </c>
      <c r="I45" s="38" t="s">
        <v>1206</v>
      </c>
      <c r="J45" s="72" t="s">
        <v>1701</v>
      </c>
      <c r="K45" s="58">
        <v>45777.0</v>
      </c>
      <c r="L45" s="38" t="s">
        <v>862</v>
      </c>
      <c r="M45" s="38" t="s">
        <v>1239</v>
      </c>
      <c r="N45" s="41">
        <v>45812.0</v>
      </c>
      <c r="O45" s="76">
        <f t="shared" si="7"/>
        <v>45722</v>
      </c>
      <c r="P45" s="35" t="s">
        <v>1691</v>
      </c>
      <c r="Q45" s="35" t="s">
        <v>1692</v>
      </c>
      <c r="R45" s="45" t="b">
        <v>1</v>
      </c>
      <c r="S45" s="43" t="str">
        <f>IFERROR(__xludf.DUMMYFUNCTION("VLOOKUP(C45,importrange(""https://docs.google.com/spreadsheets/d/1fN1Q8KwrSYW55JpWNgQQ61JbS3zg1Ft2OqML6ziwN_Q/edit#gid=1174286835"",""PreCons!J:V""),13,0)"),"#N/A")</f>
        <v>#N/A</v>
      </c>
      <c r="T45" s="88" t="s">
        <v>242</v>
      </c>
      <c r="U45" s="60" t="s">
        <v>1693</v>
      </c>
      <c r="V45" s="61">
        <f>IFERROR(IF(T45="Ativo","Ativo",IF(T45="SKU excluído","Vencido",VLOOKUP(C45,Encerramentos!B:G,6,0))),"")</f>
        <v>46502</v>
      </c>
      <c r="W45" s="42"/>
      <c r="X45" s="42"/>
      <c r="Y45" s="42"/>
      <c r="Z45" s="42"/>
      <c r="AA45" s="42"/>
      <c r="AB45" s="42"/>
      <c r="AC45" s="42"/>
      <c r="AD45" s="42"/>
      <c r="AE45" s="42"/>
    </row>
    <row r="46">
      <c r="A46" s="32" t="s">
        <v>1528</v>
      </c>
      <c r="B46" s="110" t="str">
        <f t="shared" si="6"/>
        <v/>
      </c>
      <c r="C46" s="85" t="s">
        <v>1702</v>
      </c>
      <c r="D46" s="37" t="s">
        <v>1688</v>
      </c>
      <c r="E46" s="37" t="s">
        <v>1689</v>
      </c>
      <c r="F46" s="104" t="s">
        <v>127</v>
      </c>
      <c r="G46" s="37" t="s">
        <v>1552</v>
      </c>
      <c r="H46" s="38" t="s">
        <v>98</v>
      </c>
      <c r="I46" s="38" t="s">
        <v>910</v>
      </c>
      <c r="J46" s="72" t="s">
        <v>1703</v>
      </c>
      <c r="K46" s="58">
        <v>45777.0</v>
      </c>
      <c r="L46" s="38" t="s">
        <v>862</v>
      </c>
      <c r="M46" s="38" t="s">
        <v>1239</v>
      </c>
      <c r="N46" s="41">
        <v>45812.0</v>
      </c>
      <c r="O46" s="76">
        <f t="shared" si="7"/>
        <v>45722</v>
      </c>
      <c r="P46" s="35" t="s">
        <v>1691</v>
      </c>
      <c r="Q46" s="35" t="s">
        <v>1692</v>
      </c>
      <c r="R46" s="45" t="b">
        <v>1</v>
      </c>
      <c r="S46" s="43" t="str">
        <f>IFERROR(__xludf.DUMMYFUNCTION("VLOOKUP(C46,importrange(""https://docs.google.com/spreadsheets/d/1fN1Q8KwrSYW55JpWNgQQ61JbS3zg1Ft2OqML6ziwN_Q/edit#gid=1174286835"",""PreCons!J:V""),13,0)"),"#N/A")</f>
        <v>#N/A</v>
      </c>
      <c r="T46" s="88" t="s">
        <v>242</v>
      </c>
      <c r="U46" s="60" t="s">
        <v>1693</v>
      </c>
      <c r="V46" s="61">
        <f>IFERROR(IF(T46="Ativo","Ativo",IF(T46="SKU excluído","Vencido",VLOOKUP(C46,Encerramentos!B:G,6,0))),"")</f>
        <v>46502</v>
      </c>
      <c r="W46" s="42"/>
      <c r="X46" s="42"/>
      <c r="Y46" s="42"/>
      <c r="Z46" s="42"/>
      <c r="AA46" s="42"/>
      <c r="AB46" s="42"/>
      <c r="AC46" s="42"/>
      <c r="AD46" s="42"/>
      <c r="AE46" s="42"/>
    </row>
    <row r="47">
      <c r="A47" s="32" t="s">
        <v>1528</v>
      </c>
      <c r="B47" s="110" t="str">
        <f t="shared" si="6"/>
        <v/>
      </c>
      <c r="C47" s="85" t="s">
        <v>1704</v>
      </c>
      <c r="D47" s="37" t="s">
        <v>1688</v>
      </c>
      <c r="E47" s="37" t="s">
        <v>1689</v>
      </c>
      <c r="F47" s="104" t="s">
        <v>1602</v>
      </c>
      <c r="G47" s="37" t="s">
        <v>1552</v>
      </c>
      <c r="H47" s="38" t="s">
        <v>98</v>
      </c>
      <c r="I47" s="38" t="s">
        <v>910</v>
      </c>
      <c r="J47" s="72" t="s">
        <v>1705</v>
      </c>
      <c r="K47" s="58">
        <v>45777.0</v>
      </c>
      <c r="L47" s="38" t="s">
        <v>862</v>
      </c>
      <c r="M47" s="38" t="s">
        <v>1239</v>
      </c>
      <c r="N47" s="41">
        <v>45812.0</v>
      </c>
      <c r="O47" s="76">
        <f t="shared" si="7"/>
        <v>45722</v>
      </c>
      <c r="P47" s="35" t="s">
        <v>1691</v>
      </c>
      <c r="Q47" s="35" t="s">
        <v>1692</v>
      </c>
      <c r="R47" s="45" t="b">
        <v>1</v>
      </c>
      <c r="S47" s="43" t="str">
        <f>IFERROR(__xludf.DUMMYFUNCTION("VLOOKUP(C47,importrange(""https://docs.google.com/spreadsheets/d/1fN1Q8KwrSYW55JpWNgQQ61JbS3zg1Ft2OqML6ziwN_Q/edit#gid=1174286835"",""PreCons!J:V""),13,0)"),"#N/A")</f>
        <v>#N/A</v>
      </c>
      <c r="T47" s="88" t="s">
        <v>242</v>
      </c>
      <c r="U47" s="60" t="s">
        <v>1693</v>
      </c>
      <c r="V47" s="61">
        <f>IFERROR(IF(T47="Ativo","Ativo",IF(T47="SKU excluído","Vencido",VLOOKUP(C47,Encerramentos!B:G,6,0))),"")</f>
        <v>46502</v>
      </c>
      <c r="W47" s="42"/>
      <c r="X47" s="42"/>
      <c r="Y47" s="42"/>
      <c r="Z47" s="42"/>
      <c r="AA47" s="42"/>
      <c r="AB47" s="42"/>
      <c r="AC47" s="42"/>
      <c r="AD47" s="42"/>
      <c r="AE47" s="42"/>
    </row>
    <row r="48">
      <c r="A48" s="32" t="s">
        <v>1528</v>
      </c>
      <c r="B48" s="110" t="str">
        <f t="shared" si="6"/>
        <v/>
      </c>
      <c r="C48" s="34" t="s">
        <v>1706</v>
      </c>
      <c r="D48" s="37" t="s">
        <v>1707</v>
      </c>
      <c r="E48" s="37" t="s">
        <v>1550</v>
      </c>
      <c r="F48" s="45" t="s">
        <v>1708</v>
      </c>
      <c r="G48" s="37" t="s">
        <v>1552</v>
      </c>
      <c r="H48" s="38" t="s">
        <v>1027</v>
      </c>
      <c r="I48" s="38" t="s">
        <v>1056</v>
      </c>
      <c r="J48" s="91" t="s">
        <v>1709</v>
      </c>
      <c r="K48" s="58">
        <v>45855.0</v>
      </c>
      <c r="L48" s="38" t="s">
        <v>343</v>
      </c>
      <c r="M48" s="38" t="s">
        <v>1710</v>
      </c>
      <c r="N48" s="41">
        <v>46218.0</v>
      </c>
      <c r="O48" s="76">
        <f t="shared" si="7"/>
        <v>46128</v>
      </c>
      <c r="P48" s="35" t="s">
        <v>1711</v>
      </c>
      <c r="Q48" s="35" t="s">
        <v>1712</v>
      </c>
      <c r="R48" s="45" t="b">
        <v>1</v>
      </c>
      <c r="S48" s="43" t="str">
        <f>IFERROR(__xludf.DUMMYFUNCTION("VLOOKUP(C48,importrange(""https://docs.google.com/spreadsheets/d/1fN1Q8KwrSYW55JpWNgQQ61JbS3zg1Ft2OqML6ziwN_Q/edit#gid=1174286835"",""PreCons!J:V""),13,0)"),"#N/A")</f>
        <v>#N/A</v>
      </c>
      <c r="T48" s="73" t="s">
        <v>393</v>
      </c>
      <c r="U48" s="60" t="s">
        <v>1713</v>
      </c>
      <c r="V48" s="61" t="str">
        <f>IFERROR(IF(T48="Ativo","Ativo",IF(T48="SKU excluído","Vencido",VLOOKUP(C48,Encerramentos!B:G,6,0))),"")</f>
        <v>Ativo</v>
      </c>
      <c r="W48" s="42"/>
      <c r="X48" s="42"/>
      <c r="Y48" s="42"/>
      <c r="Z48" s="42"/>
      <c r="AA48" s="42"/>
      <c r="AB48" s="42"/>
      <c r="AC48" s="42"/>
      <c r="AD48" s="42"/>
      <c r="AE48" s="42"/>
    </row>
    <row r="49">
      <c r="A49" s="32" t="s">
        <v>1528</v>
      </c>
      <c r="B49" s="110" t="str">
        <f t="shared" si="6"/>
        <v/>
      </c>
      <c r="C49" s="34" t="s">
        <v>1714</v>
      </c>
      <c r="D49" s="37" t="s">
        <v>1707</v>
      </c>
      <c r="E49" s="37" t="s">
        <v>504</v>
      </c>
      <c r="F49" s="45" t="s">
        <v>1643</v>
      </c>
      <c r="G49" s="37" t="s">
        <v>1532</v>
      </c>
      <c r="H49" s="38" t="s">
        <v>236</v>
      </c>
      <c r="I49" s="38" t="s">
        <v>910</v>
      </c>
      <c r="J49" s="72" t="s">
        <v>1715</v>
      </c>
      <c r="K49" s="58">
        <v>45953.0</v>
      </c>
      <c r="L49" s="38" t="s">
        <v>239</v>
      </c>
      <c r="M49" s="38" t="s">
        <v>745</v>
      </c>
      <c r="N49" s="41">
        <v>46610.0</v>
      </c>
      <c r="O49" s="50">
        <f t="shared" si="7"/>
        <v>46520</v>
      </c>
      <c r="P49" s="35" t="s">
        <v>1645</v>
      </c>
      <c r="Q49" s="35" t="s">
        <v>1646</v>
      </c>
      <c r="R49" s="45" t="b">
        <v>1</v>
      </c>
      <c r="S49" s="43" t="str">
        <f>IFERROR(__xludf.DUMMYFUNCTION("VLOOKUP(C49,importrange(""https://docs.google.com/spreadsheets/d/1fN1Q8KwrSYW55JpWNgQQ61JbS3zg1Ft2OqML6ziwN_Q/edit#gid=1174286835"",""PreCons!J:V""),13,0)"),"#N/A")</f>
        <v>#N/A</v>
      </c>
      <c r="T49" s="73" t="s">
        <v>393</v>
      </c>
      <c r="U49" s="108" t="s">
        <v>1716</v>
      </c>
      <c r="V49" s="61" t="str">
        <f>IFERROR(IF(T49="Ativo","Ativo",IF(T49="SKU excluído","Vencido",VLOOKUP(C49,Encerramentos!B:G,6,0))),"")</f>
        <v>Ativo</v>
      </c>
      <c r="W49" s="42"/>
      <c r="X49" s="42"/>
      <c r="Y49" s="42"/>
      <c r="Z49" s="42"/>
      <c r="AA49" s="42"/>
      <c r="AB49" s="42"/>
      <c r="AC49" s="42"/>
      <c r="AD49" s="42"/>
      <c r="AE49" s="42"/>
    </row>
    <row r="50">
      <c r="A50" s="32" t="s">
        <v>1528</v>
      </c>
      <c r="B50" s="110" t="str">
        <f t="shared" si="6"/>
        <v/>
      </c>
      <c r="C50" s="34" t="s">
        <v>1717</v>
      </c>
      <c r="D50" s="37" t="s">
        <v>1707</v>
      </c>
      <c r="E50" s="37" t="s">
        <v>504</v>
      </c>
      <c r="F50" s="45" t="s">
        <v>1649</v>
      </c>
      <c r="G50" s="37" t="s">
        <v>1532</v>
      </c>
      <c r="H50" s="38" t="s">
        <v>236</v>
      </c>
      <c r="I50" s="38" t="s">
        <v>910</v>
      </c>
      <c r="J50" s="72" t="s">
        <v>1718</v>
      </c>
      <c r="K50" s="58">
        <v>45953.0</v>
      </c>
      <c r="L50" s="38" t="s">
        <v>239</v>
      </c>
      <c r="M50" s="38" t="s">
        <v>745</v>
      </c>
      <c r="N50" s="41">
        <v>46610.0</v>
      </c>
      <c r="O50" s="50">
        <f t="shared" si="7"/>
        <v>46520</v>
      </c>
      <c r="P50" s="35" t="s">
        <v>1645</v>
      </c>
      <c r="Q50" s="35" t="s">
        <v>1646</v>
      </c>
      <c r="R50" s="45" t="b">
        <v>1</v>
      </c>
      <c r="S50" s="43" t="str">
        <f>IFERROR(__xludf.DUMMYFUNCTION("VLOOKUP(C50,importrange(""https://docs.google.com/spreadsheets/d/1fN1Q8KwrSYW55JpWNgQQ61JbS3zg1Ft2OqML6ziwN_Q/edit#gid=1174286835"",""PreCons!J:V""),13,0)"),"#N/A")</f>
        <v>#N/A</v>
      </c>
      <c r="T50" s="73" t="s">
        <v>393</v>
      </c>
      <c r="U50" s="108" t="s">
        <v>1719</v>
      </c>
      <c r="V50" s="61" t="str">
        <f>IFERROR(IF(T50="Ativo","Ativo",IF(T50="SKU excluído","Vencido",VLOOKUP(C50,Encerramentos!B:G,6,0))),"")</f>
        <v>Ativo</v>
      </c>
      <c r="W50" s="42"/>
      <c r="X50" s="42"/>
      <c r="Y50" s="42"/>
      <c r="Z50" s="42"/>
      <c r="AA50" s="42"/>
      <c r="AB50" s="42"/>
      <c r="AC50" s="42"/>
      <c r="AD50" s="42"/>
      <c r="AE50" s="42"/>
    </row>
    <row r="51">
      <c r="A51" s="32" t="s">
        <v>1528</v>
      </c>
      <c r="B51" s="110" t="str">
        <f t="shared" si="6"/>
        <v/>
      </c>
      <c r="C51" s="34" t="s">
        <v>1720</v>
      </c>
      <c r="D51" s="37" t="s">
        <v>1707</v>
      </c>
      <c r="E51" s="37" t="s">
        <v>504</v>
      </c>
      <c r="F51" s="45" t="s">
        <v>1721</v>
      </c>
      <c r="G51" s="37" t="s">
        <v>1532</v>
      </c>
      <c r="H51" s="38" t="s">
        <v>236</v>
      </c>
      <c r="I51" s="38" t="s">
        <v>910</v>
      </c>
      <c r="J51" s="72" t="s">
        <v>1722</v>
      </c>
      <c r="K51" s="58">
        <v>45953.0</v>
      </c>
      <c r="L51" s="38" t="s">
        <v>239</v>
      </c>
      <c r="M51" s="38" t="s">
        <v>745</v>
      </c>
      <c r="N51" s="41">
        <v>46610.0</v>
      </c>
      <c r="O51" s="50">
        <f t="shared" si="7"/>
        <v>46520</v>
      </c>
      <c r="P51" s="35" t="s">
        <v>1655</v>
      </c>
      <c r="Q51" s="35" t="s">
        <v>1656</v>
      </c>
      <c r="R51" s="45" t="b">
        <v>1</v>
      </c>
      <c r="S51" s="43" t="str">
        <f>IFERROR(__xludf.DUMMYFUNCTION("VLOOKUP(C51,importrange(""https://docs.google.com/spreadsheets/d/1fN1Q8KwrSYW55JpWNgQQ61JbS3zg1Ft2OqML6ziwN_Q/edit#gid=1174286835"",""PreCons!J:V""),13,0)"),"#N/A")</f>
        <v>#N/A</v>
      </c>
      <c r="T51" s="73" t="s">
        <v>393</v>
      </c>
      <c r="U51" s="108" t="s">
        <v>1723</v>
      </c>
      <c r="V51" s="61" t="str">
        <f>IFERROR(IF(T51="Ativo","Ativo",IF(T51="SKU excluído","Vencido",VLOOKUP(C51,Encerramentos!B:G,6,0))),"")</f>
        <v>Ativo</v>
      </c>
      <c r="W51" s="42"/>
      <c r="X51" s="42"/>
      <c r="Y51" s="42"/>
      <c r="Z51" s="42"/>
      <c r="AA51" s="42"/>
      <c r="AB51" s="42"/>
      <c r="AC51" s="42"/>
      <c r="AD51" s="42"/>
      <c r="AE51" s="42"/>
    </row>
    <row r="52">
      <c r="A52" s="32" t="s">
        <v>1528</v>
      </c>
      <c r="B52" s="110" t="str">
        <f t="shared" si="6"/>
        <v/>
      </c>
      <c r="C52" s="34" t="s">
        <v>1724</v>
      </c>
      <c r="D52" s="37" t="s">
        <v>1707</v>
      </c>
      <c r="E52" s="37" t="s">
        <v>504</v>
      </c>
      <c r="F52" s="45" t="s">
        <v>1725</v>
      </c>
      <c r="G52" s="37" t="s">
        <v>1532</v>
      </c>
      <c r="H52" s="38" t="s">
        <v>236</v>
      </c>
      <c r="I52" s="38" t="s">
        <v>910</v>
      </c>
      <c r="J52" s="72" t="s">
        <v>1726</v>
      </c>
      <c r="K52" s="58">
        <v>45953.0</v>
      </c>
      <c r="L52" s="38" t="s">
        <v>239</v>
      </c>
      <c r="M52" s="38" t="s">
        <v>745</v>
      </c>
      <c r="N52" s="41">
        <v>46610.0</v>
      </c>
      <c r="O52" s="50">
        <f t="shared" si="7"/>
        <v>46520</v>
      </c>
      <c r="P52" s="35" t="s">
        <v>1655</v>
      </c>
      <c r="Q52" s="35" t="s">
        <v>1656</v>
      </c>
      <c r="R52" s="45" t="b">
        <v>1</v>
      </c>
      <c r="S52" s="43" t="str">
        <f>IFERROR(__xludf.DUMMYFUNCTION("VLOOKUP(C52,importrange(""https://docs.google.com/spreadsheets/d/1fN1Q8KwrSYW55JpWNgQQ61JbS3zg1Ft2OqML6ziwN_Q/edit#gid=1174286835"",""PreCons!J:V""),13,0)"),"#N/A")</f>
        <v>#N/A</v>
      </c>
      <c r="T52" s="73" t="s">
        <v>393</v>
      </c>
      <c r="U52" s="108" t="s">
        <v>1727</v>
      </c>
      <c r="V52" s="61" t="str">
        <f>IFERROR(IF(T52="Ativo","Ativo",IF(T52="SKU excluído","Vencido",VLOOKUP(C52,Encerramentos!B:G,6,0))),"")</f>
        <v>Ativo</v>
      </c>
      <c r="W52" s="42"/>
      <c r="X52" s="42"/>
      <c r="Y52" s="42"/>
      <c r="Z52" s="42"/>
      <c r="AA52" s="42"/>
      <c r="AB52" s="42"/>
      <c r="AC52" s="42"/>
      <c r="AD52" s="42"/>
      <c r="AE52" s="42"/>
    </row>
    <row r="53">
      <c r="A53" s="32" t="s">
        <v>1528</v>
      </c>
      <c r="B53" s="110" t="str">
        <f t="shared" si="6"/>
        <v/>
      </c>
      <c r="C53" s="34" t="s">
        <v>1728</v>
      </c>
      <c r="D53" s="37" t="s">
        <v>1707</v>
      </c>
      <c r="E53" s="37" t="s">
        <v>504</v>
      </c>
      <c r="F53" s="45" t="s">
        <v>1729</v>
      </c>
      <c r="G53" s="37" t="s">
        <v>1532</v>
      </c>
      <c r="H53" s="38" t="s">
        <v>236</v>
      </c>
      <c r="I53" s="38" t="s">
        <v>1730</v>
      </c>
      <c r="J53" s="72" t="s">
        <v>1731</v>
      </c>
      <c r="K53" s="58">
        <v>45552.0</v>
      </c>
      <c r="L53" s="38" t="s">
        <v>239</v>
      </c>
      <c r="M53" s="38" t="s">
        <v>745</v>
      </c>
      <c r="N53" s="41">
        <v>46257.0</v>
      </c>
      <c r="O53" s="50">
        <f t="shared" si="7"/>
        <v>46167</v>
      </c>
      <c r="P53" s="35" t="s">
        <v>1732</v>
      </c>
      <c r="Q53" s="35" t="s">
        <v>1733</v>
      </c>
      <c r="R53" s="45" t="b">
        <v>1</v>
      </c>
      <c r="S53" s="43" t="str">
        <f>IFERROR(__xludf.DUMMYFUNCTION("VLOOKUP(C53,importrange(""https://docs.google.com/spreadsheets/d/1fN1Q8KwrSYW55JpWNgQQ61JbS3zg1Ft2OqML6ziwN_Q/edit#gid=1174286835"",""PreCons!J:V""),13,0)"),"#N/A")</f>
        <v>#N/A</v>
      </c>
      <c r="T53" s="73" t="s">
        <v>393</v>
      </c>
      <c r="U53" s="108" t="s">
        <v>1734</v>
      </c>
      <c r="V53" s="61" t="str">
        <f>IFERROR(IF(T53="Ativo","Ativo",IF(T53="SKU excluído","Vencido",VLOOKUP(C53,Encerramentos!B:G,6,0))),"")</f>
        <v>Ativo</v>
      </c>
      <c r="W53" s="42"/>
      <c r="X53" s="42"/>
      <c r="Y53" s="42"/>
      <c r="Z53" s="42"/>
      <c r="AA53" s="42"/>
      <c r="AB53" s="42"/>
      <c r="AC53" s="42"/>
      <c r="AD53" s="42"/>
      <c r="AE53" s="42"/>
    </row>
    <row r="54">
      <c r="A54" s="32" t="s">
        <v>1528</v>
      </c>
      <c r="B54" s="110" t="str">
        <f t="shared" si="6"/>
        <v/>
      </c>
      <c r="C54" s="34" t="s">
        <v>1735</v>
      </c>
      <c r="D54" s="37" t="s">
        <v>1707</v>
      </c>
      <c r="E54" s="37" t="s">
        <v>1736</v>
      </c>
      <c r="F54" s="45" t="s">
        <v>1737</v>
      </c>
      <c r="G54" s="37" t="s">
        <v>1552</v>
      </c>
      <c r="H54" s="38" t="s">
        <v>1027</v>
      </c>
      <c r="I54" s="38" t="s">
        <v>910</v>
      </c>
      <c r="J54" s="72" t="s">
        <v>1738</v>
      </c>
      <c r="K54" s="58">
        <v>45855.0</v>
      </c>
      <c r="L54" s="38" t="s">
        <v>862</v>
      </c>
      <c r="M54" s="38" t="s">
        <v>1739</v>
      </c>
      <c r="N54" s="41">
        <v>45898.0</v>
      </c>
      <c r="O54" s="50">
        <f t="shared" si="7"/>
        <v>45808</v>
      </c>
      <c r="P54" s="35" t="s">
        <v>1740</v>
      </c>
      <c r="Q54" s="35" t="s">
        <v>1741</v>
      </c>
      <c r="R54" s="45" t="b">
        <v>1</v>
      </c>
      <c r="S54" s="43" t="str">
        <f>IFERROR(__xludf.DUMMYFUNCTION("VLOOKUP(C54,importrange(""https://docs.google.com/spreadsheets/d/1fN1Q8KwrSYW55JpWNgQQ61JbS3zg1Ft2OqML6ziwN_Q/edit#gid=1174286835"",""PreCons!J:V""),13,0)"),"#N/A")</f>
        <v>#N/A</v>
      </c>
      <c r="T54" s="88" t="s">
        <v>242</v>
      </c>
      <c r="U54" s="60" t="s">
        <v>1742</v>
      </c>
      <c r="V54" s="61">
        <f>IFERROR(IF(T54="Ativo","Ativo",IF(T54="SKU excluído","Vencido",VLOOKUP(C54,Encerramentos!B:G,6,0))),"")</f>
        <v>46570</v>
      </c>
      <c r="W54" s="42"/>
      <c r="X54" s="42"/>
      <c r="Y54" s="42"/>
      <c r="Z54" s="42"/>
      <c r="AA54" s="42"/>
      <c r="AB54" s="42"/>
      <c r="AC54" s="42"/>
      <c r="AD54" s="42"/>
      <c r="AE54" s="42"/>
    </row>
    <row r="55">
      <c r="A55" s="32" t="s">
        <v>1528</v>
      </c>
      <c r="B55" s="110" t="str">
        <f t="shared" si="6"/>
        <v/>
      </c>
      <c r="C55" s="34" t="s">
        <v>1743</v>
      </c>
      <c r="D55" s="37" t="s">
        <v>1707</v>
      </c>
      <c r="E55" s="37" t="s">
        <v>1736</v>
      </c>
      <c r="F55" s="45" t="s">
        <v>1744</v>
      </c>
      <c r="G55" s="37" t="s">
        <v>1552</v>
      </c>
      <c r="H55" s="38" t="s">
        <v>1027</v>
      </c>
      <c r="I55" s="38" t="s">
        <v>1745</v>
      </c>
      <c r="J55" s="72" t="s">
        <v>1746</v>
      </c>
      <c r="K55" s="58">
        <v>45855.0</v>
      </c>
      <c r="L55" s="38" t="s">
        <v>862</v>
      </c>
      <c r="M55" s="38" t="s">
        <v>1739</v>
      </c>
      <c r="N55" s="41">
        <v>45898.0</v>
      </c>
      <c r="O55" s="50">
        <f t="shared" si="7"/>
        <v>45808</v>
      </c>
      <c r="P55" s="35" t="s">
        <v>1740</v>
      </c>
      <c r="Q55" s="35" t="s">
        <v>1741</v>
      </c>
      <c r="R55" s="45" t="b">
        <v>1</v>
      </c>
      <c r="S55" s="43" t="str">
        <f>IFERROR(__xludf.DUMMYFUNCTION("VLOOKUP(C55,importrange(""https://docs.google.com/spreadsheets/d/1fN1Q8KwrSYW55JpWNgQQ61JbS3zg1Ft2OqML6ziwN_Q/edit#gid=1174286835"",""PreCons!J:V""),13,0)"),"#N/A")</f>
        <v>#N/A</v>
      </c>
      <c r="T55" s="88" t="s">
        <v>242</v>
      </c>
      <c r="U55" s="60" t="s">
        <v>1742</v>
      </c>
      <c r="V55" s="61">
        <f>IFERROR(IF(T55="Ativo","Ativo",IF(T55="SKU excluído","Vencido",VLOOKUP(C55,Encerramentos!B:G,6,0))),"")</f>
        <v>46570</v>
      </c>
      <c r="W55" s="42"/>
      <c r="X55" s="42"/>
      <c r="Y55" s="42"/>
      <c r="Z55" s="42"/>
      <c r="AA55" s="42"/>
      <c r="AB55" s="42"/>
      <c r="AC55" s="42"/>
      <c r="AD55" s="42"/>
      <c r="AE55" s="42"/>
    </row>
    <row r="56">
      <c r="A56" s="32" t="s">
        <v>1528</v>
      </c>
      <c r="B56" s="110" t="str">
        <f t="shared" si="6"/>
        <v/>
      </c>
      <c r="C56" s="34" t="s">
        <v>1747</v>
      </c>
      <c r="D56" s="37" t="s">
        <v>1748</v>
      </c>
      <c r="E56" s="37" t="s">
        <v>1550</v>
      </c>
      <c r="F56" s="45" t="s">
        <v>1708</v>
      </c>
      <c r="G56" s="37" t="s">
        <v>1552</v>
      </c>
      <c r="H56" s="38" t="s">
        <v>1027</v>
      </c>
      <c r="I56" s="38" t="s">
        <v>910</v>
      </c>
      <c r="J56" s="72" t="s">
        <v>1749</v>
      </c>
      <c r="K56" s="58">
        <v>45855.0</v>
      </c>
      <c r="L56" s="38" t="s">
        <v>343</v>
      </c>
      <c r="M56" s="38" t="s">
        <v>1710</v>
      </c>
      <c r="N56" s="41">
        <v>46218.0</v>
      </c>
      <c r="O56" s="76">
        <f t="shared" si="7"/>
        <v>46128</v>
      </c>
      <c r="P56" s="35" t="s">
        <v>1711</v>
      </c>
      <c r="Q56" s="35" t="s">
        <v>1712</v>
      </c>
      <c r="R56" s="45" t="b">
        <v>1</v>
      </c>
      <c r="S56" s="43" t="str">
        <f>IFERROR(__xludf.DUMMYFUNCTION("VLOOKUP(C56,importrange(""https://docs.google.com/spreadsheets/d/1fN1Q8KwrSYW55JpWNgQQ61JbS3zg1Ft2OqML6ziwN_Q/edit#gid=1174286835"",""PreCons!J:V""),13,0)"),"#N/A")</f>
        <v>#N/A</v>
      </c>
      <c r="T56" s="73" t="s">
        <v>393</v>
      </c>
      <c r="U56" s="60" t="s">
        <v>1713</v>
      </c>
      <c r="V56" s="61" t="str">
        <f>IFERROR(IF(T56="Ativo","Ativo",IF(T56="SKU excluído","Vencido",VLOOKUP(C56,Encerramentos!B:G,6,0))),"")</f>
        <v>Ativo</v>
      </c>
      <c r="W56" s="42"/>
      <c r="X56" s="42"/>
      <c r="Y56" s="42"/>
      <c r="Z56" s="42"/>
      <c r="AA56" s="42"/>
      <c r="AB56" s="42"/>
      <c r="AC56" s="42"/>
      <c r="AD56" s="42"/>
      <c r="AE56" s="42"/>
    </row>
    <row r="57">
      <c r="A57" s="32" t="s">
        <v>1528</v>
      </c>
      <c r="B57" s="95"/>
      <c r="C57" s="34" t="s">
        <v>1750</v>
      </c>
      <c r="D57" s="37" t="s">
        <v>1748</v>
      </c>
      <c r="E57" s="37" t="s">
        <v>1550</v>
      </c>
      <c r="F57" s="45" t="s">
        <v>1751</v>
      </c>
      <c r="G57" s="37" t="s">
        <v>1552</v>
      </c>
      <c r="H57" s="38" t="s">
        <v>1027</v>
      </c>
      <c r="I57" s="38" t="s">
        <v>910</v>
      </c>
      <c r="J57" s="72" t="s">
        <v>1752</v>
      </c>
      <c r="K57" s="58">
        <v>45855.0</v>
      </c>
      <c r="L57" s="38" t="s">
        <v>343</v>
      </c>
      <c r="M57" s="38" t="s">
        <v>1710</v>
      </c>
      <c r="N57" s="41">
        <v>46218.0</v>
      </c>
      <c r="O57" s="76">
        <f t="shared" si="7"/>
        <v>46128</v>
      </c>
      <c r="P57" s="35" t="s">
        <v>1711</v>
      </c>
      <c r="Q57" s="35" t="s">
        <v>1712</v>
      </c>
      <c r="R57" s="45" t="b">
        <v>1</v>
      </c>
      <c r="S57" s="43" t="str">
        <f>IFERROR(__xludf.DUMMYFUNCTION("VLOOKUP(C57,importrange(""https://docs.google.com/spreadsheets/d/1fN1Q8KwrSYW55JpWNgQQ61JbS3zg1Ft2OqML6ziwN_Q/edit#gid=1174286835"",""PreCons!J:V""),13,0)"),"#N/A")</f>
        <v>#N/A</v>
      </c>
      <c r="T57" s="73" t="s">
        <v>393</v>
      </c>
      <c r="U57" s="60" t="s">
        <v>1713</v>
      </c>
      <c r="V57" s="61" t="str">
        <f>IFERROR(IF(T57="Ativo","Ativo",IF(T57="SKU excluído","Vencido",VLOOKUP(C57,Encerramentos!B:G,6,0))),"")</f>
        <v>Ativo</v>
      </c>
      <c r="W57" s="42"/>
      <c r="X57" s="42"/>
      <c r="Y57" s="42"/>
      <c r="Z57" s="42"/>
      <c r="AA57" s="42"/>
      <c r="AB57" s="42"/>
      <c r="AC57" s="42"/>
      <c r="AD57" s="42"/>
      <c r="AE57" s="42"/>
    </row>
    <row r="58">
      <c r="A58" s="32" t="s">
        <v>1528</v>
      </c>
      <c r="B58" s="110" t="str">
        <f t="shared" ref="B58:B67" si="8">HYPERLINK("https://imagens.imgnet.com.br/f/imaginarium/"&amp;C58&amp;";"&amp;C58,image("https://imagens.imgnet.com.br/f/imaginarium/"&amp;C58&amp;"))"))</f>
        <v/>
      </c>
      <c r="C58" s="34" t="s">
        <v>1753</v>
      </c>
      <c r="D58" s="37" t="s">
        <v>1748</v>
      </c>
      <c r="E58" s="37" t="s">
        <v>504</v>
      </c>
      <c r="F58" s="45" t="s">
        <v>1754</v>
      </c>
      <c r="G58" s="37" t="s">
        <v>1532</v>
      </c>
      <c r="H58" s="38" t="s">
        <v>236</v>
      </c>
      <c r="I58" s="38" t="s">
        <v>910</v>
      </c>
      <c r="J58" s="72" t="s">
        <v>1755</v>
      </c>
      <c r="K58" s="58">
        <v>45953.0</v>
      </c>
      <c r="L58" s="38" t="s">
        <v>239</v>
      </c>
      <c r="M58" s="38" t="s">
        <v>745</v>
      </c>
      <c r="N58" s="41">
        <v>46610.0</v>
      </c>
      <c r="O58" s="50">
        <f t="shared" si="7"/>
        <v>46520</v>
      </c>
      <c r="P58" s="35" t="s">
        <v>1655</v>
      </c>
      <c r="Q58" s="35" t="s">
        <v>1656</v>
      </c>
      <c r="R58" s="45" t="b">
        <v>1</v>
      </c>
      <c r="S58" s="43" t="str">
        <f>IFERROR(__xludf.DUMMYFUNCTION("VLOOKUP(C58,importrange(""https://docs.google.com/spreadsheets/d/1fN1Q8KwrSYW55JpWNgQQ61JbS3zg1Ft2OqML6ziwN_Q/edit#gid=1174286835"",""PreCons!J:V""),13,0)"),"#N/A")</f>
        <v>#N/A</v>
      </c>
      <c r="T58" s="73" t="s">
        <v>393</v>
      </c>
      <c r="U58" s="108" t="s">
        <v>1756</v>
      </c>
      <c r="V58" s="61" t="str">
        <f>IFERROR(IF(T58="Ativo","Ativo",IF(T58="SKU excluído","Vencido",VLOOKUP(C58,Encerramentos!B:G,6,0))),"")</f>
        <v>Ativo</v>
      </c>
      <c r="W58" s="42"/>
      <c r="X58" s="42"/>
      <c r="Y58" s="42"/>
      <c r="Z58" s="42"/>
      <c r="AA58" s="42"/>
      <c r="AB58" s="42"/>
      <c r="AC58" s="42"/>
      <c r="AD58" s="42"/>
      <c r="AE58" s="42"/>
    </row>
    <row r="59">
      <c r="A59" s="32" t="s">
        <v>1528</v>
      </c>
      <c r="B59" s="110" t="str">
        <f t="shared" si="8"/>
        <v/>
      </c>
      <c r="C59" s="34" t="s">
        <v>1757</v>
      </c>
      <c r="D59" s="37" t="s">
        <v>1748</v>
      </c>
      <c r="E59" s="37" t="s">
        <v>504</v>
      </c>
      <c r="F59" s="45" t="s">
        <v>1649</v>
      </c>
      <c r="G59" s="37" t="s">
        <v>1532</v>
      </c>
      <c r="H59" s="38" t="s">
        <v>236</v>
      </c>
      <c r="I59" s="38" t="s">
        <v>910</v>
      </c>
      <c r="J59" s="72" t="s">
        <v>1758</v>
      </c>
      <c r="K59" s="58">
        <v>45953.0</v>
      </c>
      <c r="L59" s="38" t="s">
        <v>239</v>
      </c>
      <c r="M59" s="38" t="s">
        <v>745</v>
      </c>
      <c r="N59" s="41">
        <v>46610.0</v>
      </c>
      <c r="O59" s="50">
        <f t="shared" si="7"/>
        <v>46520</v>
      </c>
      <c r="P59" s="35" t="s">
        <v>1645</v>
      </c>
      <c r="Q59" s="35" t="s">
        <v>1646</v>
      </c>
      <c r="R59" s="45" t="b">
        <v>1</v>
      </c>
      <c r="S59" s="43" t="str">
        <f>IFERROR(__xludf.DUMMYFUNCTION("VLOOKUP(C59,importrange(""https://docs.google.com/spreadsheets/d/1fN1Q8KwrSYW55JpWNgQQ61JbS3zg1Ft2OqML6ziwN_Q/edit#gid=1174286835"",""PreCons!J:V""),13,0)"),"#N/A")</f>
        <v>#N/A</v>
      </c>
      <c r="T59" s="73" t="s">
        <v>393</v>
      </c>
      <c r="U59" s="108" t="s">
        <v>1759</v>
      </c>
      <c r="V59" s="61" t="str">
        <f>IFERROR(IF(T59="Ativo","Ativo",IF(T59="SKU excluído","Vencido",VLOOKUP(C59,Encerramentos!B:G,6,0))),"")</f>
        <v>Ativo</v>
      </c>
      <c r="W59" s="42"/>
      <c r="X59" s="42"/>
      <c r="Y59" s="42"/>
      <c r="Z59" s="42"/>
      <c r="AA59" s="42"/>
      <c r="AB59" s="42"/>
      <c r="AC59" s="42"/>
      <c r="AD59" s="42"/>
      <c r="AE59" s="42"/>
    </row>
    <row r="60">
      <c r="A60" s="32" t="s">
        <v>1528</v>
      </c>
      <c r="B60" s="110" t="str">
        <f t="shared" si="8"/>
        <v/>
      </c>
      <c r="C60" s="34" t="s">
        <v>1760</v>
      </c>
      <c r="D60" s="37" t="s">
        <v>1748</v>
      </c>
      <c r="E60" s="37" t="s">
        <v>504</v>
      </c>
      <c r="F60" s="45" t="s">
        <v>1761</v>
      </c>
      <c r="G60" s="37" t="s">
        <v>1532</v>
      </c>
      <c r="H60" s="38" t="s">
        <v>236</v>
      </c>
      <c r="I60" s="38" t="s">
        <v>910</v>
      </c>
      <c r="J60" s="72" t="s">
        <v>1762</v>
      </c>
      <c r="K60" s="58">
        <v>45825.0</v>
      </c>
      <c r="L60" s="38" t="s">
        <v>239</v>
      </c>
      <c r="M60" s="38" t="s">
        <v>745</v>
      </c>
      <c r="N60" s="41">
        <v>46257.0</v>
      </c>
      <c r="O60" s="50">
        <f t="shared" si="7"/>
        <v>46167</v>
      </c>
      <c r="P60" s="35" t="s">
        <v>1732</v>
      </c>
      <c r="Q60" s="35" t="s">
        <v>1733</v>
      </c>
      <c r="R60" s="45" t="b">
        <v>1</v>
      </c>
      <c r="S60" s="43" t="str">
        <f>IFERROR(__xludf.DUMMYFUNCTION("VLOOKUP(C60,importrange(""https://docs.google.com/spreadsheets/d/1fN1Q8KwrSYW55JpWNgQQ61JbS3zg1Ft2OqML6ziwN_Q/edit#gid=1174286835"",""PreCons!J:V""),13,0)"),"#N/A")</f>
        <v>#N/A</v>
      </c>
      <c r="T60" s="73" t="s">
        <v>393</v>
      </c>
      <c r="U60" s="108" t="s">
        <v>1763</v>
      </c>
      <c r="V60" s="61" t="str">
        <f>IFERROR(IF(T60="Ativo","Ativo",IF(T60="SKU excluído","Vencido",VLOOKUP(C60,Encerramentos!B:G,6,0))),"")</f>
        <v>Ativo</v>
      </c>
      <c r="W60" s="42"/>
      <c r="X60" s="42"/>
      <c r="Y60" s="42"/>
      <c r="Z60" s="42"/>
      <c r="AA60" s="42"/>
      <c r="AB60" s="42"/>
      <c r="AC60" s="42"/>
      <c r="AD60" s="42"/>
      <c r="AE60" s="42"/>
    </row>
    <row r="61">
      <c r="A61" s="32" t="s">
        <v>1528</v>
      </c>
      <c r="B61" s="110" t="str">
        <f t="shared" si="8"/>
        <v/>
      </c>
      <c r="C61" s="34" t="s">
        <v>1764</v>
      </c>
      <c r="D61" s="35" t="s">
        <v>1765</v>
      </c>
      <c r="E61" s="35" t="s">
        <v>1236</v>
      </c>
      <c r="F61" s="45" t="s">
        <v>1766</v>
      </c>
      <c r="G61" s="37" t="s">
        <v>1552</v>
      </c>
      <c r="H61" s="38" t="s">
        <v>98</v>
      </c>
      <c r="I61" s="38" t="s">
        <v>910</v>
      </c>
      <c r="J61" s="72" t="s">
        <v>1767</v>
      </c>
      <c r="K61" s="58">
        <v>45772.0</v>
      </c>
      <c r="L61" s="38" t="s">
        <v>862</v>
      </c>
      <c r="M61" s="38" t="s">
        <v>1239</v>
      </c>
      <c r="N61" s="66">
        <v>46133.0</v>
      </c>
      <c r="O61" s="50">
        <f t="shared" si="7"/>
        <v>46043</v>
      </c>
      <c r="P61" s="35" t="s">
        <v>1240</v>
      </c>
      <c r="Q61" s="35" t="s">
        <v>1241</v>
      </c>
      <c r="R61" s="45" t="b">
        <v>1</v>
      </c>
      <c r="S61" s="43" t="str">
        <f>IFERROR(__xludf.DUMMYFUNCTION("VLOOKUP(C61,importrange(""https://docs.google.com/spreadsheets/d/1fN1Q8KwrSYW55JpWNgQQ61JbS3zg1Ft2OqML6ziwN_Q/edit#gid=1174286835"",""PreCons!J:V""),13,0)"),"#N/A")</f>
        <v>#N/A</v>
      </c>
      <c r="T61" s="73" t="s">
        <v>393</v>
      </c>
      <c r="U61" s="119" t="s">
        <v>1242</v>
      </c>
      <c r="V61" s="61" t="str">
        <f>IFERROR(IF(T61="Ativo","Ativo",IF(T61="SKU excluído","Vencido",VLOOKUP(C61,Encerramentos!B:G,6,0))),"")</f>
        <v>Ativo</v>
      </c>
      <c r="W61" s="42"/>
      <c r="X61" s="42"/>
      <c r="Y61" s="42"/>
      <c r="Z61" s="42"/>
      <c r="AA61" s="42"/>
      <c r="AB61" s="42"/>
      <c r="AC61" s="42"/>
      <c r="AD61" s="42"/>
      <c r="AE61" s="42"/>
    </row>
    <row r="62">
      <c r="A62" s="32" t="s">
        <v>1528</v>
      </c>
      <c r="B62" s="110" t="str">
        <f t="shared" si="8"/>
        <v/>
      </c>
      <c r="C62" s="34" t="s">
        <v>1768</v>
      </c>
      <c r="D62" s="37" t="s">
        <v>1748</v>
      </c>
      <c r="E62" s="35" t="s">
        <v>1236</v>
      </c>
      <c r="F62" s="45" t="s">
        <v>1769</v>
      </c>
      <c r="G62" s="37" t="s">
        <v>1552</v>
      </c>
      <c r="H62" s="38" t="s">
        <v>98</v>
      </c>
      <c r="I62" s="38" t="s">
        <v>1264</v>
      </c>
      <c r="J62" s="72" t="s">
        <v>1770</v>
      </c>
      <c r="K62" s="58">
        <v>45804.0</v>
      </c>
      <c r="L62" s="38" t="s">
        <v>862</v>
      </c>
      <c r="M62" s="38" t="s">
        <v>1239</v>
      </c>
      <c r="N62" s="66">
        <v>46190.0</v>
      </c>
      <c r="O62" s="50">
        <f t="shared" si="7"/>
        <v>46100</v>
      </c>
      <c r="P62" s="35" t="s">
        <v>1308</v>
      </c>
      <c r="Q62" s="35" t="s">
        <v>1309</v>
      </c>
      <c r="R62" s="45" t="b">
        <v>1</v>
      </c>
      <c r="S62" s="43" t="str">
        <f>IFERROR(__xludf.DUMMYFUNCTION("VLOOKUP(C62,importrange(""https://docs.google.com/spreadsheets/d/1fN1Q8KwrSYW55JpWNgQQ61JbS3zg1Ft2OqML6ziwN_Q/edit#gid=1174286835"",""PreCons!J:V""),13,0)"),"#N/A")</f>
        <v>#N/A</v>
      </c>
      <c r="T62" s="73" t="s">
        <v>393</v>
      </c>
      <c r="U62" s="60" t="s">
        <v>1310</v>
      </c>
      <c r="V62" s="61" t="str">
        <f>IFERROR(IF(T62="Ativo","Ativo",IF(T62="SKU excluído","Vencido",VLOOKUP(C62,Encerramentos!B:G,6,0))),"")</f>
        <v>Ativo</v>
      </c>
      <c r="W62" s="42"/>
      <c r="X62" s="42"/>
      <c r="Y62" s="42"/>
      <c r="Z62" s="42"/>
      <c r="AA62" s="42"/>
      <c r="AB62" s="42"/>
      <c r="AC62" s="42"/>
      <c r="AD62" s="42"/>
      <c r="AE62" s="42"/>
    </row>
    <row r="63">
      <c r="A63" s="32" t="s">
        <v>1528</v>
      </c>
      <c r="B63" s="110" t="str">
        <f t="shared" si="8"/>
        <v/>
      </c>
      <c r="C63" s="34" t="s">
        <v>1771</v>
      </c>
      <c r="D63" s="37" t="s">
        <v>1748</v>
      </c>
      <c r="E63" s="35" t="s">
        <v>1236</v>
      </c>
      <c r="F63" s="45" t="s">
        <v>1602</v>
      </c>
      <c r="G63" s="37" t="s">
        <v>1552</v>
      </c>
      <c r="H63" s="38" t="s">
        <v>98</v>
      </c>
      <c r="I63" s="38" t="s">
        <v>910</v>
      </c>
      <c r="J63" s="72" t="s">
        <v>1770</v>
      </c>
      <c r="K63" s="58">
        <v>45804.0</v>
      </c>
      <c r="L63" s="38" t="s">
        <v>862</v>
      </c>
      <c r="M63" s="38" t="s">
        <v>1239</v>
      </c>
      <c r="N63" s="66">
        <v>46190.0</v>
      </c>
      <c r="O63" s="50">
        <f t="shared" si="7"/>
        <v>46100</v>
      </c>
      <c r="P63" s="35" t="s">
        <v>1308</v>
      </c>
      <c r="Q63" s="35" t="s">
        <v>1309</v>
      </c>
      <c r="R63" s="45" t="b">
        <v>1</v>
      </c>
      <c r="S63" s="43" t="str">
        <f>IFERROR(__xludf.DUMMYFUNCTION("VLOOKUP(C63,importrange(""https://docs.google.com/spreadsheets/d/1fN1Q8KwrSYW55JpWNgQQ61JbS3zg1Ft2OqML6ziwN_Q/edit#gid=1174286835"",""PreCons!J:V""),13,0)"),"#N/A")</f>
        <v>#N/A</v>
      </c>
      <c r="T63" s="73" t="s">
        <v>393</v>
      </c>
      <c r="U63" s="60" t="s">
        <v>1310</v>
      </c>
      <c r="V63" s="61" t="str">
        <f>IFERROR(IF(T63="Ativo","Ativo",IF(T63="SKU excluído","Vencido",VLOOKUP(C63,Encerramentos!B:G,6,0))),"")</f>
        <v>Ativo</v>
      </c>
      <c r="W63" s="42"/>
      <c r="X63" s="42"/>
      <c r="Y63" s="42"/>
      <c r="Z63" s="42"/>
      <c r="AA63" s="42"/>
      <c r="AB63" s="42"/>
      <c r="AC63" s="42"/>
      <c r="AD63" s="42"/>
      <c r="AE63" s="42"/>
    </row>
    <row r="64">
      <c r="A64" s="32" t="s">
        <v>1528</v>
      </c>
      <c r="B64" s="110" t="str">
        <f t="shared" si="8"/>
        <v/>
      </c>
      <c r="C64" s="34" t="s">
        <v>1772</v>
      </c>
      <c r="D64" s="37" t="s">
        <v>1748</v>
      </c>
      <c r="E64" s="35" t="s">
        <v>1236</v>
      </c>
      <c r="F64" s="45" t="s">
        <v>1613</v>
      </c>
      <c r="G64" s="37" t="s">
        <v>1552</v>
      </c>
      <c r="H64" s="38" t="s">
        <v>98</v>
      </c>
      <c r="I64" s="38" t="s">
        <v>910</v>
      </c>
      <c r="J64" s="72" t="s">
        <v>1770</v>
      </c>
      <c r="K64" s="58">
        <v>45804.0</v>
      </c>
      <c r="L64" s="38" t="s">
        <v>862</v>
      </c>
      <c r="M64" s="38" t="s">
        <v>1239</v>
      </c>
      <c r="N64" s="66">
        <v>46190.0</v>
      </c>
      <c r="O64" s="50">
        <f t="shared" si="7"/>
        <v>46100</v>
      </c>
      <c r="P64" s="35" t="s">
        <v>1308</v>
      </c>
      <c r="Q64" s="35" t="s">
        <v>1309</v>
      </c>
      <c r="R64" s="45" t="b">
        <v>1</v>
      </c>
      <c r="S64" s="43" t="str">
        <f>IFERROR(__xludf.DUMMYFUNCTION("VLOOKUP(C64,importrange(""https://docs.google.com/spreadsheets/d/1fN1Q8KwrSYW55JpWNgQQ61JbS3zg1Ft2OqML6ziwN_Q/edit#gid=1174286835"",""PreCons!J:V""),13,0)"),"#N/A")</f>
        <v>#N/A</v>
      </c>
      <c r="T64" s="73" t="s">
        <v>393</v>
      </c>
      <c r="U64" s="60" t="s">
        <v>1310</v>
      </c>
      <c r="V64" s="61" t="str">
        <f>IFERROR(IF(T64="Ativo","Ativo",IF(T64="SKU excluído","Vencido",VLOOKUP(C64,Encerramentos!B:G,6,0))),"")</f>
        <v>Ativo</v>
      </c>
      <c r="W64" s="42"/>
      <c r="X64" s="42"/>
      <c r="Y64" s="42"/>
      <c r="Z64" s="42"/>
      <c r="AA64" s="42"/>
      <c r="AB64" s="42"/>
      <c r="AC64" s="42"/>
      <c r="AD64" s="42"/>
      <c r="AE64" s="42"/>
    </row>
    <row r="65">
      <c r="A65" s="32" t="s">
        <v>1528</v>
      </c>
      <c r="B65" s="110" t="str">
        <f t="shared" si="8"/>
        <v/>
      </c>
      <c r="C65" s="34" t="s">
        <v>1773</v>
      </c>
      <c r="D65" s="37" t="s">
        <v>1748</v>
      </c>
      <c r="E65" s="35" t="s">
        <v>1236</v>
      </c>
      <c r="F65" s="45" t="s">
        <v>1698</v>
      </c>
      <c r="G65" s="37" t="s">
        <v>1552</v>
      </c>
      <c r="H65" s="38" t="s">
        <v>98</v>
      </c>
      <c r="I65" s="38" t="s">
        <v>910</v>
      </c>
      <c r="J65" s="72" t="s">
        <v>1770</v>
      </c>
      <c r="K65" s="58">
        <v>45804.0</v>
      </c>
      <c r="L65" s="38" t="s">
        <v>862</v>
      </c>
      <c r="M65" s="38" t="s">
        <v>1239</v>
      </c>
      <c r="N65" s="66">
        <v>46190.0</v>
      </c>
      <c r="O65" s="50">
        <f t="shared" si="7"/>
        <v>46100</v>
      </c>
      <c r="P65" s="35" t="s">
        <v>1308</v>
      </c>
      <c r="Q65" s="35" t="s">
        <v>1309</v>
      </c>
      <c r="R65" s="45" t="b">
        <v>1</v>
      </c>
      <c r="S65" s="43" t="str">
        <f>IFERROR(__xludf.DUMMYFUNCTION("VLOOKUP(C65,importrange(""https://docs.google.com/spreadsheets/d/1fN1Q8KwrSYW55JpWNgQQ61JbS3zg1Ft2OqML6ziwN_Q/edit#gid=1174286835"",""PreCons!J:V""),13,0)"),"#N/A")</f>
        <v>#N/A</v>
      </c>
      <c r="T65" s="73" t="s">
        <v>393</v>
      </c>
      <c r="U65" s="60" t="s">
        <v>1310</v>
      </c>
      <c r="V65" s="61" t="str">
        <f>IFERROR(IF(T65="Ativo","Ativo",IF(T65="SKU excluído","Vencido",VLOOKUP(C65,Encerramentos!B:G,6,0))),"")</f>
        <v>Ativo</v>
      </c>
      <c r="W65" s="42"/>
      <c r="X65" s="42"/>
      <c r="Y65" s="42"/>
      <c r="Z65" s="42"/>
      <c r="AA65" s="42"/>
      <c r="AB65" s="42"/>
      <c r="AC65" s="42"/>
      <c r="AD65" s="42"/>
      <c r="AE65" s="42"/>
    </row>
    <row r="66">
      <c r="A66" s="32" t="s">
        <v>1528</v>
      </c>
      <c r="B66" s="110" t="str">
        <f t="shared" si="8"/>
        <v/>
      </c>
      <c r="C66" s="34" t="s">
        <v>1774</v>
      </c>
      <c r="D66" s="37" t="s">
        <v>1748</v>
      </c>
      <c r="E66" s="35" t="s">
        <v>1236</v>
      </c>
      <c r="F66" s="45" t="s">
        <v>127</v>
      </c>
      <c r="G66" s="37" t="s">
        <v>1552</v>
      </c>
      <c r="H66" s="38" t="s">
        <v>98</v>
      </c>
      <c r="I66" s="38" t="s">
        <v>910</v>
      </c>
      <c r="J66" s="72" t="s">
        <v>1770</v>
      </c>
      <c r="K66" s="58">
        <v>45804.0</v>
      </c>
      <c r="L66" s="38" t="s">
        <v>862</v>
      </c>
      <c r="M66" s="38" t="s">
        <v>1239</v>
      </c>
      <c r="N66" s="66">
        <v>46190.0</v>
      </c>
      <c r="O66" s="50">
        <f t="shared" si="7"/>
        <v>46100</v>
      </c>
      <c r="P66" s="35" t="s">
        <v>1308</v>
      </c>
      <c r="Q66" s="35" t="s">
        <v>1309</v>
      </c>
      <c r="R66" s="45" t="b">
        <v>1</v>
      </c>
      <c r="S66" s="43" t="str">
        <f>IFERROR(__xludf.DUMMYFUNCTION("VLOOKUP(C66,importrange(""https://docs.google.com/spreadsheets/d/1fN1Q8KwrSYW55JpWNgQQ61JbS3zg1Ft2OqML6ziwN_Q/edit#gid=1174286835"",""PreCons!J:V""),13,0)"),"#N/A")</f>
        <v>#N/A</v>
      </c>
      <c r="T66" s="73" t="s">
        <v>393</v>
      </c>
      <c r="U66" s="60" t="s">
        <v>1310</v>
      </c>
      <c r="V66" s="61" t="str">
        <f>IFERROR(IF(T66="Ativo","Ativo",IF(T66="SKU excluído","Vencido",VLOOKUP(C66,Encerramentos!B:G,6,0))),"")</f>
        <v>Ativo</v>
      </c>
      <c r="W66" s="42"/>
      <c r="X66" s="42"/>
      <c r="Y66" s="42"/>
      <c r="Z66" s="42"/>
      <c r="AA66" s="42"/>
      <c r="AB66" s="42"/>
      <c r="AC66" s="42"/>
      <c r="AD66" s="42"/>
      <c r="AE66" s="42"/>
    </row>
    <row r="67">
      <c r="A67" s="32" t="s">
        <v>1528</v>
      </c>
      <c r="B67" s="110" t="str">
        <f t="shared" si="8"/>
        <v/>
      </c>
      <c r="C67" s="34" t="s">
        <v>1775</v>
      </c>
      <c r="D67" s="37" t="s">
        <v>1748</v>
      </c>
      <c r="E67" s="35" t="s">
        <v>1236</v>
      </c>
      <c r="F67" s="45" t="s">
        <v>1593</v>
      </c>
      <c r="G67" s="37" t="s">
        <v>1552</v>
      </c>
      <c r="H67" s="38" t="s">
        <v>98</v>
      </c>
      <c r="I67" s="38" t="s">
        <v>910</v>
      </c>
      <c r="J67" s="72" t="s">
        <v>1770</v>
      </c>
      <c r="K67" s="58">
        <v>45804.0</v>
      </c>
      <c r="L67" s="38" t="s">
        <v>862</v>
      </c>
      <c r="M67" s="38" t="s">
        <v>1239</v>
      </c>
      <c r="N67" s="66">
        <v>46190.0</v>
      </c>
      <c r="O67" s="50">
        <f t="shared" si="7"/>
        <v>46100</v>
      </c>
      <c r="P67" s="35" t="s">
        <v>1308</v>
      </c>
      <c r="Q67" s="35" t="s">
        <v>1309</v>
      </c>
      <c r="R67" s="45" t="b">
        <v>1</v>
      </c>
      <c r="S67" s="43" t="str">
        <f>IFERROR(__xludf.DUMMYFUNCTION("VLOOKUP(C67,importrange(""https://docs.google.com/spreadsheets/d/1fN1Q8KwrSYW55JpWNgQQ61JbS3zg1Ft2OqML6ziwN_Q/edit#gid=1174286835"",""PreCons!J:V""),13,0)"),"#N/A")</f>
        <v>#N/A</v>
      </c>
      <c r="T67" s="73" t="s">
        <v>393</v>
      </c>
      <c r="U67" s="60" t="s">
        <v>1310</v>
      </c>
      <c r="V67" s="61" t="str">
        <f>IFERROR(IF(T67="Ativo","Ativo",IF(T67="SKU excluído","Vencido",VLOOKUP(C67,Encerramentos!B:G,6,0))),"")</f>
        <v>Ativo</v>
      </c>
      <c r="W67" s="42"/>
      <c r="X67" s="42"/>
      <c r="Y67" s="42"/>
      <c r="Z67" s="42"/>
      <c r="AA67" s="42"/>
      <c r="AB67" s="42"/>
      <c r="AC67" s="42"/>
      <c r="AD67" s="42"/>
      <c r="AE67" s="42"/>
    </row>
    <row r="68">
      <c r="A68" s="32" t="s">
        <v>1528</v>
      </c>
      <c r="B68" s="95"/>
      <c r="C68" s="34" t="s">
        <v>1776</v>
      </c>
      <c r="D68" s="37" t="s">
        <v>1748</v>
      </c>
      <c r="E68" s="35" t="s">
        <v>1236</v>
      </c>
      <c r="F68" s="45" t="s">
        <v>1777</v>
      </c>
      <c r="G68" s="37" t="s">
        <v>1552</v>
      </c>
      <c r="H68" s="38" t="s">
        <v>98</v>
      </c>
      <c r="I68" s="38" t="s">
        <v>910</v>
      </c>
      <c r="J68" s="72" t="s">
        <v>1770</v>
      </c>
      <c r="K68" s="58">
        <v>45804.0</v>
      </c>
      <c r="L68" s="38" t="s">
        <v>862</v>
      </c>
      <c r="M68" s="38" t="s">
        <v>1239</v>
      </c>
      <c r="N68" s="66">
        <v>46190.0</v>
      </c>
      <c r="O68" s="50">
        <f t="shared" si="7"/>
        <v>46100</v>
      </c>
      <c r="P68" s="35" t="s">
        <v>1308</v>
      </c>
      <c r="Q68" s="35" t="s">
        <v>1309</v>
      </c>
      <c r="R68" s="45" t="b">
        <v>1</v>
      </c>
      <c r="S68" s="43" t="str">
        <f>IFERROR(__xludf.DUMMYFUNCTION("VLOOKUP(C68,importrange(""https://docs.google.com/spreadsheets/d/1fN1Q8KwrSYW55JpWNgQQ61JbS3zg1Ft2OqML6ziwN_Q/edit#gid=1174286835"",""PreCons!J:V""),13,0)"),"#N/A")</f>
        <v>#N/A</v>
      </c>
      <c r="T68" s="73" t="s">
        <v>393</v>
      </c>
      <c r="U68" s="60" t="s">
        <v>1310</v>
      </c>
      <c r="V68" s="61" t="str">
        <f>IFERROR(IF(T68="Ativo","Ativo",IF(T68="SKU excluído","Vencido",VLOOKUP(C68,Encerramentos!B:G,6,0))),"")</f>
        <v>Ativo</v>
      </c>
      <c r="W68" s="42"/>
      <c r="X68" s="42"/>
      <c r="Y68" s="42"/>
      <c r="Z68" s="42"/>
      <c r="AA68" s="42"/>
      <c r="AB68" s="42"/>
      <c r="AC68" s="42"/>
      <c r="AD68" s="42"/>
      <c r="AE68" s="42"/>
    </row>
    <row r="69">
      <c r="A69" s="32" t="s">
        <v>1528</v>
      </c>
      <c r="B69" s="110" t="str">
        <f t="shared" ref="B69:B85" si="9">HYPERLINK("https://imagens.imgnet.com.br/f/imaginarium/"&amp;C69&amp;";"&amp;C69,image("https://imagens.imgnet.com.br/f/imaginarium/"&amp;C69&amp;"))"))</f>
        <v/>
      </c>
      <c r="C69" s="34" t="s">
        <v>1778</v>
      </c>
      <c r="D69" s="37" t="s">
        <v>1748</v>
      </c>
      <c r="E69" s="35" t="s">
        <v>1236</v>
      </c>
      <c r="F69" s="45" t="s">
        <v>1779</v>
      </c>
      <c r="G69" s="37" t="s">
        <v>1552</v>
      </c>
      <c r="H69" s="38" t="s">
        <v>98</v>
      </c>
      <c r="I69" s="38" t="s">
        <v>910</v>
      </c>
      <c r="J69" s="91" t="s">
        <v>1440</v>
      </c>
      <c r="K69" s="58">
        <v>45813.0</v>
      </c>
      <c r="L69" s="38" t="s">
        <v>862</v>
      </c>
      <c r="M69" s="38" t="s">
        <v>1239</v>
      </c>
      <c r="N69" s="66">
        <v>46190.0</v>
      </c>
      <c r="O69" s="50">
        <f t="shared" si="7"/>
        <v>46100</v>
      </c>
      <c r="P69" s="35" t="s">
        <v>1308</v>
      </c>
      <c r="Q69" s="35" t="s">
        <v>1309</v>
      </c>
      <c r="R69" s="45" t="b">
        <v>1</v>
      </c>
      <c r="S69" s="43" t="str">
        <f>IFERROR(__xludf.DUMMYFUNCTION("VLOOKUP(C69,importrange(""https://docs.google.com/spreadsheets/d/1fN1Q8KwrSYW55JpWNgQQ61JbS3zg1Ft2OqML6ziwN_Q/edit#gid=1174286835"",""PreCons!J:V""),13,0)"),"#N/A")</f>
        <v>#N/A</v>
      </c>
      <c r="T69" s="73" t="s">
        <v>393</v>
      </c>
      <c r="U69" s="60" t="s">
        <v>1310</v>
      </c>
      <c r="V69" s="61" t="str">
        <f>IFERROR(IF(T69="Ativo","Ativo",IF(T69="SKU excluído","Vencido",VLOOKUP(C69,Encerramentos!B:G,6,0))),"")</f>
        <v>Ativo</v>
      </c>
      <c r="W69" s="42"/>
      <c r="X69" s="42"/>
      <c r="Y69" s="42"/>
      <c r="Z69" s="42"/>
      <c r="AA69" s="42"/>
      <c r="AB69" s="42"/>
      <c r="AC69" s="42"/>
      <c r="AD69" s="42"/>
      <c r="AE69" s="42"/>
    </row>
    <row r="70">
      <c r="A70" s="32" t="s">
        <v>1528</v>
      </c>
      <c r="B70" s="110" t="str">
        <f t="shared" si="9"/>
        <v/>
      </c>
      <c r="C70" s="34" t="s">
        <v>1780</v>
      </c>
      <c r="D70" s="37" t="s">
        <v>1748</v>
      </c>
      <c r="E70" s="35" t="s">
        <v>1781</v>
      </c>
      <c r="F70" s="45" t="s">
        <v>1782</v>
      </c>
      <c r="G70" s="37" t="s">
        <v>1552</v>
      </c>
      <c r="H70" s="38" t="s">
        <v>98</v>
      </c>
      <c r="I70" s="38" t="s">
        <v>910</v>
      </c>
      <c r="J70" s="91" t="s">
        <v>1783</v>
      </c>
      <c r="K70" s="58">
        <v>45923.0</v>
      </c>
      <c r="L70" s="38" t="s">
        <v>862</v>
      </c>
      <c r="M70" s="38" t="s">
        <v>1784</v>
      </c>
      <c r="N70" s="66">
        <v>46272.0</v>
      </c>
      <c r="O70" s="50">
        <f t="shared" si="7"/>
        <v>46182</v>
      </c>
      <c r="P70" s="35" t="s">
        <v>1785</v>
      </c>
      <c r="Q70" s="35" t="s">
        <v>1786</v>
      </c>
      <c r="R70" s="45" t="b">
        <v>1</v>
      </c>
      <c r="S70" s="43" t="str">
        <f>IFERROR(__xludf.DUMMYFUNCTION("VLOOKUP(C70,importrange(""https://docs.google.com/spreadsheets/d/1fN1Q8KwrSYW55JpWNgQQ61JbS3zg1Ft2OqML6ziwN_Q/edit#gid=1174286835"",""PreCons!J:V""),13,0)"),"#N/A")</f>
        <v>#N/A</v>
      </c>
      <c r="T70" s="73" t="s">
        <v>393</v>
      </c>
      <c r="U70" s="60" t="s">
        <v>1787</v>
      </c>
      <c r="V70" s="61" t="str">
        <f>IFERROR(IF(T70="Ativo","Ativo",IF(T70="SKU excluído","Vencido",VLOOKUP(C70,Encerramentos!B:G,6,0))),"")</f>
        <v>Ativo</v>
      </c>
      <c r="W70" s="42"/>
      <c r="X70" s="42"/>
      <c r="Y70" s="42"/>
      <c r="Z70" s="42"/>
      <c r="AA70" s="42"/>
      <c r="AB70" s="42"/>
      <c r="AC70" s="42"/>
      <c r="AD70" s="42"/>
      <c r="AE70" s="42"/>
    </row>
    <row r="71">
      <c r="A71" s="32" t="s">
        <v>1528</v>
      </c>
      <c r="B71" s="110" t="str">
        <f t="shared" si="9"/>
        <v/>
      </c>
      <c r="C71" s="34" t="s">
        <v>1788</v>
      </c>
      <c r="D71" s="37" t="s">
        <v>1748</v>
      </c>
      <c r="E71" s="35" t="s">
        <v>1781</v>
      </c>
      <c r="F71" s="45" t="s">
        <v>1789</v>
      </c>
      <c r="G71" s="37" t="s">
        <v>1552</v>
      </c>
      <c r="H71" s="38" t="s">
        <v>98</v>
      </c>
      <c r="I71" s="38" t="s">
        <v>910</v>
      </c>
      <c r="J71" s="91" t="s">
        <v>1783</v>
      </c>
      <c r="K71" s="58">
        <v>45923.0</v>
      </c>
      <c r="L71" s="38" t="s">
        <v>862</v>
      </c>
      <c r="M71" s="38" t="s">
        <v>1784</v>
      </c>
      <c r="N71" s="66">
        <v>46272.0</v>
      </c>
      <c r="O71" s="50">
        <f t="shared" si="7"/>
        <v>46182</v>
      </c>
      <c r="P71" s="35" t="s">
        <v>1785</v>
      </c>
      <c r="Q71" s="35" t="s">
        <v>1786</v>
      </c>
      <c r="R71" s="45" t="b">
        <v>1</v>
      </c>
      <c r="S71" s="43" t="str">
        <f>IFERROR(__xludf.DUMMYFUNCTION("VLOOKUP(C71,importrange(""https://docs.google.com/spreadsheets/d/1fN1Q8KwrSYW55JpWNgQQ61JbS3zg1Ft2OqML6ziwN_Q/edit#gid=1174286835"",""PreCons!J:V""),13,0)"),"#N/A")</f>
        <v>#N/A</v>
      </c>
      <c r="T71" s="73" t="s">
        <v>393</v>
      </c>
      <c r="U71" s="60" t="s">
        <v>1787</v>
      </c>
      <c r="V71" s="61" t="str">
        <f>IFERROR(IF(T71="Ativo","Ativo",IF(T71="SKU excluído","Vencido",VLOOKUP(C71,Encerramentos!B:G,6,0))),"")</f>
        <v>Ativo</v>
      </c>
      <c r="W71" s="42"/>
      <c r="X71" s="42"/>
      <c r="Y71" s="42"/>
      <c r="Z71" s="42"/>
      <c r="AA71" s="42"/>
      <c r="AB71" s="42"/>
      <c r="AC71" s="42"/>
      <c r="AD71" s="42"/>
      <c r="AE71" s="42"/>
    </row>
    <row r="72">
      <c r="A72" s="32" t="s">
        <v>1528</v>
      </c>
      <c r="B72" s="110" t="str">
        <f t="shared" si="9"/>
        <v/>
      </c>
      <c r="C72" s="34" t="s">
        <v>1790</v>
      </c>
      <c r="D72" s="37" t="s">
        <v>1748</v>
      </c>
      <c r="E72" s="35" t="s">
        <v>1781</v>
      </c>
      <c r="F72" s="45" t="s">
        <v>1791</v>
      </c>
      <c r="G72" s="37" t="s">
        <v>1552</v>
      </c>
      <c r="H72" s="38" t="s">
        <v>98</v>
      </c>
      <c r="I72" s="38" t="s">
        <v>910</v>
      </c>
      <c r="J72" s="91" t="s">
        <v>1783</v>
      </c>
      <c r="K72" s="58">
        <v>45923.0</v>
      </c>
      <c r="L72" s="38" t="s">
        <v>862</v>
      </c>
      <c r="M72" s="38" t="s">
        <v>1784</v>
      </c>
      <c r="N72" s="66">
        <v>46272.0</v>
      </c>
      <c r="O72" s="50">
        <f t="shared" si="7"/>
        <v>46182</v>
      </c>
      <c r="P72" s="35" t="s">
        <v>1785</v>
      </c>
      <c r="Q72" s="35" t="s">
        <v>1786</v>
      </c>
      <c r="R72" s="45" t="b">
        <v>1</v>
      </c>
      <c r="S72" s="43" t="str">
        <f>IFERROR(__xludf.DUMMYFUNCTION("VLOOKUP(C72,importrange(""https://docs.google.com/spreadsheets/d/1fN1Q8KwrSYW55JpWNgQQ61JbS3zg1Ft2OqML6ziwN_Q/edit#gid=1174286835"",""PreCons!J:V""),13,0)"),"#N/A")</f>
        <v>#N/A</v>
      </c>
      <c r="T72" s="73" t="s">
        <v>393</v>
      </c>
      <c r="U72" s="60" t="s">
        <v>1787</v>
      </c>
      <c r="V72" s="61" t="str">
        <f>IFERROR(IF(T72="Ativo","Ativo",IF(T72="SKU excluído","Vencido",VLOOKUP(C72,Encerramentos!B:G,6,0))),"")</f>
        <v>Ativo</v>
      </c>
      <c r="W72" s="42"/>
      <c r="X72" s="42"/>
      <c r="Y72" s="42"/>
      <c r="Z72" s="42"/>
      <c r="AA72" s="42"/>
      <c r="AB72" s="42"/>
      <c r="AC72" s="42"/>
      <c r="AD72" s="42"/>
      <c r="AE72" s="42"/>
    </row>
    <row r="73">
      <c r="A73" s="32" t="s">
        <v>1528</v>
      </c>
      <c r="B73" s="110" t="str">
        <f t="shared" si="9"/>
        <v/>
      </c>
      <c r="C73" s="34" t="s">
        <v>1792</v>
      </c>
      <c r="D73" s="37" t="s">
        <v>1748</v>
      </c>
      <c r="E73" s="35" t="s">
        <v>1781</v>
      </c>
      <c r="F73" s="45" t="s">
        <v>1793</v>
      </c>
      <c r="G73" s="37" t="s">
        <v>1552</v>
      </c>
      <c r="H73" s="38" t="s">
        <v>98</v>
      </c>
      <c r="I73" s="38" t="s">
        <v>910</v>
      </c>
      <c r="J73" s="91" t="s">
        <v>1783</v>
      </c>
      <c r="K73" s="58">
        <v>45923.0</v>
      </c>
      <c r="L73" s="38" t="s">
        <v>862</v>
      </c>
      <c r="M73" s="38" t="s">
        <v>1784</v>
      </c>
      <c r="N73" s="66">
        <v>46272.0</v>
      </c>
      <c r="O73" s="50">
        <f t="shared" si="7"/>
        <v>46182</v>
      </c>
      <c r="P73" s="35" t="s">
        <v>1785</v>
      </c>
      <c r="Q73" s="35" t="s">
        <v>1786</v>
      </c>
      <c r="R73" s="45" t="b">
        <v>1</v>
      </c>
      <c r="S73" s="43" t="str">
        <f>IFERROR(__xludf.DUMMYFUNCTION("VLOOKUP(C73,importrange(""https://docs.google.com/spreadsheets/d/1fN1Q8KwrSYW55JpWNgQQ61JbS3zg1Ft2OqML6ziwN_Q/edit#gid=1174286835"",""PreCons!J:V""),13,0)"),"#N/A")</f>
        <v>#N/A</v>
      </c>
      <c r="T73" s="73" t="s">
        <v>393</v>
      </c>
      <c r="U73" s="60" t="s">
        <v>1787</v>
      </c>
      <c r="V73" s="61" t="str">
        <f>IFERROR(IF(T73="Ativo","Ativo",IF(T73="SKU excluído","Vencido",VLOOKUP(C73,Encerramentos!B:G,6,0))),"")</f>
        <v>Ativo</v>
      </c>
      <c r="W73" s="42"/>
      <c r="X73" s="42"/>
      <c r="Y73" s="42"/>
      <c r="Z73" s="42"/>
      <c r="AA73" s="42"/>
      <c r="AB73" s="42"/>
      <c r="AC73" s="42"/>
      <c r="AD73" s="42"/>
      <c r="AE73" s="42"/>
    </row>
    <row r="74">
      <c r="A74" s="32" t="s">
        <v>1528</v>
      </c>
      <c r="B74" s="110" t="str">
        <f t="shared" si="9"/>
        <v/>
      </c>
      <c r="C74" s="34" t="s">
        <v>1794</v>
      </c>
      <c r="D74" s="37" t="s">
        <v>1748</v>
      </c>
      <c r="E74" s="35" t="s">
        <v>1781</v>
      </c>
      <c r="F74" s="45" t="s">
        <v>1795</v>
      </c>
      <c r="G74" s="37" t="s">
        <v>1552</v>
      </c>
      <c r="H74" s="38" t="s">
        <v>98</v>
      </c>
      <c r="I74" s="38" t="s">
        <v>971</v>
      </c>
      <c r="J74" s="91" t="s">
        <v>1783</v>
      </c>
      <c r="K74" s="58">
        <v>45923.0</v>
      </c>
      <c r="L74" s="38" t="s">
        <v>862</v>
      </c>
      <c r="M74" s="38" t="s">
        <v>1784</v>
      </c>
      <c r="N74" s="66">
        <v>46272.0</v>
      </c>
      <c r="O74" s="50">
        <f t="shared" si="7"/>
        <v>46182</v>
      </c>
      <c r="P74" s="35" t="s">
        <v>1785</v>
      </c>
      <c r="Q74" s="35" t="s">
        <v>1786</v>
      </c>
      <c r="R74" s="45" t="b">
        <v>1</v>
      </c>
      <c r="S74" s="43" t="str">
        <f>IFERROR(__xludf.DUMMYFUNCTION("VLOOKUP(C74,importrange(""https://docs.google.com/spreadsheets/d/1fN1Q8KwrSYW55JpWNgQQ61JbS3zg1Ft2OqML6ziwN_Q/edit#gid=1174286835"",""PreCons!J:V""),13,0)"),"#N/A")</f>
        <v>#N/A</v>
      </c>
      <c r="T74" s="73" t="s">
        <v>393</v>
      </c>
      <c r="U74" s="60" t="s">
        <v>1787</v>
      </c>
      <c r="V74" s="61" t="str">
        <f>IFERROR(IF(T74="Ativo","Ativo",IF(T74="SKU excluído","Vencido",VLOOKUP(C74,Encerramentos!B:G,6,0))),"")</f>
        <v>Ativo</v>
      </c>
      <c r="W74" s="42"/>
      <c r="X74" s="42"/>
      <c r="Y74" s="42"/>
      <c r="Z74" s="42"/>
      <c r="AA74" s="42"/>
      <c r="AB74" s="42"/>
      <c r="AC74" s="42"/>
      <c r="AD74" s="42"/>
      <c r="AE74" s="42"/>
    </row>
    <row r="75">
      <c r="A75" s="32" t="s">
        <v>1528</v>
      </c>
      <c r="B75" s="110" t="str">
        <f t="shared" si="9"/>
        <v/>
      </c>
      <c r="C75" s="34" t="s">
        <v>1796</v>
      </c>
      <c r="D75" s="37" t="s">
        <v>1748</v>
      </c>
      <c r="E75" s="35" t="s">
        <v>1781</v>
      </c>
      <c r="F75" s="45" t="s">
        <v>1797</v>
      </c>
      <c r="G75" s="37" t="s">
        <v>1552</v>
      </c>
      <c r="H75" s="38" t="s">
        <v>98</v>
      </c>
      <c r="I75" s="38" t="s">
        <v>910</v>
      </c>
      <c r="J75" s="91" t="s">
        <v>1783</v>
      </c>
      <c r="K75" s="58">
        <v>45923.0</v>
      </c>
      <c r="L75" s="38" t="s">
        <v>862</v>
      </c>
      <c r="M75" s="38" t="s">
        <v>1784</v>
      </c>
      <c r="N75" s="66">
        <v>46272.0</v>
      </c>
      <c r="O75" s="50">
        <f t="shared" si="7"/>
        <v>46182</v>
      </c>
      <c r="P75" s="35" t="s">
        <v>1785</v>
      </c>
      <c r="Q75" s="35" t="s">
        <v>1786</v>
      </c>
      <c r="R75" s="45" t="b">
        <v>1</v>
      </c>
      <c r="S75" s="43" t="str">
        <f>IFERROR(__xludf.DUMMYFUNCTION("VLOOKUP(C75,importrange(""https://docs.google.com/spreadsheets/d/1fN1Q8KwrSYW55JpWNgQQ61JbS3zg1Ft2OqML6ziwN_Q/edit#gid=1174286835"",""PreCons!J:V""),13,0)"),"#N/A")</f>
        <v>#N/A</v>
      </c>
      <c r="T75" s="73" t="s">
        <v>393</v>
      </c>
      <c r="U75" s="60" t="s">
        <v>1787</v>
      </c>
      <c r="V75" s="61" t="str">
        <f>IFERROR(IF(T75="Ativo","Ativo",IF(T75="SKU excluído","Vencido",VLOOKUP(C75,Encerramentos!B:G,6,0))),"")</f>
        <v>Ativo</v>
      </c>
      <c r="W75" s="42"/>
      <c r="X75" s="42"/>
      <c r="Y75" s="42"/>
      <c r="Z75" s="42"/>
      <c r="AA75" s="42"/>
      <c r="AB75" s="42"/>
      <c r="AC75" s="42"/>
      <c r="AD75" s="42"/>
      <c r="AE75" s="42"/>
    </row>
    <row r="76">
      <c r="A76" s="32" t="s">
        <v>1528</v>
      </c>
      <c r="B76" s="110" t="str">
        <f t="shared" si="9"/>
        <v/>
      </c>
      <c r="C76" s="34" t="s">
        <v>1798</v>
      </c>
      <c r="D76" s="37" t="s">
        <v>1748</v>
      </c>
      <c r="E76" s="35" t="s">
        <v>1236</v>
      </c>
      <c r="F76" s="45" t="s">
        <v>1799</v>
      </c>
      <c r="G76" s="37" t="s">
        <v>1552</v>
      </c>
      <c r="H76" s="38" t="s">
        <v>98</v>
      </c>
      <c r="I76" s="38" t="s">
        <v>971</v>
      </c>
      <c r="J76" s="91" t="s">
        <v>1800</v>
      </c>
      <c r="K76" s="58">
        <v>46029.0</v>
      </c>
      <c r="L76" s="38" t="s">
        <v>862</v>
      </c>
      <c r="M76" s="38" t="s">
        <v>1239</v>
      </c>
      <c r="N76" s="66">
        <v>46373.0</v>
      </c>
      <c r="O76" s="50">
        <f t="shared" si="7"/>
        <v>46283</v>
      </c>
      <c r="P76" s="35" t="s">
        <v>1801</v>
      </c>
      <c r="Q76" s="35" t="s">
        <v>1802</v>
      </c>
      <c r="R76" s="45" t="b">
        <v>1</v>
      </c>
      <c r="S76" s="43" t="str">
        <f>IFERROR(__xludf.DUMMYFUNCTION("VLOOKUP(C76,importrange(""https://docs.google.com/spreadsheets/d/1fN1Q8KwrSYW55JpWNgQQ61JbS3zg1Ft2OqML6ziwN_Q/edit#gid=1174286835"",""PreCons!J:V""),13,0)"),"#N/A")</f>
        <v>#N/A</v>
      </c>
      <c r="T76" s="73" t="s">
        <v>393</v>
      </c>
      <c r="U76" s="60" t="s">
        <v>1803</v>
      </c>
      <c r="V76" s="61" t="str">
        <f>IFERROR(IF(T76="Ativo","Ativo",IF(T76="SKU excluído","Vencido",VLOOKUP(C76,Encerramentos!B:G,6,0))),"")</f>
        <v>Ativo</v>
      </c>
      <c r="W76" s="42"/>
      <c r="X76" s="42"/>
      <c r="Y76" s="42"/>
      <c r="Z76" s="42"/>
      <c r="AA76" s="42"/>
      <c r="AB76" s="42"/>
      <c r="AC76" s="42"/>
      <c r="AD76" s="42"/>
      <c r="AE76" s="42"/>
    </row>
    <row r="77">
      <c r="A77" s="32" t="s">
        <v>1528</v>
      </c>
      <c r="B77" s="110" t="str">
        <f t="shared" si="9"/>
        <v/>
      </c>
      <c r="C77" s="34" t="s">
        <v>1804</v>
      </c>
      <c r="D77" s="37" t="s">
        <v>1748</v>
      </c>
      <c r="E77" s="35" t="s">
        <v>1236</v>
      </c>
      <c r="F77" s="45" t="s">
        <v>1805</v>
      </c>
      <c r="G77" s="37" t="s">
        <v>1552</v>
      </c>
      <c r="H77" s="38" t="s">
        <v>98</v>
      </c>
      <c r="I77" s="38" t="s">
        <v>910</v>
      </c>
      <c r="J77" s="91" t="s">
        <v>1800</v>
      </c>
      <c r="K77" s="58">
        <v>46029.0</v>
      </c>
      <c r="L77" s="38" t="s">
        <v>862</v>
      </c>
      <c r="M77" s="38" t="s">
        <v>1239</v>
      </c>
      <c r="N77" s="66">
        <v>46373.0</v>
      </c>
      <c r="O77" s="50">
        <f t="shared" si="7"/>
        <v>46283</v>
      </c>
      <c r="P77" s="35" t="s">
        <v>1801</v>
      </c>
      <c r="Q77" s="35" t="s">
        <v>1802</v>
      </c>
      <c r="R77" s="45" t="b">
        <v>1</v>
      </c>
      <c r="S77" s="43" t="str">
        <f>IFERROR(__xludf.DUMMYFUNCTION("VLOOKUP(C77,importrange(""https://docs.google.com/spreadsheets/d/1fN1Q8KwrSYW55JpWNgQQ61JbS3zg1Ft2OqML6ziwN_Q/edit#gid=1174286835"",""PreCons!J:V""),13,0)"),"#N/A")</f>
        <v>#N/A</v>
      </c>
      <c r="T77" s="73" t="s">
        <v>393</v>
      </c>
      <c r="U77" s="60" t="s">
        <v>1803</v>
      </c>
      <c r="V77" s="61" t="str">
        <f>IFERROR(IF(T77="Ativo","Ativo",IF(T77="SKU excluído","Vencido",VLOOKUP(C77,Encerramentos!B:G,6,0))),"")</f>
        <v>Ativo</v>
      </c>
      <c r="W77" s="42"/>
      <c r="X77" s="42"/>
      <c r="Y77" s="42"/>
      <c r="Z77" s="42"/>
      <c r="AA77" s="42"/>
      <c r="AB77" s="42"/>
      <c r="AC77" s="42"/>
      <c r="AD77" s="42"/>
      <c r="AE77" s="42"/>
    </row>
    <row r="78">
      <c r="A78" s="32" t="s">
        <v>1528</v>
      </c>
      <c r="B78" s="110" t="str">
        <f t="shared" si="9"/>
        <v/>
      </c>
      <c r="C78" s="34" t="s">
        <v>1806</v>
      </c>
      <c r="D78" s="37" t="s">
        <v>1748</v>
      </c>
      <c r="E78" s="35" t="s">
        <v>1236</v>
      </c>
      <c r="F78" s="45" t="s">
        <v>1807</v>
      </c>
      <c r="G78" s="37" t="s">
        <v>1552</v>
      </c>
      <c r="H78" s="38" t="s">
        <v>98</v>
      </c>
      <c r="I78" s="38" t="s">
        <v>910</v>
      </c>
      <c r="J78" s="91" t="s">
        <v>1800</v>
      </c>
      <c r="K78" s="58">
        <v>46029.0</v>
      </c>
      <c r="L78" s="38" t="s">
        <v>862</v>
      </c>
      <c r="M78" s="38" t="s">
        <v>1239</v>
      </c>
      <c r="N78" s="66">
        <v>46373.0</v>
      </c>
      <c r="O78" s="50">
        <f t="shared" si="7"/>
        <v>46283</v>
      </c>
      <c r="P78" s="35" t="s">
        <v>1801</v>
      </c>
      <c r="Q78" s="35" t="s">
        <v>1802</v>
      </c>
      <c r="R78" s="45" t="b">
        <v>1</v>
      </c>
      <c r="S78" s="43" t="str">
        <f>IFERROR(__xludf.DUMMYFUNCTION("VLOOKUP(C78,importrange(""https://docs.google.com/spreadsheets/d/1fN1Q8KwrSYW55JpWNgQQ61JbS3zg1Ft2OqML6ziwN_Q/edit#gid=1174286835"",""PreCons!J:V""),13,0)"),"#N/A")</f>
        <v>#N/A</v>
      </c>
      <c r="T78" s="73" t="s">
        <v>393</v>
      </c>
      <c r="U78" s="60" t="s">
        <v>1803</v>
      </c>
      <c r="V78" s="61" t="str">
        <f>IFERROR(IF(T78="Ativo","Ativo",IF(T78="SKU excluído","Vencido",VLOOKUP(C78,Encerramentos!B:G,6,0))),"")</f>
        <v>Ativo</v>
      </c>
      <c r="W78" s="42"/>
      <c r="X78" s="42"/>
      <c r="Y78" s="42"/>
      <c r="Z78" s="42"/>
      <c r="AA78" s="42"/>
      <c r="AB78" s="42"/>
      <c r="AC78" s="42"/>
      <c r="AD78" s="42"/>
      <c r="AE78" s="42"/>
    </row>
    <row r="79">
      <c r="A79" s="32" t="s">
        <v>1528</v>
      </c>
      <c r="B79" s="110" t="str">
        <f t="shared" si="9"/>
        <v/>
      </c>
      <c r="C79" s="34" t="s">
        <v>1808</v>
      </c>
      <c r="D79" s="37" t="s">
        <v>1748</v>
      </c>
      <c r="E79" s="35" t="s">
        <v>1236</v>
      </c>
      <c r="F79" s="45" t="s">
        <v>1809</v>
      </c>
      <c r="G79" s="37" t="s">
        <v>1552</v>
      </c>
      <c r="H79" s="38" t="s">
        <v>98</v>
      </c>
      <c r="I79" s="38" t="s">
        <v>910</v>
      </c>
      <c r="J79" s="91" t="s">
        <v>1800</v>
      </c>
      <c r="K79" s="58">
        <v>46029.0</v>
      </c>
      <c r="L79" s="38" t="s">
        <v>862</v>
      </c>
      <c r="M79" s="38" t="s">
        <v>1239</v>
      </c>
      <c r="N79" s="66">
        <v>46373.0</v>
      </c>
      <c r="O79" s="50">
        <f t="shared" si="7"/>
        <v>46283</v>
      </c>
      <c r="P79" s="35" t="s">
        <v>1801</v>
      </c>
      <c r="Q79" s="35" t="s">
        <v>1802</v>
      </c>
      <c r="R79" s="45" t="b">
        <v>1</v>
      </c>
      <c r="S79" s="43" t="str">
        <f>IFERROR(__xludf.DUMMYFUNCTION("VLOOKUP(C79,importrange(""https://docs.google.com/spreadsheets/d/1fN1Q8KwrSYW55JpWNgQQ61JbS3zg1Ft2OqML6ziwN_Q/edit#gid=1174286835"",""PreCons!J:V""),13,0)"),"#N/A")</f>
        <v>#N/A</v>
      </c>
      <c r="T79" s="73" t="s">
        <v>393</v>
      </c>
      <c r="U79" s="60" t="s">
        <v>1803</v>
      </c>
      <c r="V79" s="61" t="str">
        <f>IFERROR(IF(T79="Ativo","Ativo",IF(T79="SKU excluído","Vencido",VLOOKUP(C79,Encerramentos!B:G,6,0))),"")</f>
        <v>Ativo</v>
      </c>
      <c r="W79" s="42"/>
      <c r="X79" s="42"/>
      <c r="Y79" s="42"/>
      <c r="Z79" s="42"/>
      <c r="AA79" s="42"/>
      <c r="AB79" s="42"/>
      <c r="AC79" s="42"/>
      <c r="AD79" s="42"/>
      <c r="AE79" s="42"/>
    </row>
    <row r="80">
      <c r="A80" s="32" t="s">
        <v>1528</v>
      </c>
      <c r="B80" s="110" t="str">
        <f t="shared" si="9"/>
        <v/>
      </c>
      <c r="C80" s="34" t="s">
        <v>1810</v>
      </c>
      <c r="D80" s="37" t="s">
        <v>1748</v>
      </c>
      <c r="E80" s="35" t="s">
        <v>1236</v>
      </c>
      <c r="F80" s="45" t="s">
        <v>1811</v>
      </c>
      <c r="G80" s="37" t="s">
        <v>1552</v>
      </c>
      <c r="H80" s="38" t="s">
        <v>98</v>
      </c>
      <c r="I80" s="38" t="s">
        <v>910</v>
      </c>
      <c r="J80" s="91" t="s">
        <v>1800</v>
      </c>
      <c r="K80" s="58">
        <v>46029.0</v>
      </c>
      <c r="L80" s="38" t="s">
        <v>862</v>
      </c>
      <c r="M80" s="38" t="s">
        <v>1239</v>
      </c>
      <c r="N80" s="66">
        <v>46373.0</v>
      </c>
      <c r="O80" s="50">
        <f t="shared" si="7"/>
        <v>46283</v>
      </c>
      <c r="P80" s="35" t="s">
        <v>1801</v>
      </c>
      <c r="Q80" s="35" t="s">
        <v>1802</v>
      </c>
      <c r="R80" s="45" t="b">
        <v>1</v>
      </c>
      <c r="S80" s="43" t="str">
        <f>IFERROR(__xludf.DUMMYFUNCTION("VLOOKUP(C80,importrange(""https://docs.google.com/spreadsheets/d/1fN1Q8KwrSYW55JpWNgQQ61JbS3zg1Ft2OqML6ziwN_Q/edit#gid=1174286835"",""PreCons!J:V""),13,0)"),"#N/A")</f>
        <v>#N/A</v>
      </c>
      <c r="T80" s="73" t="s">
        <v>393</v>
      </c>
      <c r="U80" s="60" t="s">
        <v>1803</v>
      </c>
      <c r="V80" s="61" t="str">
        <f>IFERROR(IF(T80="Ativo","Ativo",IF(T80="SKU excluído","Vencido",VLOOKUP(C80,Encerramentos!B:G,6,0))),"")</f>
        <v>Ativo</v>
      </c>
      <c r="W80" s="42"/>
      <c r="X80" s="42"/>
      <c r="Y80" s="42"/>
      <c r="Z80" s="42"/>
      <c r="AA80" s="42"/>
      <c r="AB80" s="42"/>
      <c r="AC80" s="42"/>
      <c r="AD80" s="42"/>
      <c r="AE80" s="42"/>
    </row>
    <row r="81">
      <c r="A81" s="32" t="s">
        <v>1528</v>
      </c>
      <c r="B81" s="110" t="str">
        <f t="shared" si="9"/>
        <v/>
      </c>
      <c r="C81" s="34" t="s">
        <v>1812</v>
      </c>
      <c r="D81" s="37" t="s">
        <v>1748</v>
      </c>
      <c r="E81" s="35" t="s">
        <v>1236</v>
      </c>
      <c r="F81" s="45" t="s">
        <v>1813</v>
      </c>
      <c r="G81" s="37" t="s">
        <v>1552</v>
      </c>
      <c r="H81" s="38" t="s">
        <v>98</v>
      </c>
      <c r="I81" s="38" t="s">
        <v>910</v>
      </c>
      <c r="J81" s="72" t="s">
        <v>1814</v>
      </c>
      <c r="K81" s="58">
        <v>45855.0</v>
      </c>
      <c r="L81" s="38" t="s">
        <v>862</v>
      </c>
      <c r="M81" s="38" t="s">
        <v>1239</v>
      </c>
      <c r="N81" s="66">
        <v>46190.0</v>
      </c>
      <c r="O81" s="50">
        <f t="shared" si="7"/>
        <v>46100</v>
      </c>
      <c r="P81" s="35" t="s">
        <v>1308</v>
      </c>
      <c r="Q81" s="35" t="s">
        <v>1309</v>
      </c>
      <c r="R81" s="45" t="b">
        <v>1</v>
      </c>
      <c r="S81" s="43" t="str">
        <f>IFERROR(__xludf.DUMMYFUNCTION("VLOOKUP(C81,importrange(""https://docs.google.com/spreadsheets/d/1fN1Q8KwrSYW55JpWNgQQ61JbS3zg1Ft2OqML6ziwN_Q/edit#gid=1174286835"",""PreCons!J:V""),13,0)"),"#N/A")</f>
        <v>#N/A</v>
      </c>
      <c r="T81" s="73" t="s">
        <v>393</v>
      </c>
      <c r="U81" s="60" t="s">
        <v>1310</v>
      </c>
      <c r="V81" s="61" t="str">
        <f>IFERROR(IF(T81="Ativo","Ativo",IF(T81="SKU excluído","Vencido",VLOOKUP(C81,Encerramentos!B:G,6,0))),"")</f>
        <v>Ativo</v>
      </c>
      <c r="W81" s="42"/>
      <c r="X81" s="42"/>
      <c r="Y81" s="42"/>
      <c r="Z81" s="42"/>
      <c r="AA81" s="42"/>
      <c r="AB81" s="42"/>
      <c r="AC81" s="42"/>
      <c r="AD81" s="42"/>
      <c r="AE81" s="42"/>
    </row>
    <row r="82">
      <c r="A82" s="32" t="s">
        <v>1528</v>
      </c>
      <c r="B82" s="110" t="str">
        <f t="shared" si="9"/>
        <v/>
      </c>
      <c r="C82" s="34" t="s">
        <v>1815</v>
      </c>
      <c r="D82" s="35" t="s">
        <v>1816</v>
      </c>
      <c r="E82" s="35" t="s">
        <v>1817</v>
      </c>
      <c r="F82" s="45" t="s">
        <v>1818</v>
      </c>
      <c r="G82" s="37" t="s">
        <v>1819</v>
      </c>
      <c r="H82" s="38" t="s">
        <v>98</v>
      </c>
      <c r="I82" s="38" t="s">
        <v>971</v>
      </c>
      <c r="J82" s="91" t="s">
        <v>1820</v>
      </c>
      <c r="K82" s="58">
        <v>45989.0</v>
      </c>
      <c r="L82" s="38" t="s">
        <v>862</v>
      </c>
      <c r="M82" s="38" t="s">
        <v>1821</v>
      </c>
      <c r="N82" s="66">
        <v>46338.0</v>
      </c>
      <c r="O82" s="50">
        <f t="shared" si="7"/>
        <v>46248</v>
      </c>
      <c r="P82" s="35" t="s">
        <v>1822</v>
      </c>
      <c r="Q82" s="35" t="s">
        <v>1823</v>
      </c>
      <c r="R82" s="45" t="b">
        <v>1</v>
      </c>
      <c r="S82" s="43" t="str">
        <f>IFERROR(__xludf.DUMMYFUNCTION("VLOOKUP(C82,importrange(""https://docs.google.com/spreadsheets/d/1fN1Q8KwrSYW55JpWNgQQ61JbS3zg1Ft2OqML6ziwN_Q/edit#gid=1174286835"",""PreCons!J:V""),13,0)"),"#N/A")</f>
        <v>#N/A</v>
      </c>
      <c r="T82" s="73" t="s">
        <v>393</v>
      </c>
      <c r="U82" s="60" t="s">
        <v>1824</v>
      </c>
      <c r="V82" s="61" t="str">
        <f>IFERROR(IF(T82="Ativo","Ativo",IF(T82="SKU excluído","Vencido",VLOOKUP(C82,Encerramentos!B:G,6,0))),"")</f>
        <v>Ativo</v>
      </c>
      <c r="W82" s="42"/>
      <c r="X82" s="42"/>
      <c r="Y82" s="42"/>
      <c r="Z82" s="42"/>
      <c r="AA82" s="42"/>
      <c r="AB82" s="42"/>
      <c r="AC82" s="42"/>
      <c r="AD82" s="42"/>
      <c r="AE82" s="42"/>
    </row>
    <row r="83">
      <c r="A83" s="32" t="s">
        <v>1528</v>
      </c>
      <c r="B83" s="110" t="str">
        <f t="shared" si="9"/>
        <v/>
      </c>
      <c r="C83" s="34" t="s">
        <v>1825</v>
      </c>
      <c r="D83" s="35" t="s">
        <v>1816</v>
      </c>
      <c r="E83" s="35" t="s">
        <v>1817</v>
      </c>
      <c r="F83" s="45" t="s">
        <v>1826</v>
      </c>
      <c r="G83" s="37" t="s">
        <v>1819</v>
      </c>
      <c r="H83" s="38" t="s">
        <v>98</v>
      </c>
      <c r="I83" s="38" t="s">
        <v>910</v>
      </c>
      <c r="J83" s="91" t="s">
        <v>1820</v>
      </c>
      <c r="K83" s="58">
        <v>45989.0</v>
      </c>
      <c r="L83" s="38" t="s">
        <v>862</v>
      </c>
      <c r="M83" s="38" t="s">
        <v>1821</v>
      </c>
      <c r="N83" s="66">
        <v>46338.0</v>
      </c>
      <c r="O83" s="50">
        <f t="shared" si="7"/>
        <v>46248</v>
      </c>
      <c r="P83" s="35" t="s">
        <v>1822</v>
      </c>
      <c r="Q83" s="35" t="s">
        <v>1823</v>
      </c>
      <c r="R83" s="45" t="b">
        <v>1</v>
      </c>
      <c r="S83" s="43" t="str">
        <f>IFERROR(__xludf.DUMMYFUNCTION("VLOOKUP(C83,importrange(""https://docs.google.com/spreadsheets/d/1fN1Q8KwrSYW55JpWNgQQ61JbS3zg1Ft2OqML6ziwN_Q/edit#gid=1174286835"",""PreCons!J:V""),13,0)"),"#N/A")</f>
        <v>#N/A</v>
      </c>
      <c r="T83" s="73" t="s">
        <v>393</v>
      </c>
      <c r="U83" s="60" t="s">
        <v>1824</v>
      </c>
      <c r="V83" s="61" t="str">
        <f>IFERROR(IF(T83="Ativo","Ativo",IF(T83="SKU excluído","Vencido",VLOOKUP(C83,Encerramentos!B:G,6,0))),"")</f>
        <v>Ativo</v>
      </c>
      <c r="W83" s="42"/>
      <c r="X83" s="42"/>
      <c r="Y83" s="42"/>
      <c r="Z83" s="42"/>
      <c r="AA83" s="42"/>
      <c r="AB83" s="42"/>
      <c r="AC83" s="42"/>
      <c r="AD83" s="42"/>
      <c r="AE83" s="42"/>
    </row>
    <row r="84">
      <c r="A84" s="32" t="s">
        <v>1528</v>
      </c>
      <c r="B84" s="110" t="str">
        <f t="shared" si="9"/>
        <v/>
      </c>
      <c r="C84" s="34" t="s">
        <v>1827</v>
      </c>
      <c r="D84" s="35" t="s">
        <v>1828</v>
      </c>
      <c r="E84" s="35" t="s">
        <v>1829</v>
      </c>
      <c r="F84" s="45" t="s">
        <v>1830</v>
      </c>
      <c r="G84" s="37" t="s">
        <v>1532</v>
      </c>
      <c r="H84" s="38" t="s">
        <v>98</v>
      </c>
      <c r="I84" s="38" t="s">
        <v>910</v>
      </c>
      <c r="J84" s="96"/>
      <c r="K84" s="99"/>
      <c r="L84" s="38" t="s">
        <v>862</v>
      </c>
      <c r="M84" s="38" t="s">
        <v>1831</v>
      </c>
      <c r="N84" s="42"/>
      <c r="O84" s="50">
        <f t="shared" si="7"/>
        <v>-90</v>
      </c>
      <c r="P84" s="35" t="s">
        <v>1832</v>
      </c>
      <c r="Q84" s="83"/>
      <c r="R84" s="45" t="b">
        <v>1</v>
      </c>
      <c r="S84" s="43" t="str">
        <f>IFERROR(__xludf.DUMMYFUNCTION("VLOOKUP(C84,importrange(""https://docs.google.com/spreadsheets/d/1fN1Q8KwrSYW55JpWNgQQ61JbS3zg1Ft2OqML6ziwN_Q/edit#gid=1174286835"",""PreCons!J:V""),13,0)"),"#N/A")</f>
        <v>#N/A</v>
      </c>
      <c r="T84" s="88" t="s">
        <v>1833</v>
      </c>
      <c r="U84" s="83"/>
      <c r="V84" s="61" t="str">
        <f>IFERROR(IF(T84="Ativo","Ativo",IF(T84="SKU excluído","Vencido",VLOOKUP(C84,Encerramentos!B:G,6,0))),"")</f>
        <v/>
      </c>
      <c r="W84" s="42"/>
      <c r="X84" s="42"/>
      <c r="Y84" s="42"/>
      <c r="Z84" s="42"/>
      <c r="AA84" s="42"/>
      <c r="AB84" s="42"/>
      <c r="AC84" s="42"/>
      <c r="AD84" s="42"/>
      <c r="AE84" s="42"/>
    </row>
    <row r="85">
      <c r="A85" s="32" t="s">
        <v>1528</v>
      </c>
      <c r="B85" s="110" t="str">
        <f t="shared" si="9"/>
        <v/>
      </c>
      <c r="C85" s="34" t="s">
        <v>1834</v>
      </c>
      <c r="D85" s="35" t="s">
        <v>1828</v>
      </c>
      <c r="E85" s="35" t="s">
        <v>1829</v>
      </c>
      <c r="F85" s="45" t="s">
        <v>1835</v>
      </c>
      <c r="G85" s="37" t="s">
        <v>1532</v>
      </c>
      <c r="H85" s="38" t="s">
        <v>98</v>
      </c>
      <c r="I85" s="38" t="s">
        <v>971</v>
      </c>
      <c r="J85" s="96"/>
      <c r="K85" s="99"/>
      <c r="L85" s="38" t="s">
        <v>862</v>
      </c>
      <c r="M85" s="38" t="s">
        <v>1831</v>
      </c>
      <c r="N85" s="42"/>
      <c r="O85" s="50">
        <f t="shared" si="7"/>
        <v>-90</v>
      </c>
      <c r="P85" s="35" t="s">
        <v>1832</v>
      </c>
      <c r="Q85" s="83"/>
      <c r="R85" s="45" t="b">
        <v>1</v>
      </c>
      <c r="S85" s="43" t="str">
        <f>IFERROR(__xludf.DUMMYFUNCTION("VLOOKUP(C85,importrange(""https://docs.google.com/spreadsheets/d/1fN1Q8KwrSYW55JpWNgQQ61JbS3zg1Ft2OqML6ziwN_Q/edit#gid=1174286835"",""PreCons!J:V""),13,0)"),"#N/A")</f>
        <v>#N/A</v>
      </c>
      <c r="T85" s="88" t="s">
        <v>1833</v>
      </c>
      <c r="U85" s="83"/>
      <c r="V85" s="61" t="str">
        <f>IFERROR(IF(T85="Ativo","Ativo",IF(T85="SKU excluído","Vencido",VLOOKUP(C85,Encerramentos!B:G,6,0))),"")</f>
        <v/>
      </c>
      <c r="W85" s="42"/>
      <c r="X85" s="42"/>
      <c r="Y85" s="42"/>
      <c r="Z85" s="42"/>
      <c r="AA85" s="42"/>
      <c r="AB85" s="42"/>
      <c r="AC85" s="42"/>
      <c r="AD85" s="42"/>
      <c r="AE85" s="42"/>
    </row>
    <row r="86">
      <c r="A86" s="95"/>
      <c r="B86" s="95"/>
      <c r="C86" s="34"/>
      <c r="D86" s="83"/>
      <c r="E86" s="96"/>
      <c r="F86" s="45"/>
      <c r="G86" s="97"/>
      <c r="H86" s="96"/>
      <c r="I86" s="96"/>
      <c r="J86" s="96"/>
      <c r="K86" s="99"/>
      <c r="L86" s="96"/>
      <c r="M86" s="96"/>
      <c r="N86" s="42"/>
      <c r="O86" s="42"/>
      <c r="P86" s="83"/>
      <c r="Q86" s="83"/>
      <c r="R86" s="42"/>
      <c r="S86" s="87"/>
      <c r="T86" s="83"/>
      <c r="U86" s="83"/>
      <c r="V86" s="48" t="str">
        <f t="shared" ref="V86:V108" si="10">M86</f>
        <v/>
      </c>
      <c r="W86" s="42"/>
      <c r="X86" s="42"/>
      <c r="Y86" s="42"/>
      <c r="Z86" s="42"/>
      <c r="AA86" s="42"/>
      <c r="AB86" s="42"/>
      <c r="AC86" s="42"/>
      <c r="AD86" s="42"/>
      <c r="AE86" s="42"/>
    </row>
    <row r="87">
      <c r="A87" s="95"/>
      <c r="B87" s="95"/>
      <c r="C87" s="34"/>
      <c r="D87" s="83"/>
      <c r="E87" s="96"/>
      <c r="F87" s="45"/>
      <c r="G87" s="97"/>
      <c r="H87" s="96"/>
      <c r="I87" s="96"/>
      <c r="J87" s="96"/>
      <c r="K87" s="99"/>
      <c r="L87" s="96"/>
      <c r="M87" s="96"/>
      <c r="N87" s="42"/>
      <c r="O87" s="42"/>
      <c r="P87" s="83"/>
      <c r="Q87" s="83"/>
      <c r="R87" s="42"/>
      <c r="S87" s="87"/>
      <c r="T87" s="83"/>
      <c r="U87" s="83"/>
      <c r="V87" s="48" t="str">
        <f t="shared" si="10"/>
        <v/>
      </c>
      <c r="W87" s="42"/>
      <c r="X87" s="42"/>
      <c r="Y87" s="42"/>
      <c r="Z87" s="42"/>
      <c r="AA87" s="42"/>
      <c r="AB87" s="42"/>
      <c r="AC87" s="42"/>
      <c r="AD87" s="42"/>
      <c r="AE87" s="42"/>
    </row>
    <row r="88">
      <c r="A88" s="95"/>
      <c r="B88" s="95"/>
      <c r="C88" s="34"/>
      <c r="D88" s="83"/>
      <c r="E88" s="96"/>
      <c r="F88" s="45"/>
      <c r="G88" s="97"/>
      <c r="H88" s="96"/>
      <c r="I88" s="96"/>
      <c r="J88" s="96"/>
      <c r="K88" s="99"/>
      <c r="L88" s="96"/>
      <c r="M88" s="96"/>
      <c r="N88" s="42"/>
      <c r="O88" s="42"/>
      <c r="P88" s="83"/>
      <c r="Q88" s="83"/>
      <c r="R88" s="42"/>
      <c r="S88" s="87"/>
      <c r="T88" s="83"/>
      <c r="U88" s="83"/>
      <c r="V88" s="48" t="str">
        <f t="shared" si="10"/>
        <v/>
      </c>
      <c r="W88" s="42"/>
      <c r="X88" s="42"/>
      <c r="Y88" s="42"/>
      <c r="Z88" s="42"/>
      <c r="AA88" s="42"/>
      <c r="AB88" s="42"/>
      <c r="AC88" s="42"/>
      <c r="AD88" s="42"/>
      <c r="AE88" s="42"/>
    </row>
    <row r="89">
      <c r="A89" s="95"/>
      <c r="B89" s="95"/>
      <c r="C89" s="34"/>
      <c r="D89" s="83"/>
      <c r="E89" s="96"/>
      <c r="F89" s="45"/>
      <c r="G89" s="97"/>
      <c r="H89" s="96"/>
      <c r="I89" s="96"/>
      <c r="J89" s="96"/>
      <c r="K89" s="99"/>
      <c r="L89" s="96"/>
      <c r="M89" s="96"/>
      <c r="N89" s="42"/>
      <c r="O89" s="42"/>
      <c r="P89" s="83"/>
      <c r="Q89" s="83"/>
      <c r="R89" s="42"/>
      <c r="S89" s="87"/>
      <c r="T89" s="83"/>
      <c r="U89" s="83"/>
      <c r="V89" s="48" t="str">
        <f t="shared" si="10"/>
        <v/>
      </c>
      <c r="W89" s="42"/>
      <c r="X89" s="42"/>
      <c r="Y89" s="42"/>
      <c r="Z89" s="42"/>
      <c r="AA89" s="42"/>
      <c r="AB89" s="42"/>
      <c r="AC89" s="42"/>
      <c r="AD89" s="42"/>
      <c r="AE89" s="42"/>
    </row>
    <row r="90">
      <c r="A90" s="95"/>
      <c r="B90" s="95"/>
      <c r="C90" s="34"/>
      <c r="D90" s="83"/>
      <c r="E90" s="96"/>
      <c r="F90" s="45"/>
      <c r="G90" s="97"/>
      <c r="H90" s="96"/>
      <c r="I90" s="96"/>
      <c r="J90" s="96"/>
      <c r="K90" s="99"/>
      <c r="L90" s="96"/>
      <c r="M90" s="96"/>
      <c r="N90" s="42"/>
      <c r="O90" s="42"/>
      <c r="P90" s="83"/>
      <c r="Q90" s="83"/>
      <c r="R90" s="42"/>
      <c r="S90" s="87"/>
      <c r="T90" s="83"/>
      <c r="U90" s="83"/>
      <c r="V90" s="48" t="str">
        <f t="shared" si="10"/>
        <v/>
      </c>
      <c r="W90" s="42"/>
      <c r="X90" s="42"/>
      <c r="Y90" s="42"/>
      <c r="Z90" s="42"/>
      <c r="AA90" s="42"/>
      <c r="AB90" s="42"/>
      <c r="AC90" s="42"/>
      <c r="AD90" s="42"/>
      <c r="AE90" s="42"/>
    </row>
    <row r="91">
      <c r="A91" s="95"/>
      <c r="B91" s="95"/>
      <c r="C91" s="34"/>
      <c r="D91" s="83"/>
      <c r="E91" s="96"/>
      <c r="F91" s="45"/>
      <c r="G91" s="97"/>
      <c r="H91" s="96"/>
      <c r="I91" s="96"/>
      <c r="J91" s="96"/>
      <c r="K91" s="99"/>
      <c r="L91" s="96"/>
      <c r="M91" s="96"/>
      <c r="N91" s="42"/>
      <c r="O91" s="42"/>
      <c r="P91" s="83"/>
      <c r="Q91" s="83"/>
      <c r="R91" s="42"/>
      <c r="S91" s="87"/>
      <c r="T91" s="83"/>
      <c r="U91" s="83"/>
      <c r="V91" s="48" t="str">
        <f t="shared" si="10"/>
        <v/>
      </c>
      <c r="W91" s="42"/>
      <c r="X91" s="42"/>
      <c r="Y91" s="42"/>
      <c r="Z91" s="42"/>
      <c r="AA91" s="42"/>
      <c r="AB91" s="42"/>
      <c r="AC91" s="42"/>
      <c r="AD91" s="42"/>
      <c r="AE91" s="42"/>
    </row>
    <row r="92">
      <c r="A92" s="95"/>
      <c r="B92" s="95"/>
      <c r="C92" s="34"/>
      <c r="D92" s="83"/>
      <c r="E92" s="96"/>
      <c r="F92" s="45"/>
      <c r="G92" s="97"/>
      <c r="H92" s="96"/>
      <c r="I92" s="96"/>
      <c r="J92" s="96"/>
      <c r="K92" s="99"/>
      <c r="L92" s="96"/>
      <c r="M92" s="96"/>
      <c r="N92" s="42"/>
      <c r="O92" s="42"/>
      <c r="P92" s="83"/>
      <c r="Q92" s="83"/>
      <c r="R92" s="42"/>
      <c r="S92" s="87"/>
      <c r="T92" s="83"/>
      <c r="U92" s="83"/>
      <c r="V92" s="48" t="str">
        <f t="shared" si="10"/>
        <v/>
      </c>
      <c r="W92" s="42"/>
      <c r="X92" s="42"/>
      <c r="Y92" s="42"/>
      <c r="Z92" s="42"/>
      <c r="AA92" s="42"/>
      <c r="AB92" s="42"/>
      <c r="AC92" s="42"/>
      <c r="AD92" s="42"/>
      <c r="AE92" s="42"/>
    </row>
    <row r="93">
      <c r="A93" s="95"/>
      <c r="B93" s="95"/>
      <c r="C93" s="34"/>
      <c r="D93" s="83"/>
      <c r="E93" s="96"/>
      <c r="F93" s="45"/>
      <c r="G93" s="97"/>
      <c r="H93" s="96"/>
      <c r="I93" s="96"/>
      <c r="J93" s="96"/>
      <c r="K93" s="99"/>
      <c r="L93" s="96"/>
      <c r="M93" s="96"/>
      <c r="N93" s="42"/>
      <c r="O93" s="42"/>
      <c r="P93" s="83"/>
      <c r="Q93" s="83"/>
      <c r="R93" s="42"/>
      <c r="S93" s="87"/>
      <c r="T93" s="83"/>
      <c r="U93" s="83"/>
      <c r="V93" s="48" t="str">
        <f t="shared" si="10"/>
        <v/>
      </c>
      <c r="W93" s="42"/>
      <c r="X93" s="42"/>
      <c r="Y93" s="42"/>
      <c r="Z93" s="42"/>
      <c r="AA93" s="42"/>
      <c r="AB93" s="42"/>
      <c r="AC93" s="42"/>
      <c r="AD93" s="42"/>
      <c r="AE93" s="42"/>
    </row>
    <row r="94">
      <c r="A94" s="95"/>
      <c r="B94" s="95"/>
      <c r="C94" s="34"/>
      <c r="D94" s="83"/>
      <c r="E94" s="96"/>
      <c r="F94" s="45"/>
      <c r="G94" s="97"/>
      <c r="H94" s="96"/>
      <c r="I94" s="96"/>
      <c r="J94" s="96"/>
      <c r="K94" s="99"/>
      <c r="L94" s="96"/>
      <c r="M94" s="96"/>
      <c r="N94" s="42"/>
      <c r="O94" s="42"/>
      <c r="P94" s="83"/>
      <c r="Q94" s="83"/>
      <c r="R94" s="42"/>
      <c r="S94" s="87"/>
      <c r="T94" s="83"/>
      <c r="U94" s="83"/>
      <c r="V94" s="48" t="str">
        <f t="shared" si="10"/>
        <v/>
      </c>
      <c r="W94" s="42"/>
      <c r="X94" s="42"/>
      <c r="Y94" s="42"/>
      <c r="Z94" s="42"/>
      <c r="AA94" s="42"/>
      <c r="AB94" s="42"/>
      <c r="AC94" s="42"/>
      <c r="AD94" s="42"/>
      <c r="AE94" s="42"/>
    </row>
    <row r="95">
      <c r="A95" s="95"/>
      <c r="B95" s="95"/>
      <c r="C95" s="34"/>
      <c r="D95" s="83"/>
      <c r="E95" s="96"/>
      <c r="F95" s="45"/>
      <c r="G95" s="97"/>
      <c r="H95" s="96"/>
      <c r="I95" s="96"/>
      <c r="J95" s="96"/>
      <c r="K95" s="99"/>
      <c r="L95" s="96"/>
      <c r="M95" s="96"/>
      <c r="N95" s="42"/>
      <c r="O95" s="42"/>
      <c r="P95" s="83"/>
      <c r="Q95" s="83"/>
      <c r="R95" s="42"/>
      <c r="S95" s="87"/>
      <c r="T95" s="83"/>
      <c r="U95" s="83"/>
      <c r="V95" s="48" t="str">
        <f t="shared" si="10"/>
        <v/>
      </c>
      <c r="W95" s="42"/>
      <c r="X95" s="42"/>
      <c r="Y95" s="42"/>
      <c r="Z95" s="42"/>
      <c r="AA95" s="42"/>
      <c r="AB95" s="42"/>
      <c r="AC95" s="42"/>
      <c r="AD95" s="42"/>
      <c r="AE95" s="42"/>
    </row>
    <row r="96">
      <c r="A96" s="95"/>
      <c r="B96" s="95"/>
      <c r="C96" s="34"/>
      <c r="D96" s="83"/>
      <c r="E96" s="96"/>
      <c r="F96" s="45"/>
      <c r="G96" s="97"/>
      <c r="H96" s="96"/>
      <c r="I96" s="96"/>
      <c r="J96" s="96"/>
      <c r="K96" s="99"/>
      <c r="L96" s="96"/>
      <c r="M96" s="96"/>
      <c r="N96" s="42"/>
      <c r="O96" s="42"/>
      <c r="P96" s="83"/>
      <c r="Q96" s="83"/>
      <c r="R96" s="42"/>
      <c r="S96" s="87"/>
      <c r="T96" s="83"/>
      <c r="U96" s="83"/>
      <c r="V96" s="48" t="str">
        <f t="shared" si="10"/>
        <v/>
      </c>
      <c r="W96" s="42"/>
      <c r="X96" s="42"/>
      <c r="Y96" s="42"/>
      <c r="Z96" s="42"/>
      <c r="AA96" s="42"/>
      <c r="AB96" s="42"/>
      <c r="AC96" s="42"/>
      <c r="AD96" s="42"/>
      <c r="AE96" s="42"/>
    </row>
    <row r="97">
      <c r="A97" s="95"/>
      <c r="B97" s="95"/>
      <c r="C97" s="34"/>
      <c r="D97" s="83"/>
      <c r="E97" s="96"/>
      <c r="F97" s="45"/>
      <c r="G97" s="97"/>
      <c r="H97" s="96"/>
      <c r="I97" s="96"/>
      <c r="J97" s="96"/>
      <c r="K97" s="99"/>
      <c r="L97" s="96"/>
      <c r="M97" s="96"/>
      <c r="N97" s="42"/>
      <c r="O97" s="42"/>
      <c r="P97" s="83"/>
      <c r="Q97" s="83"/>
      <c r="R97" s="42"/>
      <c r="S97" s="87"/>
      <c r="T97" s="83"/>
      <c r="U97" s="83"/>
      <c r="V97" s="48" t="str">
        <f t="shared" si="10"/>
        <v/>
      </c>
      <c r="W97" s="42"/>
      <c r="X97" s="42"/>
      <c r="Y97" s="42"/>
      <c r="Z97" s="42"/>
      <c r="AA97" s="42"/>
      <c r="AB97" s="42"/>
      <c r="AC97" s="42"/>
      <c r="AD97" s="42"/>
      <c r="AE97" s="42"/>
    </row>
    <row r="98">
      <c r="A98" s="95"/>
      <c r="B98" s="95"/>
      <c r="C98" s="34"/>
      <c r="D98" s="83"/>
      <c r="E98" s="96"/>
      <c r="F98" s="45"/>
      <c r="G98" s="97"/>
      <c r="H98" s="96"/>
      <c r="I98" s="96"/>
      <c r="J98" s="96"/>
      <c r="K98" s="99"/>
      <c r="L98" s="96"/>
      <c r="M98" s="96"/>
      <c r="N98" s="42"/>
      <c r="O98" s="42"/>
      <c r="P98" s="83"/>
      <c r="Q98" s="83"/>
      <c r="R98" s="42"/>
      <c r="S98" s="87"/>
      <c r="T98" s="83"/>
      <c r="U98" s="83"/>
      <c r="V98" s="48" t="str">
        <f t="shared" si="10"/>
        <v/>
      </c>
      <c r="W98" s="42"/>
      <c r="X98" s="42"/>
      <c r="Y98" s="42"/>
      <c r="Z98" s="42"/>
      <c r="AA98" s="42"/>
      <c r="AB98" s="42"/>
      <c r="AC98" s="42"/>
      <c r="AD98" s="42"/>
      <c r="AE98" s="42"/>
    </row>
    <row r="99">
      <c r="A99" s="95"/>
      <c r="B99" s="95"/>
      <c r="C99" s="34"/>
      <c r="D99" s="83"/>
      <c r="E99" s="96"/>
      <c r="F99" s="45"/>
      <c r="G99" s="97"/>
      <c r="H99" s="96"/>
      <c r="I99" s="96"/>
      <c r="J99" s="96"/>
      <c r="K99" s="99"/>
      <c r="L99" s="96"/>
      <c r="M99" s="96"/>
      <c r="N99" s="42"/>
      <c r="O99" s="42"/>
      <c r="P99" s="83"/>
      <c r="Q99" s="83"/>
      <c r="R99" s="42"/>
      <c r="S99" s="87"/>
      <c r="T99" s="83"/>
      <c r="U99" s="83"/>
      <c r="V99" s="48" t="str">
        <f t="shared" si="10"/>
        <v/>
      </c>
      <c r="W99" s="42"/>
      <c r="X99" s="42"/>
      <c r="Y99" s="42"/>
      <c r="Z99" s="42"/>
      <c r="AA99" s="42"/>
      <c r="AB99" s="42"/>
      <c r="AC99" s="42"/>
      <c r="AD99" s="42"/>
      <c r="AE99" s="42"/>
    </row>
    <row r="100">
      <c r="A100" s="95"/>
      <c r="B100" s="95"/>
      <c r="C100" s="34"/>
      <c r="D100" s="83"/>
      <c r="E100" s="96"/>
      <c r="F100" s="45"/>
      <c r="G100" s="97"/>
      <c r="H100" s="96"/>
      <c r="I100" s="96"/>
      <c r="J100" s="96"/>
      <c r="K100" s="99"/>
      <c r="L100" s="96"/>
      <c r="M100" s="96"/>
      <c r="N100" s="42"/>
      <c r="O100" s="42"/>
      <c r="P100" s="83"/>
      <c r="Q100" s="83"/>
      <c r="R100" s="42"/>
      <c r="S100" s="87"/>
      <c r="T100" s="83"/>
      <c r="U100" s="83"/>
      <c r="V100" s="48" t="str">
        <f t="shared" si="10"/>
        <v/>
      </c>
      <c r="W100" s="42"/>
      <c r="X100" s="42"/>
      <c r="Y100" s="42"/>
      <c r="Z100" s="42"/>
      <c r="AA100" s="42"/>
      <c r="AB100" s="42"/>
      <c r="AC100" s="42"/>
      <c r="AD100" s="42"/>
      <c r="AE100" s="42"/>
    </row>
    <row r="101">
      <c r="A101" s="95"/>
      <c r="B101" s="95"/>
      <c r="C101" s="34"/>
      <c r="D101" s="83"/>
      <c r="E101" s="96"/>
      <c r="F101" s="45"/>
      <c r="G101" s="97"/>
      <c r="H101" s="96"/>
      <c r="I101" s="96"/>
      <c r="J101" s="96"/>
      <c r="K101" s="99"/>
      <c r="L101" s="96"/>
      <c r="M101" s="96"/>
      <c r="N101" s="42"/>
      <c r="O101" s="42"/>
      <c r="P101" s="83"/>
      <c r="Q101" s="83"/>
      <c r="R101" s="42"/>
      <c r="S101" s="87"/>
      <c r="T101" s="83"/>
      <c r="U101" s="83"/>
      <c r="V101" s="48" t="str">
        <f t="shared" si="10"/>
        <v/>
      </c>
      <c r="W101" s="42"/>
      <c r="X101" s="42"/>
      <c r="Y101" s="42"/>
      <c r="Z101" s="42"/>
      <c r="AA101" s="42"/>
      <c r="AB101" s="42"/>
      <c r="AC101" s="42"/>
      <c r="AD101" s="42"/>
      <c r="AE101" s="42"/>
    </row>
    <row r="102">
      <c r="A102" s="95"/>
      <c r="B102" s="95"/>
      <c r="C102" s="34"/>
      <c r="D102" s="83"/>
      <c r="E102" s="96"/>
      <c r="F102" s="45"/>
      <c r="G102" s="97"/>
      <c r="H102" s="96"/>
      <c r="I102" s="96"/>
      <c r="J102" s="96"/>
      <c r="K102" s="99"/>
      <c r="L102" s="96"/>
      <c r="M102" s="96"/>
      <c r="N102" s="42"/>
      <c r="O102" s="42"/>
      <c r="P102" s="83"/>
      <c r="Q102" s="83"/>
      <c r="R102" s="42"/>
      <c r="S102" s="87"/>
      <c r="T102" s="83"/>
      <c r="U102" s="83"/>
      <c r="V102" s="48" t="str">
        <f t="shared" si="10"/>
        <v/>
      </c>
      <c r="W102" s="42"/>
      <c r="X102" s="42"/>
      <c r="Y102" s="42"/>
      <c r="Z102" s="42"/>
      <c r="AA102" s="42"/>
      <c r="AB102" s="42"/>
      <c r="AC102" s="42"/>
      <c r="AD102" s="42"/>
      <c r="AE102" s="42"/>
    </row>
    <row r="103">
      <c r="A103" s="95"/>
      <c r="B103" s="95"/>
      <c r="C103" s="54"/>
      <c r="D103" s="83"/>
      <c r="E103" s="96"/>
      <c r="F103" s="42"/>
      <c r="G103" s="97"/>
      <c r="H103" s="96"/>
      <c r="I103" s="96"/>
      <c r="J103" s="96"/>
      <c r="K103" s="99"/>
      <c r="L103" s="96"/>
      <c r="M103" s="96"/>
      <c r="N103" s="42"/>
      <c r="O103" s="42"/>
      <c r="P103" s="83"/>
      <c r="Q103" s="83"/>
      <c r="R103" s="42"/>
      <c r="S103" s="87"/>
      <c r="T103" s="83"/>
      <c r="U103" s="83"/>
      <c r="V103" s="48" t="str">
        <f t="shared" si="10"/>
        <v/>
      </c>
      <c r="W103" s="42"/>
      <c r="X103" s="42"/>
      <c r="Y103" s="42"/>
      <c r="Z103" s="42"/>
      <c r="AA103" s="42"/>
      <c r="AB103" s="42"/>
      <c r="AC103" s="42"/>
      <c r="AD103" s="42"/>
      <c r="AE103" s="42"/>
    </row>
    <row r="104">
      <c r="A104" s="95"/>
      <c r="B104" s="95"/>
      <c r="C104" s="54"/>
      <c r="D104" s="83"/>
      <c r="E104" s="96"/>
      <c r="F104" s="42"/>
      <c r="G104" s="97"/>
      <c r="H104" s="96"/>
      <c r="I104" s="96"/>
      <c r="J104" s="96"/>
      <c r="K104" s="99"/>
      <c r="L104" s="96"/>
      <c r="M104" s="96"/>
      <c r="N104" s="42"/>
      <c r="O104" s="42"/>
      <c r="P104" s="83"/>
      <c r="Q104" s="83"/>
      <c r="R104" s="42"/>
      <c r="S104" s="87"/>
      <c r="T104" s="83"/>
      <c r="U104" s="83"/>
      <c r="V104" s="48" t="str">
        <f t="shared" si="10"/>
        <v/>
      </c>
      <c r="W104" s="42"/>
      <c r="X104" s="42"/>
      <c r="Y104" s="42"/>
      <c r="Z104" s="42"/>
      <c r="AA104" s="42"/>
      <c r="AB104" s="42"/>
      <c r="AC104" s="42"/>
      <c r="AD104" s="42"/>
      <c r="AE104" s="42"/>
    </row>
    <row r="105">
      <c r="A105" s="95"/>
      <c r="B105" s="95"/>
      <c r="C105" s="54"/>
      <c r="D105" s="83"/>
      <c r="E105" s="96"/>
      <c r="F105" s="42"/>
      <c r="G105" s="97"/>
      <c r="H105" s="96"/>
      <c r="I105" s="96"/>
      <c r="J105" s="96"/>
      <c r="K105" s="99"/>
      <c r="L105" s="96"/>
      <c r="M105" s="96"/>
      <c r="N105" s="42"/>
      <c r="O105" s="42"/>
      <c r="P105" s="83"/>
      <c r="Q105" s="83"/>
      <c r="R105" s="42"/>
      <c r="S105" s="87"/>
      <c r="T105" s="83"/>
      <c r="U105" s="83"/>
      <c r="V105" s="48" t="str">
        <f t="shared" si="10"/>
        <v/>
      </c>
      <c r="W105" s="42"/>
      <c r="X105" s="42"/>
      <c r="Y105" s="42"/>
      <c r="Z105" s="42"/>
      <c r="AA105" s="42"/>
      <c r="AB105" s="42"/>
      <c r="AC105" s="42"/>
      <c r="AD105" s="42"/>
      <c r="AE105" s="42"/>
    </row>
    <row r="106">
      <c r="A106" s="95"/>
      <c r="B106" s="95"/>
      <c r="C106" s="54"/>
      <c r="D106" s="83"/>
      <c r="E106" s="96"/>
      <c r="F106" s="42"/>
      <c r="G106" s="97"/>
      <c r="H106" s="96"/>
      <c r="I106" s="96"/>
      <c r="J106" s="96"/>
      <c r="K106" s="99"/>
      <c r="L106" s="96"/>
      <c r="M106" s="96"/>
      <c r="N106" s="42"/>
      <c r="O106" s="42"/>
      <c r="P106" s="83"/>
      <c r="Q106" s="83"/>
      <c r="R106" s="42"/>
      <c r="S106" s="87"/>
      <c r="T106" s="83"/>
      <c r="U106" s="83"/>
      <c r="V106" s="48" t="str">
        <f t="shared" si="10"/>
        <v/>
      </c>
      <c r="W106" s="42"/>
      <c r="X106" s="42"/>
      <c r="Y106" s="42"/>
      <c r="Z106" s="42"/>
      <c r="AA106" s="42"/>
      <c r="AB106" s="42"/>
      <c r="AC106" s="42"/>
      <c r="AD106" s="42"/>
      <c r="AE106" s="42"/>
    </row>
    <row r="107">
      <c r="A107" s="95"/>
      <c r="B107" s="95"/>
      <c r="C107" s="54"/>
      <c r="D107" s="83"/>
      <c r="E107" s="96"/>
      <c r="F107" s="42"/>
      <c r="G107" s="97"/>
      <c r="H107" s="96"/>
      <c r="I107" s="96"/>
      <c r="J107" s="96"/>
      <c r="K107" s="99"/>
      <c r="L107" s="96"/>
      <c r="M107" s="96"/>
      <c r="N107" s="42"/>
      <c r="O107" s="42"/>
      <c r="P107" s="83"/>
      <c r="Q107" s="83"/>
      <c r="R107" s="42"/>
      <c r="S107" s="87"/>
      <c r="T107" s="83"/>
      <c r="U107" s="83"/>
      <c r="V107" s="48" t="str">
        <f t="shared" si="10"/>
        <v/>
      </c>
      <c r="W107" s="42"/>
      <c r="X107" s="42"/>
      <c r="Y107" s="42"/>
      <c r="Z107" s="42"/>
      <c r="AA107" s="42"/>
      <c r="AB107" s="42"/>
      <c r="AC107" s="42"/>
      <c r="AD107" s="42"/>
      <c r="AE107" s="42"/>
    </row>
    <row r="108">
      <c r="A108" s="95"/>
      <c r="B108" s="95"/>
      <c r="C108" s="54"/>
      <c r="D108" s="83"/>
      <c r="E108" s="96"/>
      <c r="F108" s="42"/>
      <c r="G108" s="97"/>
      <c r="H108" s="96"/>
      <c r="I108" s="96"/>
      <c r="J108" s="96"/>
      <c r="K108" s="99"/>
      <c r="L108" s="96"/>
      <c r="M108" s="96"/>
      <c r="N108" s="42"/>
      <c r="O108" s="42"/>
      <c r="P108" s="83"/>
      <c r="Q108" s="83"/>
      <c r="R108" s="42"/>
      <c r="S108" s="87"/>
      <c r="T108" s="83"/>
      <c r="U108" s="83"/>
      <c r="V108" s="48" t="str">
        <f t="shared" si="10"/>
        <v/>
      </c>
      <c r="W108" s="42"/>
      <c r="X108" s="42"/>
      <c r="Y108" s="42"/>
      <c r="Z108" s="42"/>
      <c r="AA108" s="42"/>
      <c r="AB108" s="42"/>
      <c r="AC108" s="42"/>
      <c r="AD108" s="42"/>
      <c r="AE108" s="42"/>
    </row>
    <row r="109">
      <c r="A109" s="95"/>
      <c r="B109" s="95"/>
      <c r="C109" s="54"/>
      <c r="D109" s="83"/>
      <c r="E109" s="96"/>
      <c r="F109" s="42"/>
      <c r="G109" s="97"/>
      <c r="H109" s="96"/>
      <c r="I109" s="96"/>
      <c r="J109" s="96"/>
      <c r="K109" s="99"/>
      <c r="L109" s="96"/>
      <c r="M109" s="96"/>
      <c r="N109" s="42"/>
      <c r="O109" s="42"/>
      <c r="P109" s="83"/>
      <c r="Q109" s="83"/>
      <c r="R109" s="42"/>
      <c r="S109" s="87"/>
      <c r="T109" s="83"/>
      <c r="U109" s="83"/>
      <c r="V109" s="61" t="str">
        <f>IFERROR(IF(T109="Ativo","Ativo",IF(T109="SKU excluído","Vencido",VLOOKUP(B109,Encerramentos!A:F,6,0))),"")</f>
        <v/>
      </c>
      <c r="W109" s="42"/>
      <c r="X109" s="42"/>
      <c r="Y109" s="42"/>
      <c r="Z109" s="42"/>
      <c r="AA109" s="42"/>
      <c r="AB109" s="42"/>
      <c r="AC109" s="42"/>
      <c r="AD109" s="42"/>
      <c r="AE109" s="42"/>
    </row>
    <row r="110">
      <c r="A110" s="95"/>
      <c r="B110" s="95"/>
      <c r="C110" s="54"/>
      <c r="D110" s="83"/>
      <c r="E110" s="96"/>
      <c r="F110" s="42"/>
      <c r="G110" s="97"/>
      <c r="H110" s="96"/>
      <c r="I110" s="96"/>
      <c r="J110" s="96"/>
      <c r="K110" s="99"/>
      <c r="L110" s="96"/>
      <c r="M110" s="96"/>
      <c r="N110" s="42"/>
      <c r="O110" s="42"/>
      <c r="P110" s="83"/>
      <c r="Q110" s="83"/>
      <c r="R110" s="42"/>
      <c r="S110" s="87"/>
      <c r="T110" s="83"/>
      <c r="U110" s="83"/>
      <c r="V110" s="61" t="str">
        <f>IFERROR(IF(T110="Ativo","Ativo",IF(T110="SKU excluído","Vencido",VLOOKUP(B110,Encerramentos!A:F,6,0))),"")</f>
        <v/>
      </c>
      <c r="W110" s="42"/>
      <c r="X110" s="42"/>
      <c r="Y110" s="42"/>
      <c r="Z110" s="42"/>
      <c r="AA110" s="42"/>
      <c r="AB110" s="42"/>
      <c r="AC110" s="42"/>
      <c r="AD110" s="42"/>
      <c r="AE110" s="42"/>
    </row>
    <row r="111">
      <c r="A111" s="95"/>
      <c r="B111" s="95"/>
      <c r="C111" s="54"/>
      <c r="D111" s="83"/>
      <c r="E111" s="96"/>
      <c r="F111" s="42"/>
      <c r="G111" s="97"/>
      <c r="H111" s="96"/>
      <c r="I111" s="96"/>
      <c r="J111" s="96"/>
      <c r="K111" s="99"/>
      <c r="L111" s="96"/>
      <c r="M111" s="96"/>
      <c r="N111" s="42"/>
      <c r="O111" s="42"/>
      <c r="P111" s="83"/>
      <c r="Q111" s="83"/>
      <c r="R111" s="42"/>
      <c r="S111" s="87"/>
      <c r="T111" s="83"/>
      <c r="U111" s="83"/>
      <c r="V111" s="61" t="str">
        <f>IFERROR(IF(T111="Ativo","Ativo",IF(T111="SKU excluído","Vencido",VLOOKUP(B111,Encerramentos!A:F,6,0))),"")</f>
        <v/>
      </c>
      <c r="W111" s="42"/>
      <c r="X111" s="42"/>
      <c r="Y111" s="42"/>
      <c r="Z111" s="42"/>
      <c r="AA111" s="42"/>
      <c r="AB111" s="42"/>
      <c r="AC111" s="42"/>
      <c r="AD111" s="42"/>
      <c r="AE111" s="42"/>
    </row>
    <row r="112">
      <c r="A112" s="95"/>
      <c r="B112" s="95"/>
      <c r="C112" s="54"/>
      <c r="D112" s="83"/>
      <c r="E112" s="96"/>
      <c r="F112" s="42"/>
      <c r="G112" s="97"/>
      <c r="H112" s="96"/>
      <c r="I112" s="96"/>
      <c r="J112" s="96"/>
      <c r="K112" s="99"/>
      <c r="L112" s="96"/>
      <c r="M112" s="96"/>
      <c r="N112" s="42"/>
      <c r="O112" s="42"/>
      <c r="P112" s="83"/>
      <c r="Q112" s="83"/>
      <c r="R112" s="42"/>
      <c r="S112" s="87"/>
      <c r="T112" s="83"/>
      <c r="U112" s="83"/>
      <c r="V112" s="61" t="str">
        <f>IFERROR(IF(T112="Ativo","Ativo",IF(T112="SKU excluído","Vencido",VLOOKUP(B112,Encerramentos!A:F,6,0))),"")</f>
        <v/>
      </c>
      <c r="W112" s="42"/>
      <c r="X112" s="42"/>
      <c r="Y112" s="42"/>
      <c r="Z112" s="42"/>
      <c r="AA112" s="42"/>
      <c r="AB112" s="42"/>
      <c r="AC112" s="42"/>
      <c r="AD112" s="42"/>
      <c r="AE112" s="42"/>
    </row>
    <row r="113">
      <c r="A113" s="95"/>
      <c r="B113" s="95"/>
      <c r="C113" s="54"/>
      <c r="D113" s="83"/>
      <c r="E113" s="96"/>
      <c r="F113" s="42"/>
      <c r="G113" s="97"/>
      <c r="H113" s="96"/>
      <c r="I113" s="96"/>
      <c r="J113" s="96"/>
      <c r="K113" s="99"/>
      <c r="L113" s="96"/>
      <c r="M113" s="96"/>
      <c r="N113" s="42"/>
      <c r="O113" s="42"/>
      <c r="P113" s="83"/>
      <c r="Q113" s="83"/>
      <c r="R113" s="42"/>
      <c r="S113" s="87"/>
      <c r="T113" s="83"/>
      <c r="U113" s="83"/>
      <c r="V113" s="61" t="str">
        <f>IFERROR(IF(T113="Ativo","Ativo",IF(T113="SKU excluído","Vencido",VLOOKUP(B113,Encerramentos!A:F,6,0))),"")</f>
        <v/>
      </c>
      <c r="W113" s="42"/>
      <c r="X113" s="42"/>
      <c r="Y113" s="42"/>
      <c r="Z113" s="42"/>
      <c r="AA113" s="42"/>
      <c r="AB113" s="42"/>
      <c r="AC113" s="42"/>
      <c r="AD113" s="42"/>
      <c r="AE113" s="42"/>
    </row>
    <row r="114">
      <c r="A114" s="95"/>
      <c r="B114" s="95"/>
      <c r="C114" s="54"/>
      <c r="D114" s="83"/>
      <c r="E114" s="96"/>
      <c r="F114" s="42"/>
      <c r="G114" s="97"/>
      <c r="H114" s="96"/>
      <c r="I114" s="96"/>
      <c r="J114" s="96"/>
      <c r="K114" s="99"/>
      <c r="L114" s="96"/>
      <c r="M114" s="96"/>
      <c r="N114" s="42"/>
      <c r="O114" s="42"/>
      <c r="P114" s="83"/>
      <c r="Q114" s="83"/>
      <c r="R114" s="42"/>
      <c r="S114" s="87"/>
      <c r="T114" s="83"/>
      <c r="U114" s="83"/>
      <c r="V114" s="48" t="str">
        <f t="shared" ref="V114:V115" si="11">M114</f>
        <v/>
      </c>
      <c r="W114" s="42"/>
      <c r="X114" s="42"/>
      <c r="Y114" s="42"/>
      <c r="Z114" s="42"/>
      <c r="AA114" s="42"/>
      <c r="AB114" s="42"/>
      <c r="AC114" s="42"/>
      <c r="AD114" s="42"/>
      <c r="AE114" s="42"/>
    </row>
    <row r="115">
      <c r="A115" s="95"/>
      <c r="B115" s="95"/>
      <c r="C115" s="54"/>
      <c r="D115" s="83"/>
      <c r="E115" s="96"/>
      <c r="F115" s="42"/>
      <c r="G115" s="97"/>
      <c r="H115" s="96"/>
      <c r="I115" s="96"/>
      <c r="J115" s="96"/>
      <c r="K115" s="99"/>
      <c r="L115" s="96"/>
      <c r="M115" s="96"/>
      <c r="N115" s="42"/>
      <c r="O115" s="42"/>
      <c r="P115" s="83"/>
      <c r="Q115" s="83"/>
      <c r="R115" s="42"/>
      <c r="S115" s="87"/>
      <c r="T115" s="83"/>
      <c r="U115" s="83"/>
      <c r="V115" s="48" t="str">
        <f t="shared" si="11"/>
        <v/>
      </c>
      <c r="W115" s="42"/>
      <c r="X115" s="42"/>
      <c r="Y115" s="42"/>
      <c r="Z115" s="42"/>
      <c r="AA115" s="42"/>
      <c r="AB115" s="42"/>
      <c r="AC115" s="42"/>
      <c r="AD115" s="42"/>
      <c r="AE115" s="42"/>
    </row>
    <row r="116">
      <c r="A116" s="95"/>
      <c r="B116" s="95"/>
      <c r="C116" s="54"/>
      <c r="D116" s="83"/>
      <c r="E116" s="96"/>
      <c r="F116" s="42"/>
      <c r="G116" s="97"/>
      <c r="H116" s="96"/>
      <c r="I116" s="96"/>
      <c r="J116" s="96"/>
      <c r="K116" s="99"/>
      <c r="L116" s="96"/>
      <c r="M116" s="96"/>
      <c r="N116" s="42"/>
      <c r="O116" s="42"/>
      <c r="P116" s="83"/>
      <c r="Q116" s="83"/>
      <c r="R116" s="42"/>
      <c r="S116" s="87"/>
      <c r="T116" s="83"/>
      <c r="U116" s="83"/>
      <c r="V116" s="61" t="str">
        <f>IFERROR(IF(T116="Ativo","Ativo",IF(T116="SKU excluído","Vencido",VLOOKUP(B116,Encerramentos!A:F,6,0))),"")</f>
        <v/>
      </c>
      <c r="W116" s="42"/>
      <c r="X116" s="42"/>
      <c r="Y116" s="42"/>
      <c r="Z116" s="42"/>
      <c r="AA116" s="42"/>
      <c r="AB116" s="42"/>
      <c r="AC116" s="42"/>
      <c r="AD116" s="42"/>
      <c r="AE116" s="42"/>
    </row>
    <row r="117">
      <c r="A117" s="95"/>
      <c r="B117" s="95"/>
      <c r="C117" s="54"/>
      <c r="D117" s="83"/>
      <c r="E117" s="96"/>
      <c r="F117" s="42"/>
      <c r="G117" s="97"/>
      <c r="H117" s="96"/>
      <c r="I117" s="96"/>
      <c r="J117" s="96"/>
      <c r="K117" s="99"/>
      <c r="L117" s="96"/>
      <c r="M117" s="96"/>
      <c r="N117" s="42"/>
      <c r="O117" s="42"/>
      <c r="P117" s="83"/>
      <c r="Q117" s="83"/>
      <c r="R117" s="42"/>
      <c r="S117" s="87"/>
      <c r="T117" s="83"/>
      <c r="U117" s="83"/>
      <c r="V117" s="61" t="str">
        <f>IFERROR(IF(T117="Ativo","Ativo",IF(T117="SKU excluído","Vencido",VLOOKUP(B117,Encerramentos!A:F,6,0))),"")</f>
        <v/>
      </c>
      <c r="W117" s="42"/>
      <c r="X117" s="42"/>
      <c r="Y117" s="42"/>
      <c r="Z117" s="42"/>
      <c r="AA117" s="42"/>
      <c r="AB117" s="42"/>
      <c r="AC117" s="42"/>
      <c r="AD117" s="42"/>
      <c r="AE117" s="42"/>
    </row>
    <row r="118">
      <c r="A118" s="95"/>
      <c r="B118" s="95"/>
      <c r="C118" s="54"/>
      <c r="D118" s="83"/>
      <c r="E118" s="96"/>
      <c r="F118" s="42"/>
      <c r="G118" s="97"/>
      <c r="H118" s="96"/>
      <c r="I118" s="96"/>
      <c r="J118" s="96"/>
      <c r="K118" s="99"/>
      <c r="L118" s="96"/>
      <c r="M118" s="96"/>
      <c r="N118" s="42"/>
      <c r="O118" s="42"/>
      <c r="P118" s="83"/>
      <c r="Q118" s="83"/>
      <c r="R118" s="42"/>
      <c r="S118" s="87"/>
      <c r="T118" s="83"/>
      <c r="U118" s="83"/>
      <c r="V118" s="61" t="str">
        <f>IFERROR(IF(T118="Ativo","Ativo",IF(T118="SKU excluído","Vencido",VLOOKUP(B118,Encerramentos!A:F,6,0))),"")</f>
        <v/>
      </c>
      <c r="W118" s="42"/>
      <c r="X118" s="42"/>
      <c r="Y118" s="42"/>
      <c r="Z118" s="42"/>
      <c r="AA118" s="42"/>
      <c r="AB118" s="42"/>
      <c r="AC118" s="42"/>
      <c r="AD118" s="42"/>
      <c r="AE118" s="42"/>
    </row>
    <row r="119">
      <c r="A119" s="95"/>
      <c r="B119" s="95"/>
      <c r="C119" s="54"/>
      <c r="D119" s="83"/>
      <c r="E119" s="96"/>
      <c r="F119" s="42"/>
      <c r="G119" s="97"/>
      <c r="H119" s="96"/>
      <c r="I119" s="96"/>
      <c r="J119" s="96"/>
      <c r="K119" s="99"/>
      <c r="L119" s="96"/>
      <c r="M119" s="96"/>
      <c r="N119" s="42"/>
      <c r="O119" s="42"/>
      <c r="P119" s="83"/>
      <c r="Q119" s="83"/>
      <c r="R119" s="42"/>
      <c r="S119" s="87"/>
      <c r="T119" s="83"/>
      <c r="U119" s="83"/>
      <c r="V119" s="61" t="str">
        <f>IFERROR(IF(T119="Ativo","Ativo",IF(T119="SKU excluído","Vencido",VLOOKUP(B119,Encerramentos!A:F,6,0))),"")</f>
        <v/>
      </c>
      <c r="W119" s="42"/>
      <c r="X119" s="42"/>
      <c r="Y119" s="42"/>
      <c r="Z119" s="42"/>
      <c r="AA119" s="42"/>
      <c r="AB119" s="42"/>
      <c r="AC119" s="42"/>
      <c r="AD119" s="42"/>
      <c r="AE119" s="42"/>
    </row>
    <row r="120">
      <c r="A120" s="95"/>
      <c r="B120" s="95"/>
      <c r="C120" s="54"/>
      <c r="D120" s="83"/>
      <c r="E120" s="96"/>
      <c r="F120" s="42"/>
      <c r="G120" s="97"/>
      <c r="H120" s="96"/>
      <c r="I120" s="96"/>
      <c r="J120" s="96"/>
      <c r="K120" s="99"/>
      <c r="L120" s="96"/>
      <c r="M120" s="96"/>
      <c r="N120" s="42"/>
      <c r="O120" s="42"/>
      <c r="P120" s="83"/>
      <c r="Q120" s="83"/>
      <c r="R120" s="42"/>
      <c r="S120" s="87"/>
      <c r="T120" s="83"/>
      <c r="U120" s="83"/>
      <c r="V120" s="61" t="str">
        <f>IFERROR(IF(T120="Ativo","Ativo",IF(T120="SKU excluído","Vencido",VLOOKUP(B120,Encerramentos!A:F,6,0))),"")</f>
        <v/>
      </c>
      <c r="W120" s="42"/>
      <c r="X120" s="42"/>
      <c r="Y120" s="42"/>
      <c r="Z120" s="42"/>
      <c r="AA120" s="42"/>
      <c r="AB120" s="42"/>
      <c r="AC120" s="42"/>
      <c r="AD120" s="42"/>
      <c r="AE120" s="42"/>
    </row>
    <row r="121">
      <c r="A121" s="95"/>
      <c r="B121" s="95"/>
      <c r="C121" s="54"/>
      <c r="D121" s="83"/>
      <c r="E121" s="96"/>
      <c r="F121" s="42"/>
      <c r="G121" s="97"/>
      <c r="H121" s="96"/>
      <c r="I121" s="96"/>
      <c r="J121" s="96"/>
      <c r="K121" s="99"/>
      <c r="L121" s="96"/>
      <c r="M121" s="96"/>
      <c r="N121" s="42"/>
      <c r="O121" s="42"/>
      <c r="P121" s="83"/>
      <c r="Q121" s="83"/>
      <c r="R121" s="42"/>
      <c r="S121" s="87"/>
      <c r="T121" s="83"/>
      <c r="U121" s="83"/>
      <c r="V121" s="61" t="str">
        <f>IFERROR(IF(T121="Ativo","Ativo",IF(T121="SKU excluído","Vencido",VLOOKUP(B121,Encerramentos!A:F,6,0))),"")</f>
        <v/>
      </c>
      <c r="W121" s="42"/>
      <c r="X121" s="42"/>
      <c r="Y121" s="42"/>
      <c r="Z121" s="42"/>
      <c r="AA121" s="42"/>
      <c r="AB121" s="42"/>
      <c r="AC121" s="42"/>
      <c r="AD121" s="42"/>
      <c r="AE121" s="42"/>
    </row>
    <row r="122">
      <c r="A122" s="95"/>
      <c r="B122" s="95"/>
      <c r="C122" s="54"/>
      <c r="D122" s="83"/>
      <c r="E122" s="96"/>
      <c r="F122" s="42"/>
      <c r="G122" s="97"/>
      <c r="H122" s="96"/>
      <c r="I122" s="96"/>
      <c r="J122" s="96"/>
      <c r="K122" s="99"/>
      <c r="L122" s="96"/>
      <c r="M122" s="96"/>
      <c r="N122" s="42"/>
      <c r="O122" s="42"/>
      <c r="P122" s="83"/>
      <c r="Q122" s="83"/>
      <c r="R122" s="42"/>
      <c r="S122" s="87"/>
      <c r="T122" s="83"/>
      <c r="U122" s="83"/>
      <c r="V122" s="61" t="str">
        <f>IFERROR(IF(T122="Ativo","Ativo",IF(T122="SKU excluído","Vencido",VLOOKUP(B122,Encerramentos!A:F,6,0))),"")</f>
        <v/>
      </c>
      <c r="W122" s="42"/>
      <c r="X122" s="42"/>
      <c r="Y122" s="42"/>
      <c r="Z122" s="42"/>
      <c r="AA122" s="42"/>
      <c r="AB122" s="42"/>
      <c r="AC122" s="42"/>
      <c r="AD122" s="42"/>
      <c r="AE122" s="42"/>
    </row>
    <row r="123">
      <c r="A123" s="95"/>
      <c r="B123" s="95"/>
      <c r="C123" s="54"/>
      <c r="D123" s="83"/>
      <c r="E123" s="96"/>
      <c r="F123" s="42"/>
      <c r="G123" s="97"/>
      <c r="H123" s="96"/>
      <c r="I123" s="96"/>
      <c r="J123" s="96"/>
      <c r="K123" s="99"/>
      <c r="L123" s="96"/>
      <c r="M123" s="96"/>
      <c r="N123" s="42"/>
      <c r="O123" s="42"/>
      <c r="P123" s="83"/>
      <c r="Q123" s="83"/>
      <c r="R123" s="42"/>
      <c r="S123" s="87"/>
      <c r="T123" s="83"/>
      <c r="U123" s="83"/>
      <c r="V123" s="61" t="str">
        <f>IFERROR(IF(T123="Ativo","Ativo",IF(T123="SKU excluído","Vencido",VLOOKUP(B123,Encerramentos!A:F,6,0))),"")</f>
        <v/>
      </c>
      <c r="W123" s="42"/>
      <c r="X123" s="42"/>
      <c r="Y123" s="42"/>
      <c r="Z123" s="42"/>
      <c r="AA123" s="42"/>
      <c r="AB123" s="42"/>
      <c r="AC123" s="42"/>
      <c r="AD123" s="42"/>
      <c r="AE123" s="42"/>
    </row>
    <row r="124">
      <c r="A124" s="95"/>
      <c r="B124" s="95"/>
      <c r="C124" s="54"/>
      <c r="D124" s="83"/>
      <c r="E124" s="96"/>
      <c r="F124" s="42"/>
      <c r="G124" s="97"/>
      <c r="H124" s="96"/>
      <c r="I124" s="96"/>
      <c r="J124" s="96"/>
      <c r="K124" s="99"/>
      <c r="L124" s="96"/>
      <c r="M124" s="96"/>
      <c r="N124" s="42"/>
      <c r="O124" s="42"/>
      <c r="P124" s="83"/>
      <c r="Q124" s="83"/>
      <c r="R124" s="42"/>
      <c r="S124" s="87"/>
      <c r="T124" s="83"/>
      <c r="U124" s="83"/>
      <c r="V124" s="61" t="str">
        <f>IFERROR(IF(T124="Ativo","Ativo",IF(T124="SKU excluído","Vencido",VLOOKUP(B124,Encerramentos!A:F,6,0))),"")</f>
        <v/>
      </c>
      <c r="W124" s="42"/>
      <c r="X124" s="42"/>
      <c r="Y124" s="42"/>
      <c r="Z124" s="42"/>
      <c r="AA124" s="42"/>
      <c r="AB124" s="42"/>
      <c r="AC124" s="42"/>
      <c r="AD124" s="42"/>
      <c r="AE124" s="42"/>
    </row>
    <row r="125">
      <c r="A125" s="95"/>
      <c r="B125" s="95"/>
      <c r="C125" s="54"/>
      <c r="D125" s="83"/>
      <c r="E125" s="96"/>
      <c r="F125" s="42"/>
      <c r="G125" s="97"/>
      <c r="H125" s="96"/>
      <c r="I125" s="96"/>
      <c r="J125" s="96"/>
      <c r="K125" s="99"/>
      <c r="L125" s="96"/>
      <c r="M125" s="96"/>
      <c r="N125" s="42"/>
      <c r="O125" s="42"/>
      <c r="P125" s="83"/>
      <c r="Q125" s="83"/>
      <c r="R125" s="42"/>
      <c r="S125" s="87"/>
      <c r="T125" s="83"/>
      <c r="U125" s="83"/>
      <c r="V125" s="61" t="str">
        <f>IFERROR(IF(T125="Ativo","Ativo",IF(T125="SKU excluído","Vencido",VLOOKUP(B125,Encerramentos!A:F,6,0))),"")</f>
        <v/>
      </c>
      <c r="W125" s="42"/>
      <c r="X125" s="42"/>
      <c r="Y125" s="42"/>
      <c r="Z125" s="42"/>
      <c r="AA125" s="42"/>
      <c r="AB125" s="42"/>
      <c r="AC125" s="42"/>
      <c r="AD125" s="42"/>
      <c r="AE125" s="42"/>
    </row>
    <row r="126">
      <c r="A126" s="95"/>
      <c r="B126" s="95"/>
      <c r="C126" s="54"/>
      <c r="D126" s="83"/>
      <c r="E126" s="96"/>
      <c r="F126" s="42"/>
      <c r="G126" s="97"/>
      <c r="H126" s="96"/>
      <c r="I126" s="96"/>
      <c r="J126" s="96"/>
      <c r="K126" s="99"/>
      <c r="L126" s="96"/>
      <c r="M126" s="96"/>
      <c r="N126" s="42"/>
      <c r="O126" s="42"/>
      <c r="P126" s="83"/>
      <c r="Q126" s="83"/>
      <c r="R126" s="42"/>
      <c r="S126" s="87"/>
      <c r="T126" s="83"/>
      <c r="U126" s="83"/>
      <c r="V126" s="61" t="str">
        <f>IFERROR(IF(T126="Ativo","Ativo",IF(T126="SKU excluído","Vencido",VLOOKUP(B126,Encerramentos!A:F,6,0))),"")</f>
        <v/>
      </c>
      <c r="W126" s="42"/>
      <c r="X126" s="42"/>
      <c r="Y126" s="42"/>
      <c r="Z126" s="42"/>
      <c r="AA126" s="42"/>
      <c r="AB126" s="42"/>
      <c r="AC126" s="42"/>
      <c r="AD126" s="42"/>
      <c r="AE126" s="42"/>
    </row>
    <row r="127">
      <c r="A127" s="95"/>
      <c r="B127" s="95"/>
      <c r="C127" s="54"/>
      <c r="D127" s="83"/>
      <c r="E127" s="96"/>
      <c r="F127" s="42"/>
      <c r="G127" s="97"/>
      <c r="H127" s="96"/>
      <c r="I127" s="96"/>
      <c r="J127" s="96"/>
      <c r="K127" s="99"/>
      <c r="L127" s="96"/>
      <c r="M127" s="96"/>
      <c r="N127" s="42"/>
      <c r="O127" s="42"/>
      <c r="P127" s="83"/>
      <c r="Q127" s="83"/>
      <c r="R127" s="42"/>
      <c r="S127" s="87"/>
      <c r="T127" s="83"/>
      <c r="U127" s="83"/>
      <c r="V127" s="61" t="str">
        <f>IFERROR(IF(T127="Ativo","Ativo",IF(T127="SKU excluído","Vencido",VLOOKUP(B127,Encerramentos!A:F,6,0))),"")</f>
        <v/>
      </c>
      <c r="W127" s="42"/>
      <c r="X127" s="42"/>
      <c r="Y127" s="42"/>
      <c r="Z127" s="42"/>
      <c r="AA127" s="42"/>
      <c r="AB127" s="42"/>
      <c r="AC127" s="42"/>
      <c r="AD127" s="42"/>
      <c r="AE127" s="42"/>
    </row>
    <row r="128">
      <c r="A128" s="95"/>
      <c r="B128" s="95"/>
      <c r="C128" s="54"/>
      <c r="D128" s="83"/>
      <c r="E128" s="96"/>
      <c r="F128" s="42"/>
      <c r="G128" s="97"/>
      <c r="H128" s="96"/>
      <c r="I128" s="96"/>
      <c r="J128" s="96"/>
      <c r="K128" s="99"/>
      <c r="L128" s="96"/>
      <c r="M128" s="96"/>
      <c r="N128" s="42"/>
      <c r="O128" s="42"/>
      <c r="P128" s="83"/>
      <c r="Q128" s="83"/>
      <c r="R128" s="42"/>
      <c r="S128" s="87"/>
      <c r="T128" s="83"/>
      <c r="U128" s="83"/>
      <c r="V128" s="61" t="str">
        <f>IFERROR(IF(T128="Ativo","Ativo",IF(T128="SKU excluído","Vencido",VLOOKUP(B128,Encerramentos!A:F,6,0))),"")</f>
        <v/>
      </c>
      <c r="W128" s="42"/>
      <c r="X128" s="42"/>
      <c r="Y128" s="42"/>
      <c r="Z128" s="42"/>
      <c r="AA128" s="42"/>
      <c r="AB128" s="42"/>
      <c r="AC128" s="42"/>
      <c r="AD128" s="42"/>
      <c r="AE128" s="42"/>
    </row>
    <row r="129">
      <c r="A129" s="95"/>
      <c r="B129" s="95"/>
      <c r="C129" s="54"/>
      <c r="D129" s="83"/>
      <c r="E129" s="96"/>
      <c r="F129" s="42"/>
      <c r="G129" s="97"/>
      <c r="H129" s="96"/>
      <c r="I129" s="96"/>
      <c r="J129" s="96"/>
      <c r="K129" s="99"/>
      <c r="L129" s="96"/>
      <c r="M129" s="96"/>
      <c r="N129" s="42"/>
      <c r="O129" s="42"/>
      <c r="P129" s="83"/>
      <c r="Q129" s="83"/>
      <c r="R129" s="42"/>
      <c r="S129" s="87"/>
      <c r="T129" s="83"/>
      <c r="U129" s="83"/>
      <c r="V129" s="61" t="str">
        <f>IFERROR(IF(T129="Ativo","Ativo",IF(T129="SKU excluído","Vencido",VLOOKUP(B129,Encerramentos!A:F,6,0))),"")</f>
        <v/>
      </c>
      <c r="W129" s="42"/>
      <c r="X129" s="42"/>
      <c r="Y129" s="42"/>
      <c r="Z129" s="42"/>
      <c r="AA129" s="42"/>
      <c r="AB129" s="42"/>
      <c r="AC129" s="42"/>
      <c r="AD129" s="42"/>
      <c r="AE129" s="42"/>
    </row>
    <row r="130">
      <c r="A130" s="95"/>
      <c r="B130" s="95"/>
      <c r="C130" s="54"/>
      <c r="D130" s="83"/>
      <c r="E130" s="96"/>
      <c r="F130" s="42"/>
      <c r="G130" s="97"/>
      <c r="H130" s="96"/>
      <c r="I130" s="96"/>
      <c r="J130" s="96"/>
      <c r="K130" s="99"/>
      <c r="L130" s="96"/>
      <c r="M130" s="96"/>
      <c r="N130" s="42"/>
      <c r="O130" s="42"/>
      <c r="P130" s="83"/>
      <c r="Q130" s="83"/>
      <c r="R130" s="42"/>
      <c r="S130" s="87"/>
      <c r="T130" s="83"/>
      <c r="U130" s="83"/>
      <c r="V130" s="61" t="str">
        <f>IFERROR(IF(T130="Ativo","Ativo",IF(T130="SKU excluído","Vencido",VLOOKUP(B130,Encerramentos!A:F,6,0))),"")</f>
        <v/>
      </c>
      <c r="W130" s="42"/>
      <c r="X130" s="42"/>
      <c r="Y130" s="42"/>
      <c r="Z130" s="42"/>
      <c r="AA130" s="42"/>
      <c r="AB130" s="42"/>
      <c r="AC130" s="42"/>
      <c r="AD130" s="42"/>
      <c r="AE130" s="42"/>
    </row>
    <row r="131">
      <c r="A131" s="95"/>
      <c r="B131" s="95"/>
      <c r="C131" s="54"/>
      <c r="D131" s="83"/>
      <c r="E131" s="96"/>
      <c r="F131" s="42"/>
      <c r="G131" s="97"/>
      <c r="H131" s="96"/>
      <c r="I131" s="96"/>
      <c r="J131" s="96"/>
      <c r="K131" s="99"/>
      <c r="L131" s="96"/>
      <c r="M131" s="96"/>
      <c r="N131" s="42"/>
      <c r="O131" s="42"/>
      <c r="P131" s="83"/>
      <c r="Q131" s="83"/>
      <c r="R131" s="42"/>
      <c r="S131" s="87"/>
      <c r="T131" s="83"/>
      <c r="U131" s="83"/>
      <c r="V131" s="61" t="str">
        <f>IFERROR(IF(T131="Ativo","Ativo",IF(T131="SKU excluído","Vencido",VLOOKUP(B131,Encerramentos!A:F,6,0))),"")</f>
        <v/>
      </c>
      <c r="W131" s="42"/>
      <c r="X131" s="42"/>
      <c r="Y131" s="42"/>
      <c r="Z131" s="42"/>
      <c r="AA131" s="42"/>
      <c r="AB131" s="42"/>
      <c r="AC131" s="42"/>
      <c r="AD131" s="42"/>
      <c r="AE131" s="42"/>
    </row>
    <row r="132">
      <c r="A132" s="95"/>
      <c r="B132" s="95"/>
      <c r="C132" s="54"/>
      <c r="D132" s="83"/>
      <c r="E132" s="96"/>
      <c r="F132" s="42"/>
      <c r="G132" s="97"/>
      <c r="H132" s="96"/>
      <c r="I132" s="96"/>
      <c r="J132" s="96"/>
      <c r="K132" s="99"/>
      <c r="L132" s="96"/>
      <c r="M132" s="96"/>
      <c r="N132" s="42"/>
      <c r="O132" s="42"/>
      <c r="P132" s="83"/>
      <c r="Q132" s="83"/>
      <c r="R132" s="42"/>
      <c r="S132" s="87"/>
      <c r="T132" s="83"/>
      <c r="U132" s="83"/>
      <c r="V132" s="48" t="str">
        <f>O132</f>
        <v/>
      </c>
      <c r="W132" s="42"/>
      <c r="X132" s="42"/>
      <c r="Y132" s="42"/>
      <c r="Z132" s="42"/>
      <c r="AA132" s="42"/>
      <c r="AB132" s="42"/>
      <c r="AC132" s="42"/>
      <c r="AD132" s="42"/>
      <c r="AE132" s="42"/>
    </row>
    <row r="133">
      <c r="A133" s="95"/>
      <c r="B133" s="95"/>
      <c r="C133" s="54"/>
      <c r="D133" s="83"/>
      <c r="E133" s="96"/>
      <c r="F133" s="42"/>
      <c r="G133" s="97"/>
      <c r="H133" s="96"/>
      <c r="I133" s="96"/>
      <c r="J133" s="96"/>
      <c r="K133" s="99"/>
      <c r="L133" s="96"/>
      <c r="M133" s="96"/>
      <c r="N133" s="42"/>
      <c r="O133" s="42"/>
      <c r="P133" s="83"/>
      <c r="Q133" s="83"/>
      <c r="R133" s="42"/>
      <c r="S133" s="87"/>
      <c r="T133" s="83"/>
      <c r="U133" s="83"/>
      <c r="V133" s="61" t="str">
        <f>IFERROR(IF(T133="Ativo","Ativo",IF(T133="SKU excluído","Vencido",VLOOKUP(B133,Encerramentos!A:F,6,0))),"")</f>
        <v/>
      </c>
      <c r="W133" s="42"/>
      <c r="X133" s="42"/>
      <c r="Y133" s="42"/>
      <c r="Z133" s="42"/>
      <c r="AA133" s="42"/>
      <c r="AB133" s="42"/>
      <c r="AC133" s="42"/>
      <c r="AD133" s="42"/>
      <c r="AE133" s="42"/>
    </row>
    <row r="134">
      <c r="A134" s="95"/>
      <c r="B134" s="95"/>
      <c r="C134" s="54"/>
      <c r="D134" s="83"/>
      <c r="E134" s="96"/>
      <c r="F134" s="42"/>
      <c r="G134" s="97"/>
      <c r="H134" s="96"/>
      <c r="I134" s="96"/>
      <c r="J134" s="96"/>
      <c r="K134" s="99"/>
      <c r="L134" s="96"/>
      <c r="M134" s="96"/>
      <c r="N134" s="42"/>
      <c r="O134" s="42"/>
      <c r="P134" s="83"/>
      <c r="Q134" s="83"/>
      <c r="R134" s="42"/>
      <c r="S134" s="87"/>
      <c r="T134" s="83"/>
      <c r="U134" s="83"/>
      <c r="V134" s="61" t="str">
        <f>IFERROR(IF(T134="Ativo","Ativo",IF(T134="SKU excluído","Vencido",VLOOKUP(B134,Encerramentos!A:F,6,0))),"")</f>
        <v/>
      </c>
      <c r="W134" s="42"/>
      <c r="X134" s="42"/>
      <c r="Y134" s="42"/>
      <c r="Z134" s="42"/>
      <c r="AA134" s="42"/>
      <c r="AB134" s="42"/>
      <c r="AC134" s="42"/>
      <c r="AD134" s="42"/>
      <c r="AE134" s="42"/>
    </row>
    <row r="135">
      <c r="A135" s="95"/>
      <c r="B135" s="95"/>
      <c r="C135" s="54"/>
      <c r="D135" s="83"/>
      <c r="E135" s="96"/>
      <c r="F135" s="42"/>
      <c r="G135" s="97"/>
      <c r="H135" s="96"/>
      <c r="I135" s="96"/>
      <c r="J135" s="96"/>
      <c r="K135" s="99"/>
      <c r="L135" s="96"/>
      <c r="M135" s="96"/>
      <c r="N135" s="42"/>
      <c r="O135" s="42"/>
      <c r="P135" s="83"/>
      <c r="Q135" s="83"/>
      <c r="R135" s="42"/>
      <c r="S135" s="87"/>
      <c r="T135" s="83"/>
      <c r="U135" s="83"/>
      <c r="V135" s="61" t="str">
        <f>IFERROR(IF(T135="Ativo","Ativo",IF(T135="SKU excluído","Vencido",VLOOKUP(B135,Encerramentos!A:F,6,0))),"")</f>
        <v/>
      </c>
      <c r="W135" s="42"/>
      <c r="X135" s="42"/>
      <c r="Y135" s="42"/>
      <c r="Z135" s="42"/>
      <c r="AA135" s="42"/>
      <c r="AB135" s="42"/>
      <c r="AC135" s="42"/>
      <c r="AD135" s="42"/>
      <c r="AE135" s="42"/>
    </row>
    <row r="136">
      <c r="A136" s="95"/>
      <c r="B136" s="95"/>
      <c r="C136" s="54"/>
      <c r="D136" s="83"/>
      <c r="E136" s="96"/>
      <c r="F136" s="42"/>
      <c r="G136" s="97"/>
      <c r="H136" s="96"/>
      <c r="I136" s="96"/>
      <c r="J136" s="96"/>
      <c r="K136" s="99"/>
      <c r="L136" s="96"/>
      <c r="M136" s="96"/>
      <c r="N136" s="42"/>
      <c r="O136" s="42"/>
      <c r="P136" s="83"/>
      <c r="Q136" s="83"/>
      <c r="R136" s="42"/>
      <c r="S136" s="87"/>
      <c r="T136" s="83"/>
      <c r="U136" s="83"/>
      <c r="V136" s="61" t="str">
        <f>IFERROR(IF(T136="Ativo","Ativo",IF(T136="SKU excluído","Vencido",VLOOKUP(B136,Encerramentos!A:F,6,0))),"")</f>
        <v/>
      </c>
      <c r="W136" s="42"/>
      <c r="X136" s="42"/>
      <c r="Y136" s="42"/>
      <c r="Z136" s="42"/>
      <c r="AA136" s="42"/>
      <c r="AB136" s="42"/>
      <c r="AC136" s="42"/>
      <c r="AD136" s="42"/>
      <c r="AE136" s="42"/>
    </row>
    <row r="137">
      <c r="A137" s="95"/>
      <c r="B137" s="95"/>
      <c r="C137" s="54"/>
      <c r="D137" s="83"/>
      <c r="E137" s="96"/>
      <c r="F137" s="42"/>
      <c r="G137" s="97"/>
      <c r="H137" s="96"/>
      <c r="I137" s="96"/>
      <c r="J137" s="96"/>
      <c r="K137" s="99"/>
      <c r="L137" s="96"/>
      <c r="M137" s="96"/>
      <c r="N137" s="42"/>
      <c r="O137" s="42"/>
      <c r="P137" s="83"/>
      <c r="Q137" s="83"/>
      <c r="R137" s="42"/>
      <c r="S137" s="87"/>
      <c r="T137" s="83"/>
      <c r="U137" s="83"/>
      <c r="V137" s="61" t="str">
        <f>IFERROR(IF(T137="Ativo","Ativo",IF(T137="SKU excluído","Vencido",VLOOKUP(B137,Encerramentos!A:F,6,0))),"")</f>
        <v/>
      </c>
      <c r="W137" s="42"/>
      <c r="X137" s="42"/>
      <c r="Y137" s="42"/>
      <c r="Z137" s="42"/>
      <c r="AA137" s="42"/>
      <c r="AB137" s="42"/>
      <c r="AC137" s="42"/>
      <c r="AD137" s="42"/>
      <c r="AE137" s="42"/>
    </row>
    <row r="138">
      <c r="A138" s="95"/>
      <c r="B138" s="95"/>
      <c r="C138" s="54"/>
      <c r="D138" s="83"/>
      <c r="E138" s="96"/>
      <c r="F138" s="42"/>
      <c r="G138" s="97"/>
      <c r="H138" s="96"/>
      <c r="I138" s="96"/>
      <c r="J138" s="96"/>
      <c r="K138" s="99"/>
      <c r="L138" s="96"/>
      <c r="M138" s="96"/>
      <c r="N138" s="42"/>
      <c r="O138" s="42"/>
      <c r="P138" s="83"/>
      <c r="Q138" s="83"/>
      <c r="R138" s="42"/>
      <c r="S138" s="87"/>
      <c r="T138" s="83"/>
      <c r="U138" s="83"/>
      <c r="V138" s="61" t="str">
        <f>IFERROR(IF(T138="Ativo","Ativo",IF(T138="SKU excluído","Vencido",VLOOKUP(B138,Encerramentos!A:F,6,0))),"")</f>
        <v/>
      </c>
      <c r="W138" s="42"/>
      <c r="X138" s="42"/>
      <c r="Y138" s="42"/>
      <c r="Z138" s="42"/>
      <c r="AA138" s="42"/>
      <c r="AB138" s="42"/>
      <c r="AC138" s="42"/>
      <c r="AD138" s="42"/>
      <c r="AE138" s="42"/>
    </row>
    <row r="139">
      <c r="A139" s="95"/>
      <c r="B139" s="95"/>
      <c r="C139" s="54"/>
      <c r="D139" s="83"/>
      <c r="E139" s="96"/>
      <c r="F139" s="42"/>
      <c r="G139" s="97"/>
      <c r="H139" s="96"/>
      <c r="I139" s="96"/>
      <c r="J139" s="96"/>
      <c r="K139" s="99"/>
      <c r="L139" s="96"/>
      <c r="M139" s="96"/>
      <c r="N139" s="42"/>
      <c r="O139" s="42"/>
      <c r="P139" s="83"/>
      <c r="Q139" s="83"/>
      <c r="R139" s="42"/>
      <c r="S139" s="87"/>
      <c r="T139" s="83"/>
      <c r="U139" s="83"/>
      <c r="V139" s="61" t="str">
        <f>IFERROR(IF(T139="Ativo","Ativo",IF(T139="SKU excluído","Vencido",VLOOKUP(B139,Encerramentos!A:F,6,0))),"")</f>
        <v/>
      </c>
      <c r="W139" s="42"/>
      <c r="X139" s="42"/>
      <c r="Y139" s="42"/>
      <c r="Z139" s="42"/>
      <c r="AA139" s="42"/>
      <c r="AB139" s="42"/>
      <c r="AC139" s="42"/>
      <c r="AD139" s="42"/>
      <c r="AE139" s="42"/>
    </row>
    <row r="140">
      <c r="A140" s="95"/>
      <c r="B140" s="95"/>
      <c r="C140" s="54"/>
      <c r="D140" s="83"/>
      <c r="E140" s="96"/>
      <c r="F140" s="42"/>
      <c r="G140" s="97"/>
      <c r="H140" s="96"/>
      <c r="I140" s="96"/>
      <c r="J140" s="96"/>
      <c r="K140" s="99"/>
      <c r="L140" s="96"/>
      <c r="M140" s="96"/>
      <c r="N140" s="42"/>
      <c r="O140" s="42"/>
      <c r="P140" s="83"/>
      <c r="Q140" s="83"/>
      <c r="R140" s="42"/>
      <c r="S140" s="87"/>
      <c r="T140" s="83"/>
      <c r="U140" s="83"/>
      <c r="V140" s="61" t="str">
        <f>IFERROR(IF(T140="Ativo","Ativo",IF(T140="SKU excluído","Vencido",VLOOKUP(B140,Encerramentos!A:F,6,0))),"")</f>
        <v/>
      </c>
      <c r="W140" s="42"/>
      <c r="X140" s="42"/>
      <c r="Y140" s="42"/>
      <c r="Z140" s="42"/>
      <c r="AA140" s="42"/>
      <c r="AB140" s="42"/>
      <c r="AC140" s="42"/>
      <c r="AD140" s="42"/>
      <c r="AE140" s="42"/>
    </row>
    <row r="141">
      <c r="A141" s="95"/>
      <c r="B141" s="95"/>
      <c r="C141" s="54"/>
      <c r="D141" s="83"/>
      <c r="E141" s="96"/>
      <c r="F141" s="42"/>
      <c r="G141" s="97"/>
      <c r="H141" s="96"/>
      <c r="I141" s="96"/>
      <c r="J141" s="96"/>
      <c r="K141" s="99"/>
      <c r="L141" s="96"/>
      <c r="M141" s="96"/>
      <c r="N141" s="42"/>
      <c r="O141" s="42"/>
      <c r="P141" s="83"/>
      <c r="Q141" s="83"/>
      <c r="R141" s="42"/>
      <c r="S141" s="87"/>
      <c r="T141" s="83"/>
      <c r="U141" s="83"/>
      <c r="V141" s="61" t="str">
        <f>IFERROR(IF(T141="Ativo","Ativo",IF(T141="SKU excluído","Vencido",VLOOKUP(B141,Encerramentos!A:F,6,0))),"")</f>
        <v/>
      </c>
      <c r="W141" s="42"/>
      <c r="X141" s="42"/>
      <c r="Y141" s="42"/>
      <c r="Z141" s="42"/>
      <c r="AA141" s="42"/>
      <c r="AB141" s="42"/>
      <c r="AC141" s="42"/>
      <c r="AD141" s="42"/>
      <c r="AE141" s="42"/>
    </row>
    <row r="142">
      <c r="A142" s="95"/>
      <c r="B142" s="95"/>
      <c r="C142" s="54"/>
      <c r="D142" s="83"/>
      <c r="E142" s="96"/>
      <c r="F142" s="42"/>
      <c r="G142" s="97"/>
      <c r="H142" s="96"/>
      <c r="I142" s="96"/>
      <c r="J142" s="96"/>
      <c r="K142" s="99"/>
      <c r="L142" s="96"/>
      <c r="M142" s="96"/>
      <c r="N142" s="42"/>
      <c r="O142" s="42"/>
      <c r="P142" s="83"/>
      <c r="Q142" s="83"/>
      <c r="R142" s="42"/>
      <c r="S142" s="87"/>
      <c r="T142" s="83"/>
      <c r="U142" s="83"/>
      <c r="V142" s="48" t="s">
        <v>1024</v>
      </c>
      <c r="W142" s="42"/>
      <c r="X142" s="42"/>
      <c r="Y142" s="42"/>
      <c r="Z142" s="42"/>
      <c r="AA142" s="42"/>
      <c r="AB142" s="42"/>
      <c r="AC142" s="42"/>
      <c r="AD142" s="42"/>
      <c r="AE142" s="42"/>
    </row>
    <row r="143">
      <c r="A143" s="95"/>
      <c r="B143" s="95"/>
      <c r="C143" s="54"/>
      <c r="D143" s="83"/>
      <c r="E143" s="96"/>
      <c r="F143" s="42"/>
      <c r="G143" s="97"/>
      <c r="H143" s="96"/>
      <c r="I143" s="96"/>
      <c r="J143" s="96"/>
      <c r="K143" s="99"/>
      <c r="L143" s="96"/>
      <c r="M143" s="96"/>
      <c r="N143" s="42"/>
      <c r="O143" s="42"/>
      <c r="P143" s="83"/>
      <c r="Q143" s="83"/>
      <c r="R143" s="42"/>
      <c r="S143" s="87"/>
      <c r="T143" s="83"/>
      <c r="U143" s="83"/>
      <c r="V143" s="61" t="str">
        <f>IFERROR(IF(T143="Ativo","Ativo",IF(T143="SKU excluído","Vencido",VLOOKUP(B143,Encerramentos!A:F,6,0))),"")</f>
        <v/>
      </c>
      <c r="W143" s="42"/>
      <c r="X143" s="42"/>
      <c r="Y143" s="42"/>
      <c r="Z143" s="42"/>
      <c r="AA143" s="42"/>
      <c r="AB143" s="42"/>
      <c r="AC143" s="42"/>
      <c r="AD143" s="42"/>
      <c r="AE143" s="42"/>
    </row>
    <row r="144">
      <c r="A144" s="95"/>
      <c r="B144" s="95"/>
      <c r="C144" s="54"/>
      <c r="D144" s="83"/>
      <c r="E144" s="96"/>
      <c r="F144" s="42"/>
      <c r="G144" s="97"/>
      <c r="H144" s="96"/>
      <c r="I144" s="96"/>
      <c r="J144" s="96"/>
      <c r="K144" s="99"/>
      <c r="L144" s="96"/>
      <c r="M144" s="96"/>
      <c r="N144" s="42"/>
      <c r="O144" s="42"/>
      <c r="P144" s="83"/>
      <c r="Q144" s="83"/>
      <c r="R144" s="42"/>
      <c r="S144" s="87"/>
      <c r="T144" s="83"/>
      <c r="U144" s="83"/>
      <c r="V144" s="61" t="str">
        <f>IFERROR(IF(T144="Ativo","Ativo",IF(T144="SKU excluído","Vencido",VLOOKUP(B144,Encerramentos!A:F,6,0))),"")</f>
        <v/>
      </c>
      <c r="W144" s="42"/>
      <c r="X144" s="42"/>
      <c r="Y144" s="42"/>
      <c r="Z144" s="42"/>
      <c r="AA144" s="42"/>
      <c r="AB144" s="42"/>
      <c r="AC144" s="42"/>
      <c r="AD144" s="42"/>
      <c r="AE144" s="42"/>
    </row>
    <row r="145">
      <c r="A145" s="95"/>
      <c r="B145" s="95"/>
      <c r="C145" s="54"/>
      <c r="D145" s="83"/>
      <c r="E145" s="96"/>
      <c r="F145" s="42"/>
      <c r="G145" s="97"/>
      <c r="H145" s="96"/>
      <c r="I145" s="96"/>
      <c r="J145" s="96"/>
      <c r="K145" s="99"/>
      <c r="L145" s="96"/>
      <c r="M145" s="96"/>
      <c r="N145" s="42"/>
      <c r="O145" s="42"/>
      <c r="P145" s="83"/>
      <c r="Q145" s="83"/>
      <c r="R145" s="42"/>
      <c r="S145" s="87"/>
      <c r="T145" s="83"/>
      <c r="U145" s="83"/>
      <c r="V145" s="61" t="str">
        <f>IFERROR(IF(T145="Ativo","Ativo",IF(T145="SKU excluído","Vencido",VLOOKUP(B145,Encerramentos!A:F,6,0))),"")</f>
        <v/>
      </c>
      <c r="W145" s="42"/>
      <c r="X145" s="42"/>
      <c r="Y145" s="42"/>
      <c r="Z145" s="42"/>
      <c r="AA145" s="42"/>
      <c r="AB145" s="42"/>
      <c r="AC145" s="42"/>
      <c r="AD145" s="42"/>
      <c r="AE145" s="42"/>
    </row>
    <row r="146">
      <c r="A146" s="95"/>
      <c r="B146" s="95"/>
      <c r="C146" s="54"/>
      <c r="D146" s="83"/>
      <c r="E146" s="96"/>
      <c r="F146" s="42"/>
      <c r="G146" s="97"/>
      <c r="H146" s="96"/>
      <c r="I146" s="96"/>
      <c r="J146" s="96"/>
      <c r="K146" s="99"/>
      <c r="L146" s="96"/>
      <c r="M146" s="96"/>
      <c r="N146" s="42"/>
      <c r="O146" s="42"/>
      <c r="P146" s="83"/>
      <c r="Q146" s="83"/>
      <c r="R146" s="42"/>
      <c r="S146" s="87"/>
      <c r="T146" s="83"/>
      <c r="U146" s="83"/>
      <c r="V146" s="61" t="str">
        <f>IFERROR(IF(T146="Ativo","Ativo",IF(T146="SKU excluído","Vencido",VLOOKUP(B146,Encerramentos!A:F,6,0))),"")</f>
        <v/>
      </c>
      <c r="W146" s="42"/>
      <c r="X146" s="42"/>
      <c r="Y146" s="42"/>
      <c r="Z146" s="42"/>
      <c r="AA146" s="42"/>
      <c r="AB146" s="42"/>
      <c r="AC146" s="42"/>
      <c r="AD146" s="42"/>
      <c r="AE146" s="42"/>
    </row>
    <row r="147">
      <c r="A147" s="95"/>
      <c r="B147" s="95"/>
      <c r="C147" s="54"/>
      <c r="D147" s="83"/>
      <c r="E147" s="96"/>
      <c r="F147" s="42"/>
      <c r="G147" s="97"/>
      <c r="H147" s="96"/>
      <c r="I147" s="96"/>
      <c r="J147" s="96"/>
      <c r="K147" s="99"/>
      <c r="L147" s="96"/>
      <c r="M147" s="96"/>
      <c r="N147" s="42"/>
      <c r="O147" s="42"/>
      <c r="P147" s="83"/>
      <c r="Q147" s="83"/>
      <c r="R147" s="42"/>
      <c r="S147" s="87"/>
      <c r="T147" s="83"/>
      <c r="U147" s="83"/>
      <c r="V147" s="61" t="str">
        <f>IFERROR(IF(T147="Ativo","Ativo",IF(T147="SKU excluído","Vencido",VLOOKUP(B147,Encerramentos!A:F,6,0))),"")</f>
        <v/>
      </c>
      <c r="W147" s="42"/>
      <c r="X147" s="42"/>
      <c r="Y147" s="42"/>
      <c r="Z147" s="42"/>
      <c r="AA147" s="42"/>
      <c r="AB147" s="42"/>
      <c r="AC147" s="42"/>
      <c r="AD147" s="42"/>
      <c r="AE147" s="42"/>
    </row>
    <row r="148">
      <c r="A148" s="95"/>
      <c r="B148" s="95"/>
      <c r="C148" s="54"/>
      <c r="D148" s="83"/>
      <c r="E148" s="96"/>
      <c r="F148" s="42"/>
      <c r="G148" s="97"/>
      <c r="H148" s="96"/>
      <c r="I148" s="96"/>
      <c r="J148" s="96"/>
      <c r="K148" s="99"/>
      <c r="L148" s="96"/>
      <c r="M148" s="96"/>
      <c r="N148" s="42"/>
      <c r="O148" s="42"/>
      <c r="P148" s="83"/>
      <c r="Q148" s="83"/>
      <c r="R148" s="42"/>
      <c r="S148" s="87"/>
      <c r="T148" s="83"/>
      <c r="U148" s="83"/>
      <c r="V148" s="61" t="str">
        <f>IFERROR(IF(T148="Ativo","Ativo",IF(T148="SKU excluído","Vencido",VLOOKUP(B148,Encerramentos!A:F,6,0))),"")</f>
        <v/>
      </c>
      <c r="W148" s="42"/>
      <c r="X148" s="42"/>
      <c r="Y148" s="42"/>
      <c r="Z148" s="42"/>
      <c r="AA148" s="42"/>
      <c r="AB148" s="42"/>
      <c r="AC148" s="42"/>
      <c r="AD148" s="42"/>
      <c r="AE148" s="42"/>
    </row>
    <row r="149">
      <c r="A149" s="95"/>
      <c r="B149" s="95"/>
      <c r="C149" s="54"/>
      <c r="D149" s="83"/>
      <c r="E149" s="96"/>
      <c r="F149" s="42"/>
      <c r="G149" s="97"/>
      <c r="H149" s="96"/>
      <c r="I149" s="96"/>
      <c r="J149" s="96"/>
      <c r="K149" s="99"/>
      <c r="L149" s="96"/>
      <c r="M149" s="96"/>
      <c r="N149" s="42"/>
      <c r="O149" s="42"/>
      <c r="P149" s="83"/>
      <c r="Q149" s="83"/>
      <c r="R149" s="42"/>
      <c r="S149" s="87"/>
      <c r="T149" s="83"/>
      <c r="U149" s="83"/>
      <c r="V149" s="61" t="str">
        <f>IFERROR(IF(T149="Ativo","Ativo",IF(T149="SKU excluído","Vencido",VLOOKUP(B149,Encerramentos!A:F,6,0))),"")</f>
        <v/>
      </c>
      <c r="W149" s="42"/>
      <c r="X149" s="42"/>
      <c r="Y149" s="42"/>
      <c r="Z149" s="42"/>
      <c r="AA149" s="42"/>
      <c r="AB149" s="42"/>
      <c r="AC149" s="42"/>
      <c r="AD149" s="42"/>
      <c r="AE149" s="42"/>
    </row>
    <row r="150">
      <c r="A150" s="95"/>
      <c r="B150" s="95"/>
      <c r="C150" s="54"/>
      <c r="D150" s="83"/>
      <c r="E150" s="96"/>
      <c r="F150" s="42"/>
      <c r="G150" s="97"/>
      <c r="H150" s="96"/>
      <c r="I150" s="96"/>
      <c r="J150" s="96"/>
      <c r="K150" s="99"/>
      <c r="L150" s="96"/>
      <c r="M150" s="96"/>
      <c r="N150" s="42"/>
      <c r="O150" s="42"/>
      <c r="P150" s="83"/>
      <c r="Q150" s="83"/>
      <c r="R150" s="42"/>
      <c r="S150" s="87"/>
      <c r="T150" s="83"/>
      <c r="U150" s="83"/>
      <c r="V150" s="61" t="str">
        <f>IFERROR(IF(T150="Ativo","Ativo",IF(T150="SKU excluído","Vencido",VLOOKUP(B150,Encerramentos!A:F,6,0))),"")</f>
        <v/>
      </c>
      <c r="W150" s="42"/>
      <c r="X150" s="42"/>
      <c r="Y150" s="42"/>
      <c r="Z150" s="42"/>
      <c r="AA150" s="42"/>
      <c r="AB150" s="42"/>
      <c r="AC150" s="42"/>
      <c r="AD150" s="42"/>
      <c r="AE150" s="42"/>
    </row>
    <row r="151">
      <c r="A151" s="95"/>
      <c r="B151" s="95"/>
      <c r="C151" s="54"/>
      <c r="D151" s="83"/>
      <c r="E151" s="96"/>
      <c r="F151" s="42"/>
      <c r="G151" s="97"/>
      <c r="H151" s="96"/>
      <c r="I151" s="96"/>
      <c r="J151" s="96"/>
      <c r="K151" s="99"/>
      <c r="L151" s="96"/>
      <c r="M151" s="96"/>
      <c r="N151" s="42"/>
      <c r="O151" s="42"/>
      <c r="P151" s="83"/>
      <c r="Q151" s="83"/>
      <c r="R151" s="42"/>
      <c r="S151" s="87"/>
      <c r="T151" s="83"/>
      <c r="U151" s="83"/>
      <c r="V151" s="61" t="str">
        <f>IFERROR(IF(T151="Ativo","Ativo",IF(T151="SKU excluído","Vencido",VLOOKUP(B151,Encerramentos!A:F,6,0))),"")</f>
        <v/>
      </c>
      <c r="W151" s="42"/>
      <c r="X151" s="42"/>
      <c r="Y151" s="42"/>
      <c r="Z151" s="42"/>
      <c r="AA151" s="42"/>
      <c r="AB151" s="42"/>
      <c r="AC151" s="42"/>
      <c r="AD151" s="42"/>
      <c r="AE151" s="42"/>
    </row>
    <row r="152">
      <c r="A152" s="95"/>
      <c r="B152" s="95"/>
      <c r="C152" s="54"/>
      <c r="D152" s="83"/>
      <c r="E152" s="96"/>
      <c r="F152" s="42"/>
      <c r="G152" s="97"/>
      <c r="H152" s="96"/>
      <c r="I152" s="96"/>
      <c r="J152" s="96"/>
      <c r="K152" s="99"/>
      <c r="L152" s="96"/>
      <c r="M152" s="96"/>
      <c r="N152" s="42"/>
      <c r="O152" s="42"/>
      <c r="P152" s="83"/>
      <c r="Q152" s="83"/>
      <c r="R152" s="42"/>
      <c r="S152" s="87"/>
      <c r="T152" s="83"/>
      <c r="U152" s="83"/>
      <c r="V152" s="61" t="str">
        <f>IFERROR(IF(T152="Ativo","Ativo",IF(T152="SKU excluído","Vencido",VLOOKUP(B152,Encerramentos!A:F,6,0))),"")</f>
        <v/>
      </c>
      <c r="W152" s="42"/>
      <c r="X152" s="42"/>
      <c r="Y152" s="42"/>
      <c r="Z152" s="42"/>
      <c r="AA152" s="42"/>
      <c r="AB152" s="42"/>
      <c r="AC152" s="42"/>
      <c r="AD152" s="42"/>
      <c r="AE152" s="42"/>
    </row>
    <row r="153">
      <c r="A153" s="95"/>
      <c r="B153" s="95"/>
      <c r="C153" s="54"/>
      <c r="D153" s="83"/>
      <c r="E153" s="96"/>
      <c r="F153" s="42"/>
      <c r="G153" s="97"/>
      <c r="H153" s="96"/>
      <c r="I153" s="96"/>
      <c r="J153" s="96"/>
      <c r="K153" s="99"/>
      <c r="L153" s="96"/>
      <c r="M153" s="96"/>
      <c r="N153" s="42"/>
      <c r="O153" s="42"/>
      <c r="P153" s="83"/>
      <c r="Q153" s="83"/>
      <c r="R153" s="42"/>
      <c r="S153" s="87"/>
      <c r="T153" s="83"/>
      <c r="U153" s="83"/>
      <c r="V153" s="61" t="str">
        <f>IFERROR(IF(T153="Ativo","Ativo",IF(T153="SKU excluído","Vencido",VLOOKUP(B153,Encerramentos!A:F,6,0))),"")</f>
        <v/>
      </c>
      <c r="W153" s="42"/>
      <c r="X153" s="42"/>
      <c r="Y153" s="42"/>
      <c r="Z153" s="42"/>
      <c r="AA153" s="42"/>
      <c r="AB153" s="42"/>
      <c r="AC153" s="42"/>
      <c r="AD153" s="42"/>
      <c r="AE153" s="42"/>
    </row>
    <row r="154">
      <c r="A154" s="95"/>
      <c r="B154" s="95"/>
      <c r="C154" s="54"/>
      <c r="D154" s="83"/>
      <c r="E154" s="96"/>
      <c r="F154" s="42"/>
      <c r="G154" s="97"/>
      <c r="H154" s="96"/>
      <c r="I154" s="96"/>
      <c r="J154" s="96"/>
      <c r="K154" s="99"/>
      <c r="L154" s="96"/>
      <c r="M154" s="96"/>
      <c r="N154" s="42"/>
      <c r="O154" s="42"/>
      <c r="P154" s="83"/>
      <c r="Q154" s="83"/>
      <c r="R154" s="42"/>
      <c r="S154" s="87"/>
      <c r="T154" s="83"/>
      <c r="U154" s="83"/>
      <c r="V154" s="61" t="str">
        <f>IFERROR(IF(T154="Ativo","Ativo",IF(T154="SKU excluído","Vencido",VLOOKUP(B154,Encerramentos!A:F,6,0))),"")</f>
        <v/>
      </c>
      <c r="W154" s="42"/>
      <c r="X154" s="42"/>
      <c r="Y154" s="42"/>
      <c r="Z154" s="42"/>
      <c r="AA154" s="42"/>
      <c r="AB154" s="42"/>
      <c r="AC154" s="42"/>
      <c r="AD154" s="42"/>
      <c r="AE154" s="42"/>
    </row>
    <row r="155">
      <c r="A155" s="95"/>
      <c r="B155" s="95"/>
      <c r="C155" s="54"/>
      <c r="D155" s="83"/>
      <c r="E155" s="96"/>
      <c r="F155" s="42"/>
      <c r="G155" s="97"/>
      <c r="H155" s="96"/>
      <c r="I155" s="96"/>
      <c r="J155" s="96"/>
      <c r="K155" s="99"/>
      <c r="L155" s="96"/>
      <c r="M155" s="96"/>
      <c r="N155" s="42"/>
      <c r="O155" s="42"/>
      <c r="P155" s="83"/>
      <c r="Q155" s="83"/>
      <c r="R155" s="42"/>
      <c r="S155" s="87"/>
      <c r="T155" s="83"/>
      <c r="U155" s="83"/>
      <c r="V155" s="61" t="str">
        <f>IFERROR(IF(T155="Ativo","Ativo",IF(T155="SKU excluído","Vencido",VLOOKUP(B155,Encerramentos!A:F,6,0))),"")</f>
        <v/>
      </c>
      <c r="W155" s="42"/>
      <c r="X155" s="42"/>
      <c r="Y155" s="42"/>
      <c r="Z155" s="42"/>
      <c r="AA155" s="42"/>
      <c r="AB155" s="42"/>
      <c r="AC155" s="42"/>
      <c r="AD155" s="42"/>
      <c r="AE155" s="42"/>
    </row>
    <row r="156">
      <c r="A156" s="95"/>
      <c r="B156" s="95"/>
      <c r="C156" s="54"/>
      <c r="D156" s="83"/>
      <c r="E156" s="96"/>
      <c r="F156" s="42"/>
      <c r="G156" s="97"/>
      <c r="H156" s="96"/>
      <c r="I156" s="96"/>
      <c r="J156" s="96"/>
      <c r="K156" s="99"/>
      <c r="L156" s="96"/>
      <c r="M156" s="96"/>
      <c r="N156" s="42"/>
      <c r="O156" s="42"/>
      <c r="P156" s="83"/>
      <c r="Q156" s="83"/>
      <c r="R156" s="42"/>
      <c r="S156" s="87"/>
      <c r="T156" s="83"/>
      <c r="U156" s="83"/>
      <c r="V156" s="61" t="str">
        <f>IFERROR(IF(T156="Ativo","Ativo",IF(T156="SKU excluído","Vencido",VLOOKUP(B156,Encerramentos!A:F,6,0))),"")</f>
        <v/>
      </c>
      <c r="W156" s="42"/>
      <c r="X156" s="42"/>
      <c r="Y156" s="42"/>
      <c r="Z156" s="42"/>
      <c r="AA156" s="42"/>
      <c r="AB156" s="42"/>
      <c r="AC156" s="42"/>
      <c r="AD156" s="42"/>
      <c r="AE156" s="42"/>
    </row>
    <row r="157">
      <c r="A157" s="95"/>
      <c r="B157" s="95"/>
      <c r="C157" s="54"/>
      <c r="D157" s="83"/>
      <c r="E157" s="96"/>
      <c r="F157" s="42"/>
      <c r="G157" s="97"/>
      <c r="H157" s="96"/>
      <c r="I157" s="96"/>
      <c r="J157" s="96"/>
      <c r="K157" s="99"/>
      <c r="L157" s="96"/>
      <c r="M157" s="96"/>
      <c r="N157" s="42"/>
      <c r="O157" s="42"/>
      <c r="P157" s="83"/>
      <c r="Q157" s="83"/>
      <c r="R157" s="42"/>
      <c r="S157" s="87"/>
      <c r="T157" s="83"/>
      <c r="U157" s="83"/>
      <c r="V157" s="61" t="str">
        <f>IFERROR(IF(T157="Ativo","Ativo",IF(T157="SKU excluído","Vencido",VLOOKUP(B157,Encerramentos!A:F,6,0))),"")</f>
        <v/>
      </c>
      <c r="W157" s="42"/>
      <c r="X157" s="42"/>
      <c r="Y157" s="42"/>
      <c r="Z157" s="42"/>
      <c r="AA157" s="42"/>
      <c r="AB157" s="42"/>
      <c r="AC157" s="42"/>
      <c r="AD157" s="42"/>
      <c r="AE157" s="42"/>
    </row>
    <row r="158">
      <c r="A158" s="95"/>
      <c r="B158" s="95"/>
      <c r="C158" s="54"/>
      <c r="D158" s="83"/>
      <c r="E158" s="96"/>
      <c r="F158" s="42"/>
      <c r="G158" s="97"/>
      <c r="H158" s="96"/>
      <c r="I158" s="96"/>
      <c r="J158" s="96"/>
      <c r="K158" s="99"/>
      <c r="L158" s="96"/>
      <c r="M158" s="96"/>
      <c r="N158" s="42"/>
      <c r="O158" s="42"/>
      <c r="P158" s="83"/>
      <c r="Q158" s="83"/>
      <c r="R158" s="42"/>
      <c r="S158" s="87"/>
      <c r="T158" s="83"/>
      <c r="U158" s="83"/>
      <c r="V158" s="61" t="str">
        <f>IFERROR(IF(T158="Ativo","Ativo",IF(T158="SKU excluído","Vencido",VLOOKUP(B158,Encerramentos!A:F,6,0))),"")</f>
        <v/>
      </c>
      <c r="W158" s="42"/>
      <c r="X158" s="42"/>
      <c r="Y158" s="42"/>
      <c r="Z158" s="42"/>
      <c r="AA158" s="42"/>
      <c r="AB158" s="42"/>
      <c r="AC158" s="42"/>
      <c r="AD158" s="42"/>
      <c r="AE158" s="42"/>
    </row>
    <row r="159">
      <c r="A159" s="95"/>
      <c r="B159" s="95"/>
      <c r="C159" s="54"/>
      <c r="D159" s="83"/>
      <c r="E159" s="96"/>
      <c r="F159" s="42"/>
      <c r="G159" s="97"/>
      <c r="H159" s="96"/>
      <c r="I159" s="96"/>
      <c r="J159" s="96"/>
      <c r="K159" s="99"/>
      <c r="L159" s="96"/>
      <c r="M159" s="96"/>
      <c r="N159" s="42"/>
      <c r="O159" s="42"/>
      <c r="P159" s="83"/>
      <c r="Q159" s="83"/>
      <c r="R159" s="42"/>
      <c r="S159" s="87"/>
      <c r="T159" s="83"/>
      <c r="U159" s="83"/>
      <c r="V159" s="61" t="str">
        <f>IFERROR(IF(T159="Ativo","Ativo",IF(T159="SKU excluído","Vencido",VLOOKUP(B159,Encerramentos!A:F,6,0))),"")</f>
        <v/>
      </c>
      <c r="W159" s="42"/>
      <c r="X159" s="42"/>
      <c r="Y159" s="42"/>
      <c r="Z159" s="42"/>
      <c r="AA159" s="42"/>
      <c r="AB159" s="42"/>
      <c r="AC159" s="42"/>
      <c r="AD159" s="42"/>
      <c r="AE159" s="42"/>
    </row>
    <row r="160">
      <c r="A160" s="95"/>
      <c r="B160" s="95"/>
      <c r="C160" s="54"/>
      <c r="D160" s="83"/>
      <c r="E160" s="96"/>
      <c r="F160" s="42"/>
      <c r="G160" s="97"/>
      <c r="H160" s="96"/>
      <c r="I160" s="96"/>
      <c r="J160" s="96"/>
      <c r="K160" s="99"/>
      <c r="L160" s="96"/>
      <c r="M160" s="96"/>
      <c r="N160" s="42"/>
      <c r="O160" s="42"/>
      <c r="P160" s="83"/>
      <c r="Q160" s="83"/>
      <c r="R160" s="42"/>
      <c r="S160" s="87"/>
      <c r="T160" s="83"/>
      <c r="U160" s="83"/>
      <c r="V160" s="61" t="str">
        <f>IFERROR(IF(T160="Ativo","Ativo",IF(T160="SKU excluído","Vencido",VLOOKUP(B160,Encerramentos!A:F,6,0))),"")</f>
        <v/>
      </c>
      <c r="W160" s="42"/>
      <c r="X160" s="42"/>
      <c r="Y160" s="42"/>
      <c r="Z160" s="42"/>
      <c r="AA160" s="42"/>
      <c r="AB160" s="42"/>
      <c r="AC160" s="42"/>
      <c r="AD160" s="42"/>
      <c r="AE160" s="42"/>
    </row>
    <row r="161">
      <c r="A161" s="95"/>
      <c r="B161" s="95"/>
      <c r="C161" s="54"/>
      <c r="D161" s="83"/>
      <c r="E161" s="96"/>
      <c r="F161" s="42"/>
      <c r="G161" s="97"/>
      <c r="H161" s="96"/>
      <c r="I161" s="96"/>
      <c r="J161" s="96"/>
      <c r="K161" s="99"/>
      <c r="L161" s="96"/>
      <c r="M161" s="96"/>
      <c r="N161" s="42"/>
      <c r="O161" s="42"/>
      <c r="P161" s="83"/>
      <c r="Q161" s="83"/>
      <c r="R161" s="42"/>
      <c r="S161" s="87"/>
      <c r="T161" s="83"/>
      <c r="U161" s="83"/>
      <c r="V161" s="61" t="str">
        <f>IFERROR(IF(T161="Ativo","Ativo",IF(T161="SKU excluído","Vencido",VLOOKUP(B161,Encerramentos!A:F,6,0))),"")</f>
        <v/>
      </c>
      <c r="W161" s="42"/>
      <c r="X161" s="42"/>
      <c r="Y161" s="42"/>
      <c r="Z161" s="42"/>
      <c r="AA161" s="42"/>
      <c r="AB161" s="42"/>
      <c r="AC161" s="42"/>
      <c r="AD161" s="42"/>
      <c r="AE161" s="42"/>
    </row>
    <row r="162">
      <c r="A162" s="95"/>
      <c r="B162" s="95"/>
      <c r="C162" s="54"/>
      <c r="D162" s="83"/>
      <c r="E162" s="96"/>
      <c r="F162" s="42"/>
      <c r="G162" s="97"/>
      <c r="H162" s="96"/>
      <c r="I162" s="96"/>
      <c r="J162" s="96"/>
      <c r="K162" s="99"/>
      <c r="L162" s="96"/>
      <c r="M162" s="96"/>
      <c r="N162" s="42"/>
      <c r="O162" s="42"/>
      <c r="P162" s="83"/>
      <c r="Q162" s="83"/>
      <c r="R162" s="42"/>
      <c r="S162" s="87"/>
      <c r="T162" s="83"/>
      <c r="U162" s="83"/>
      <c r="V162" s="61" t="str">
        <f>IFERROR(IF(T162="Ativo","Ativo",IF(T162="SKU excluído","Vencido",VLOOKUP(B162,Encerramentos!A:F,6,0))),"")</f>
        <v/>
      </c>
      <c r="W162" s="42"/>
      <c r="X162" s="42"/>
      <c r="Y162" s="42"/>
      <c r="Z162" s="42"/>
      <c r="AA162" s="42"/>
      <c r="AB162" s="42"/>
      <c r="AC162" s="42"/>
      <c r="AD162" s="42"/>
      <c r="AE162" s="42"/>
    </row>
    <row r="163">
      <c r="A163" s="95"/>
      <c r="B163" s="95"/>
      <c r="C163" s="54"/>
      <c r="D163" s="83"/>
      <c r="E163" s="96"/>
      <c r="F163" s="42"/>
      <c r="G163" s="97"/>
      <c r="H163" s="96"/>
      <c r="I163" s="96"/>
      <c r="J163" s="96"/>
      <c r="K163" s="99"/>
      <c r="L163" s="96"/>
      <c r="M163" s="96"/>
      <c r="N163" s="42"/>
      <c r="O163" s="42"/>
      <c r="P163" s="83"/>
      <c r="Q163" s="83"/>
      <c r="R163" s="42"/>
      <c r="S163" s="87"/>
      <c r="T163" s="83"/>
      <c r="U163" s="83"/>
      <c r="V163" s="61" t="str">
        <f>IFERROR(IF(T163="Ativo","Ativo",IF(T163="SKU excluído","Vencido",VLOOKUP(B163,Encerramentos!A:F,6,0))),"")</f>
        <v/>
      </c>
      <c r="W163" s="42"/>
      <c r="X163" s="42"/>
      <c r="Y163" s="42"/>
      <c r="Z163" s="42"/>
      <c r="AA163" s="42"/>
      <c r="AB163" s="42"/>
      <c r="AC163" s="42"/>
      <c r="AD163" s="42"/>
      <c r="AE163" s="42"/>
    </row>
    <row r="164">
      <c r="A164" s="95"/>
      <c r="B164" s="95"/>
      <c r="C164" s="54"/>
      <c r="D164" s="83"/>
      <c r="E164" s="96"/>
      <c r="F164" s="42"/>
      <c r="G164" s="97"/>
      <c r="H164" s="96"/>
      <c r="I164" s="96"/>
      <c r="J164" s="96"/>
      <c r="K164" s="99"/>
      <c r="L164" s="96"/>
      <c r="M164" s="96"/>
      <c r="N164" s="42"/>
      <c r="O164" s="42"/>
      <c r="P164" s="83"/>
      <c r="Q164" s="83"/>
      <c r="R164" s="42"/>
      <c r="S164" s="87"/>
      <c r="T164" s="83"/>
      <c r="U164" s="83"/>
      <c r="V164" s="61" t="str">
        <f>IFERROR(IF(T164="Ativo","Ativo",IF(T164="SKU excluído","Vencido",VLOOKUP(B164,Encerramentos!A:F,6,0))),"")</f>
        <v/>
      </c>
      <c r="W164" s="42"/>
      <c r="X164" s="42"/>
      <c r="Y164" s="42"/>
      <c r="Z164" s="42"/>
      <c r="AA164" s="42"/>
      <c r="AB164" s="42"/>
      <c r="AC164" s="42"/>
      <c r="AD164" s="42"/>
      <c r="AE164" s="42"/>
    </row>
    <row r="165">
      <c r="A165" s="95"/>
      <c r="B165" s="95"/>
      <c r="C165" s="54"/>
      <c r="D165" s="83"/>
      <c r="E165" s="96"/>
      <c r="F165" s="42"/>
      <c r="G165" s="97"/>
      <c r="H165" s="96"/>
      <c r="I165" s="96"/>
      <c r="J165" s="96"/>
      <c r="K165" s="99"/>
      <c r="L165" s="96"/>
      <c r="M165" s="96"/>
      <c r="N165" s="42"/>
      <c r="O165" s="42"/>
      <c r="P165" s="83"/>
      <c r="Q165" s="83"/>
      <c r="R165" s="42"/>
      <c r="S165" s="87"/>
      <c r="T165" s="83"/>
      <c r="U165" s="83"/>
      <c r="V165" s="61" t="str">
        <f>IFERROR(IF(T165="Ativo","Ativo",IF(T165="SKU excluído","Vencido",VLOOKUP(B165,Encerramentos!A:F,6,0))),"")</f>
        <v/>
      </c>
      <c r="W165" s="42"/>
      <c r="X165" s="42"/>
      <c r="Y165" s="42"/>
      <c r="Z165" s="42"/>
      <c r="AA165" s="42"/>
      <c r="AB165" s="42"/>
      <c r="AC165" s="42"/>
      <c r="AD165" s="42"/>
      <c r="AE165" s="42"/>
    </row>
    <row r="166">
      <c r="A166" s="95"/>
      <c r="B166" s="95"/>
      <c r="C166" s="54"/>
      <c r="D166" s="83"/>
      <c r="E166" s="96"/>
      <c r="F166" s="42"/>
      <c r="G166" s="97"/>
      <c r="H166" s="96"/>
      <c r="I166" s="96"/>
      <c r="J166" s="96"/>
      <c r="K166" s="99"/>
      <c r="L166" s="96"/>
      <c r="M166" s="96"/>
      <c r="N166" s="42"/>
      <c r="O166" s="42"/>
      <c r="P166" s="83"/>
      <c r="Q166" s="83"/>
      <c r="R166" s="42"/>
      <c r="S166" s="87"/>
      <c r="T166" s="83"/>
      <c r="U166" s="83"/>
      <c r="V166" s="61" t="str">
        <f>IFERROR(IF(T166="Ativo","Ativo",IF(T166="SKU excluído","Vencido",VLOOKUP(B166,Encerramentos!A:F,6,0))),"")</f>
        <v/>
      </c>
      <c r="W166" s="42"/>
      <c r="X166" s="42"/>
      <c r="Y166" s="42"/>
      <c r="Z166" s="42"/>
      <c r="AA166" s="42"/>
      <c r="AB166" s="42"/>
      <c r="AC166" s="42"/>
      <c r="AD166" s="42"/>
      <c r="AE166" s="42"/>
    </row>
    <row r="167">
      <c r="A167" s="95"/>
      <c r="B167" s="95"/>
      <c r="C167" s="54"/>
      <c r="D167" s="83"/>
      <c r="E167" s="96"/>
      <c r="F167" s="42"/>
      <c r="G167" s="97"/>
      <c r="H167" s="96"/>
      <c r="I167" s="96"/>
      <c r="J167" s="96"/>
      <c r="K167" s="99"/>
      <c r="L167" s="96"/>
      <c r="M167" s="96"/>
      <c r="N167" s="42"/>
      <c r="O167" s="42"/>
      <c r="P167" s="83"/>
      <c r="Q167" s="83"/>
      <c r="R167" s="42"/>
      <c r="S167" s="87"/>
      <c r="T167" s="83"/>
      <c r="U167" s="83"/>
      <c r="V167" s="61" t="str">
        <f>IFERROR(IF(T167="Ativo","Ativo",IF(T167="SKU excluído","Vencido",VLOOKUP(B167,Encerramentos!A:F,6,0))),"")</f>
        <v/>
      </c>
      <c r="W167" s="42"/>
      <c r="X167" s="42"/>
      <c r="Y167" s="42"/>
      <c r="Z167" s="42"/>
      <c r="AA167" s="42"/>
      <c r="AB167" s="42"/>
      <c r="AC167" s="42"/>
      <c r="AD167" s="42"/>
      <c r="AE167" s="42"/>
    </row>
    <row r="168">
      <c r="A168" s="95"/>
      <c r="B168" s="95"/>
      <c r="C168" s="54"/>
      <c r="D168" s="83"/>
      <c r="E168" s="96"/>
      <c r="F168" s="42"/>
      <c r="G168" s="97"/>
      <c r="H168" s="96"/>
      <c r="I168" s="96"/>
      <c r="J168" s="96"/>
      <c r="K168" s="99"/>
      <c r="L168" s="96"/>
      <c r="M168" s="96"/>
      <c r="N168" s="42"/>
      <c r="O168" s="42"/>
      <c r="P168" s="83"/>
      <c r="Q168" s="83"/>
      <c r="R168" s="42"/>
      <c r="S168" s="87"/>
      <c r="T168" s="83"/>
      <c r="U168" s="83"/>
      <c r="V168" s="61" t="str">
        <f>IFERROR(IF(T168="Ativo","Ativo",IF(T168="SKU excluído","Vencido",VLOOKUP(B168,Encerramentos!A:F,6,0))),"")</f>
        <v/>
      </c>
      <c r="W168" s="42"/>
      <c r="X168" s="42"/>
      <c r="Y168" s="42"/>
      <c r="Z168" s="42"/>
      <c r="AA168" s="42"/>
      <c r="AB168" s="42"/>
      <c r="AC168" s="42"/>
      <c r="AD168" s="42"/>
      <c r="AE168" s="42"/>
    </row>
    <row r="169">
      <c r="A169" s="95"/>
      <c r="B169" s="95"/>
      <c r="C169" s="54"/>
      <c r="D169" s="83"/>
      <c r="E169" s="96"/>
      <c r="F169" s="42"/>
      <c r="G169" s="97"/>
      <c r="H169" s="96"/>
      <c r="I169" s="96"/>
      <c r="J169" s="96"/>
      <c r="K169" s="99"/>
      <c r="L169" s="96"/>
      <c r="M169" s="96"/>
      <c r="N169" s="42"/>
      <c r="O169" s="42"/>
      <c r="P169" s="83"/>
      <c r="Q169" s="83"/>
      <c r="R169" s="42"/>
      <c r="S169" s="87"/>
      <c r="T169" s="83"/>
      <c r="U169" s="83"/>
      <c r="V169" s="61" t="str">
        <f>IFERROR(IF(T169="Ativo","Ativo",IF(T169="SKU excluído","Vencido",VLOOKUP(B169,Encerramentos!A:F,6,0))),"")</f>
        <v/>
      </c>
      <c r="W169" s="42"/>
      <c r="X169" s="42"/>
      <c r="Y169" s="42"/>
      <c r="Z169" s="42"/>
      <c r="AA169" s="42"/>
      <c r="AB169" s="42"/>
      <c r="AC169" s="42"/>
      <c r="AD169" s="42"/>
      <c r="AE169" s="42"/>
    </row>
    <row r="170">
      <c r="A170" s="95"/>
      <c r="B170" s="95"/>
      <c r="C170" s="54"/>
      <c r="D170" s="83"/>
      <c r="E170" s="96"/>
      <c r="F170" s="42"/>
      <c r="G170" s="97"/>
      <c r="H170" s="96"/>
      <c r="I170" s="96"/>
      <c r="J170" s="96"/>
      <c r="K170" s="99"/>
      <c r="L170" s="96"/>
      <c r="M170" s="96"/>
      <c r="N170" s="42"/>
      <c r="O170" s="42"/>
      <c r="P170" s="83"/>
      <c r="Q170" s="83"/>
      <c r="R170" s="42"/>
      <c r="S170" s="87"/>
      <c r="T170" s="83"/>
      <c r="U170" s="83"/>
      <c r="V170" s="61" t="str">
        <f>IFERROR(IF(T170="Ativo","Ativo",IF(T170="SKU excluído","Vencido",VLOOKUP(B170,Encerramentos!A:F,6,0))),"")</f>
        <v/>
      </c>
      <c r="W170" s="42"/>
      <c r="X170" s="42"/>
      <c r="Y170" s="42"/>
      <c r="Z170" s="42"/>
      <c r="AA170" s="42"/>
      <c r="AB170" s="42"/>
      <c r="AC170" s="42"/>
      <c r="AD170" s="42"/>
      <c r="AE170" s="42"/>
    </row>
    <row r="171">
      <c r="A171" s="95"/>
      <c r="B171" s="95"/>
      <c r="C171" s="54"/>
      <c r="D171" s="83"/>
      <c r="E171" s="96"/>
      <c r="F171" s="42"/>
      <c r="G171" s="97"/>
      <c r="H171" s="96"/>
      <c r="I171" s="96"/>
      <c r="J171" s="96"/>
      <c r="K171" s="99"/>
      <c r="L171" s="96"/>
      <c r="M171" s="96"/>
      <c r="N171" s="42"/>
      <c r="O171" s="42"/>
      <c r="P171" s="83"/>
      <c r="Q171" s="83"/>
      <c r="R171" s="42"/>
      <c r="S171" s="87"/>
      <c r="T171" s="83"/>
      <c r="U171" s="83"/>
      <c r="V171" s="61" t="str">
        <f>IFERROR(IF(T171="Ativo","Ativo",IF(T171="SKU excluído","Vencido",VLOOKUP(B171,Encerramentos!A:F,6,0))),"")</f>
        <v/>
      </c>
      <c r="W171" s="42"/>
      <c r="X171" s="42"/>
      <c r="Y171" s="42"/>
      <c r="Z171" s="42"/>
      <c r="AA171" s="42"/>
      <c r="AB171" s="42"/>
      <c r="AC171" s="42"/>
      <c r="AD171" s="42"/>
      <c r="AE171" s="42"/>
    </row>
    <row r="172">
      <c r="A172" s="95"/>
      <c r="B172" s="95"/>
      <c r="C172" s="54"/>
      <c r="D172" s="83"/>
      <c r="E172" s="96"/>
      <c r="F172" s="42"/>
      <c r="G172" s="97"/>
      <c r="H172" s="96"/>
      <c r="I172" s="96"/>
      <c r="J172" s="96"/>
      <c r="K172" s="99"/>
      <c r="L172" s="96"/>
      <c r="M172" s="96"/>
      <c r="N172" s="42"/>
      <c r="O172" s="42"/>
      <c r="P172" s="83"/>
      <c r="Q172" s="83"/>
      <c r="R172" s="42"/>
      <c r="S172" s="87"/>
      <c r="T172" s="83"/>
      <c r="U172" s="83"/>
      <c r="V172" s="61" t="str">
        <f>IFERROR(IF(T172="Ativo","Ativo",IF(T172="SKU excluído","Vencido",VLOOKUP(B172,Encerramentos!A:F,6,0))),"")</f>
        <v/>
      </c>
      <c r="W172" s="42"/>
      <c r="X172" s="42"/>
      <c r="Y172" s="42"/>
      <c r="Z172" s="42"/>
      <c r="AA172" s="42"/>
      <c r="AB172" s="42"/>
      <c r="AC172" s="42"/>
      <c r="AD172" s="42"/>
      <c r="AE172" s="42"/>
    </row>
    <row r="173">
      <c r="A173" s="95"/>
      <c r="B173" s="95"/>
      <c r="C173" s="54"/>
      <c r="D173" s="83"/>
      <c r="E173" s="96"/>
      <c r="F173" s="42"/>
      <c r="G173" s="97"/>
      <c r="H173" s="96"/>
      <c r="I173" s="96"/>
      <c r="J173" s="96"/>
      <c r="K173" s="99"/>
      <c r="L173" s="96"/>
      <c r="M173" s="96"/>
      <c r="N173" s="42"/>
      <c r="O173" s="42"/>
      <c r="P173" s="83"/>
      <c r="Q173" s="83"/>
      <c r="R173" s="42"/>
      <c r="S173" s="87"/>
      <c r="T173" s="83"/>
      <c r="U173" s="83"/>
      <c r="V173" s="61" t="str">
        <f>IFERROR(IF(T173="Ativo","Ativo",IF(T173="SKU excluído","Vencido",VLOOKUP(B173,Encerramentos!A:F,6,0))),"")</f>
        <v/>
      </c>
      <c r="W173" s="42"/>
      <c r="X173" s="42"/>
      <c r="Y173" s="42"/>
      <c r="Z173" s="42"/>
      <c r="AA173" s="42"/>
      <c r="AB173" s="42"/>
      <c r="AC173" s="42"/>
      <c r="AD173" s="42"/>
      <c r="AE173" s="42"/>
    </row>
    <row r="174">
      <c r="A174" s="95"/>
      <c r="B174" s="95"/>
      <c r="C174" s="54"/>
      <c r="D174" s="83"/>
      <c r="E174" s="96"/>
      <c r="F174" s="42"/>
      <c r="G174" s="97"/>
      <c r="H174" s="96"/>
      <c r="I174" s="96"/>
      <c r="J174" s="96"/>
      <c r="K174" s="99"/>
      <c r="L174" s="96"/>
      <c r="M174" s="96"/>
      <c r="N174" s="42"/>
      <c r="O174" s="42"/>
      <c r="P174" s="83"/>
      <c r="Q174" s="83"/>
      <c r="R174" s="42"/>
      <c r="S174" s="87"/>
      <c r="T174" s="83"/>
      <c r="U174" s="83"/>
      <c r="V174" s="61" t="str">
        <f>IFERROR(IF(T174="Ativo","Ativo",IF(T174="SKU excluído","Vencido",VLOOKUP(B174,Encerramentos!A:F,6,0))),"")</f>
        <v/>
      </c>
      <c r="W174" s="42"/>
      <c r="X174" s="42"/>
      <c r="Y174" s="42"/>
      <c r="Z174" s="42"/>
      <c r="AA174" s="42"/>
      <c r="AB174" s="42"/>
      <c r="AC174" s="42"/>
      <c r="AD174" s="42"/>
      <c r="AE174" s="42"/>
    </row>
    <row r="175">
      <c r="A175" s="95"/>
      <c r="B175" s="95"/>
      <c r="C175" s="54"/>
      <c r="D175" s="83"/>
      <c r="E175" s="96"/>
      <c r="F175" s="42"/>
      <c r="G175" s="97"/>
      <c r="H175" s="96"/>
      <c r="I175" s="96"/>
      <c r="J175" s="96"/>
      <c r="K175" s="99"/>
      <c r="L175" s="96"/>
      <c r="M175" s="96"/>
      <c r="N175" s="42"/>
      <c r="O175" s="42"/>
      <c r="P175" s="83"/>
      <c r="Q175" s="83"/>
      <c r="R175" s="42"/>
      <c r="S175" s="87"/>
      <c r="T175" s="83"/>
      <c r="U175" s="83"/>
      <c r="V175" s="61" t="str">
        <f>IFERROR(IF(T175="Ativo","Ativo",IF(T175="SKU excluído","Vencido",VLOOKUP(B175,Encerramentos!A:F,6,0))),"")</f>
        <v/>
      </c>
      <c r="W175" s="42"/>
      <c r="X175" s="42"/>
      <c r="Y175" s="42"/>
      <c r="Z175" s="42"/>
      <c r="AA175" s="42"/>
      <c r="AB175" s="42"/>
      <c r="AC175" s="42"/>
      <c r="AD175" s="42"/>
      <c r="AE175" s="42"/>
    </row>
    <row r="176">
      <c r="A176" s="95"/>
      <c r="B176" s="95"/>
      <c r="C176" s="54"/>
      <c r="D176" s="83"/>
      <c r="E176" s="96"/>
      <c r="F176" s="42"/>
      <c r="G176" s="97"/>
      <c r="H176" s="96"/>
      <c r="I176" s="96"/>
      <c r="J176" s="96"/>
      <c r="K176" s="99"/>
      <c r="L176" s="96"/>
      <c r="M176" s="96"/>
      <c r="N176" s="42"/>
      <c r="O176" s="42"/>
      <c r="P176" s="83"/>
      <c r="Q176" s="83"/>
      <c r="R176" s="42"/>
      <c r="S176" s="87"/>
      <c r="T176" s="83"/>
      <c r="U176" s="83"/>
      <c r="V176" s="61" t="str">
        <f>IFERROR(IF(T176="Ativo","Ativo",IF(T176="SKU excluído","Vencido",VLOOKUP(B176,Encerramentos!A:F,6,0))),"")</f>
        <v/>
      </c>
      <c r="W176" s="42"/>
      <c r="X176" s="42"/>
      <c r="Y176" s="42"/>
      <c r="Z176" s="42"/>
      <c r="AA176" s="42"/>
      <c r="AB176" s="42"/>
      <c r="AC176" s="42"/>
      <c r="AD176" s="42"/>
      <c r="AE176" s="42"/>
    </row>
    <row r="177">
      <c r="A177" s="95"/>
      <c r="B177" s="95"/>
      <c r="C177" s="54"/>
      <c r="D177" s="83"/>
      <c r="E177" s="96"/>
      <c r="F177" s="42"/>
      <c r="G177" s="97"/>
      <c r="H177" s="96"/>
      <c r="I177" s="96"/>
      <c r="J177" s="96"/>
      <c r="K177" s="99"/>
      <c r="L177" s="96"/>
      <c r="M177" s="96"/>
      <c r="N177" s="42"/>
      <c r="O177" s="42"/>
      <c r="P177" s="83"/>
      <c r="Q177" s="83"/>
      <c r="R177" s="42"/>
      <c r="S177" s="87"/>
      <c r="T177" s="83"/>
      <c r="U177" s="83"/>
      <c r="V177" s="61" t="str">
        <f>IFERROR(IF(T177="Ativo","Ativo",IF(T177="SKU excluído","Vencido",VLOOKUP(B177,Encerramentos!A:F,6,0))),"")</f>
        <v/>
      </c>
      <c r="W177" s="42"/>
      <c r="X177" s="42"/>
      <c r="Y177" s="42"/>
      <c r="Z177" s="42"/>
      <c r="AA177" s="42"/>
      <c r="AB177" s="42"/>
      <c r="AC177" s="42"/>
      <c r="AD177" s="42"/>
      <c r="AE177" s="42"/>
    </row>
    <row r="178">
      <c r="A178" s="95"/>
      <c r="B178" s="95"/>
      <c r="C178" s="54"/>
      <c r="D178" s="83"/>
      <c r="E178" s="96"/>
      <c r="F178" s="42"/>
      <c r="G178" s="97"/>
      <c r="H178" s="96"/>
      <c r="I178" s="96"/>
      <c r="J178" s="96"/>
      <c r="K178" s="99"/>
      <c r="L178" s="96"/>
      <c r="M178" s="96"/>
      <c r="N178" s="42"/>
      <c r="O178" s="42"/>
      <c r="P178" s="83"/>
      <c r="Q178" s="83"/>
      <c r="R178" s="42"/>
      <c r="S178" s="87"/>
      <c r="T178" s="83"/>
      <c r="U178" s="83"/>
      <c r="V178" s="61" t="str">
        <f>IFERROR(IF(T178="Ativo","Ativo",IF(T178="SKU excluído","Vencido",VLOOKUP(B178,Encerramentos!A:F,6,0))),"")</f>
        <v/>
      </c>
      <c r="W178" s="42"/>
      <c r="X178" s="42"/>
      <c r="Y178" s="42"/>
      <c r="Z178" s="42"/>
      <c r="AA178" s="42"/>
      <c r="AB178" s="42"/>
      <c r="AC178" s="42"/>
      <c r="AD178" s="42"/>
      <c r="AE178" s="42"/>
    </row>
    <row r="179">
      <c r="A179" s="95"/>
      <c r="B179" s="95"/>
      <c r="C179" s="54"/>
      <c r="D179" s="83"/>
      <c r="E179" s="96"/>
      <c r="F179" s="42"/>
      <c r="G179" s="97"/>
      <c r="H179" s="96"/>
      <c r="I179" s="96"/>
      <c r="J179" s="96"/>
      <c r="K179" s="99"/>
      <c r="L179" s="96"/>
      <c r="M179" s="96"/>
      <c r="N179" s="42"/>
      <c r="O179" s="42"/>
      <c r="P179" s="83"/>
      <c r="Q179" s="83"/>
      <c r="R179" s="42"/>
      <c r="S179" s="87"/>
      <c r="T179" s="83"/>
      <c r="U179" s="83"/>
      <c r="V179" s="61" t="str">
        <f>IFERROR(IF(T179="Ativo","Ativo",IF(T179="SKU excluído","Vencido",VLOOKUP(B179,Encerramentos!A:F,6,0))),"")</f>
        <v/>
      </c>
      <c r="W179" s="42"/>
      <c r="X179" s="42"/>
      <c r="Y179" s="42"/>
      <c r="Z179" s="42"/>
      <c r="AA179" s="42"/>
      <c r="AB179" s="42"/>
      <c r="AC179" s="42"/>
      <c r="AD179" s="42"/>
      <c r="AE179" s="42"/>
    </row>
    <row r="180">
      <c r="A180" s="95"/>
      <c r="B180" s="95"/>
      <c r="C180" s="54"/>
      <c r="D180" s="83"/>
      <c r="E180" s="96"/>
      <c r="F180" s="42"/>
      <c r="G180" s="97"/>
      <c r="H180" s="96"/>
      <c r="I180" s="96"/>
      <c r="J180" s="96"/>
      <c r="K180" s="99"/>
      <c r="L180" s="96"/>
      <c r="M180" s="96"/>
      <c r="N180" s="42"/>
      <c r="O180" s="42"/>
      <c r="P180" s="83"/>
      <c r="Q180" s="83"/>
      <c r="R180" s="42"/>
      <c r="S180" s="87"/>
      <c r="T180" s="83"/>
      <c r="U180" s="83"/>
      <c r="V180" s="61" t="str">
        <f>IFERROR(IF(T180="Ativo","Ativo",IF(T180="SKU excluído","Vencido",VLOOKUP(B180,Encerramentos!A:F,6,0))),"")</f>
        <v/>
      </c>
      <c r="W180" s="42"/>
      <c r="X180" s="42"/>
      <c r="Y180" s="42"/>
      <c r="Z180" s="42"/>
      <c r="AA180" s="42"/>
      <c r="AB180" s="42"/>
      <c r="AC180" s="42"/>
      <c r="AD180" s="42"/>
      <c r="AE180" s="42"/>
    </row>
    <row r="181">
      <c r="A181" s="95"/>
      <c r="B181" s="95"/>
      <c r="C181" s="54"/>
      <c r="D181" s="83"/>
      <c r="E181" s="96"/>
      <c r="F181" s="42"/>
      <c r="G181" s="97"/>
      <c r="H181" s="96"/>
      <c r="I181" s="96"/>
      <c r="J181" s="96"/>
      <c r="K181" s="99"/>
      <c r="L181" s="96"/>
      <c r="M181" s="96"/>
      <c r="N181" s="42"/>
      <c r="O181" s="42"/>
      <c r="P181" s="83"/>
      <c r="Q181" s="83"/>
      <c r="R181" s="42"/>
      <c r="S181" s="87"/>
      <c r="T181" s="83"/>
      <c r="U181" s="83"/>
      <c r="V181" s="61" t="str">
        <f>IFERROR(IF(T181="Ativo","Ativo",IF(T181="SKU excluído","Vencido",VLOOKUP(B181,Encerramentos!A:F,6,0))),"")</f>
        <v/>
      </c>
      <c r="W181" s="42"/>
      <c r="X181" s="42"/>
      <c r="Y181" s="42"/>
      <c r="Z181" s="42"/>
      <c r="AA181" s="42"/>
      <c r="AB181" s="42"/>
      <c r="AC181" s="42"/>
      <c r="AD181" s="42"/>
      <c r="AE181" s="42"/>
    </row>
    <row r="182">
      <c r="A182" s="95"/>
      <c r="B182" s="95"/>
      <c r="C182" s="54"/>
      <c r="D182" s="83"/>
      <c r="E182" s="96"/>
      <c r="F182" s="42"/>
      <c r="G182" s="97"/>
      <c r="H182" s="96"/>
      <c r="I182" s="96"/>
      <c r="J182" s="96"/>
      <c r="K182" s="99"/>
      <c r="L182" s="96"/>
      <c r="M182" s="96"/>
      <c r="N182" s="42"/>
      <c r="O182" s="42"/>
      <c r="P182" s="83"/>
      <c r="Q182" s="83"/>
      <c r="R182" s="42"/>
      <c r="S182" s="87"/>
      <c r="T182" s="83"/>
      <c r="U182" s="83"/>
      <c r="V182" s="61" t="str">
        <f>IFERROR(IF(T182="Ativo","Ativo",IF(T182="SKU excluído","Vencido",VLOOKUP(B182,Encerramentos!A:F,6,0))),"")</f>
        <v/>
      </c>
      <c r="W182" s="42"/>
      <c r="X182" s="42"/>
      <c r="Y182" s="42"/>
      <c r="Z182" s="42"/>
      <c r="AA182" s="42"/>
      <c r="AB182" s="42"/>
      <c r="AC182" s="42"/>
      <c r="AD182" s="42"/>
      <c r="AE182" s="42"/>
    </row>
    <row r="183">
      <c r="A183" s="95"/>
      <c r="B183" s="95"/>
      <c r="C183" s="54"/>
      <c r="D183" s="83"/>
      <c r="E183" s="96"/>
      <c r="F183" s="42"/>
      <c r="G183" s="97"/>
      <c r="H183" s="96"/>
      <c r="I183" s="96"/>
      <c r="J183" s="96"/>
      <c r="K183" s="99"/>
      <c r="L183" s="96"/>
      <c r="M183" s="96"/>
      <c r="N183" s="42"/>
      <c r="O183" s="42"/>
      <c r="P183" s="83"/>
      <c r="Q183" s="83"/>
      <c r="R183" s="42"/>
      <c r="S183" s="87"/>
      <c r="T183" s="83"/>
      <c r="U183" s="83"/>
      <c r="V183" s="61" t="str">
        <f>IFERROR(IF(T183="Ativo","Ativo",IF(T183="SKU excluído","Vencido",VLOOKUP(B183,Encerramentos!A:F,6,0))),"")</f>
        <v/>
      </c>
      <c r="W183" s="42"/>
      <c r="X183" s="42"/>
      <c r="Y183" s="42"/>
      <c r="Z183" s="42"/>
      <c r="AA183" s="42"/>
      <c r="AB183" s="42"/>
      <c r="AC183" s="42"/>
      <c r="AD183" s="42"/>
      <c r="AE183" s="42"/>
    </row>
    <row r="184">
      <c r="A184" s="95"/>
      <c r="B184" s="95"/>
      <c r="C184" s="54"/>
      <c r="D184" s="83"/>
      <c r="E184" s="96"/>
      <c r="F184" s="42"/>
      <c r="G184" s="97"/>
      <c r="H184" s="96"/>
      <c r="I184" s="96"/>
      <c r="J184" s="96"/>
      <c r="K184" s="99"/>
      <c r="L184" s="96"/>
      <c r="M184" s="96"/>
      <c r="N184" s="42"/>
      <c r="O184" s="42"/>
      <c r="P184" s="83"/>
      <c r="Q184" s="83"/>
      <c r="R184" s="42"/>
      <c r="S184" s="87"/>
      <c r="T184" s="83"/>
      <c r="U184" s="83"/>
      <c r="V184" s="61" t="str">
        <f>IFERROR(IF(T184="Ativo","Ativo",IF(T184="SKU excluído","Vencido",VLOOKUP(B184,Encerramentos!A:F,6,0))),"")</f>
        <v/>
      </c>
      <c r="W184" s="42"/>
      <c r="X184" s="42"/>
      <c r="Y184" s="42"/>
      <c r="Z184" s="42"/>
      <c r="AA184" s="42"/>
      <c r="AB184" s="42"/>
      <c r="AC184" s="42"/>
      <c r="AD184" s="42"/>
      <c r="AE184" s="42"/>
    </row>
    <row r="185">
      <c r="A185" s="95"/>
      <c r="B185" s="95"/>
      <c r="C185" s="54"/>
      <c r="D185" s="83"/>
      <c r="E185" s="96"/>
      <c r="F185" s="42"/>
      <c r="G185" s="97"/>
      <c r="H185" s="96"/>
      <c r="I185" s="96"/>
      <c r="J185" s="96"/>
      <c r="K185" s="99"/>
      <c r="L185" s="96"/>
      <c r="M185" s="96"/>
      <c r="N185" s="42"/>
      <c r="O185" s="42"/>
      <c r="P185" s="83"/>
      <c r="Q185" s="83"/>
      <c r="R185" s="42"/>
      <c r="S185" s="87"/>
      <c r="T185" s="83"/>
      <c r="U185" s="83"/>
      <c r="V185" s="61" t="str">
        <f>IFERROR(IF(T185="Ativo","Ativo",IF(T185="SKU excluído","Vencido",VLOOKUP(B185,Encerramentos!A:F,6,0))),"")</f>
        <v/>
      </c>
      <c r="W185" s="42"/>
      <c r="X185" s="42"/>
      <c r="Y185" s="42"/>
      <c r="Z185" s="42"/>
      <c r="AA185" s="42"/>
      <c r="AB185" s="42"/>
      <c r="AC185" s="42"/>
      <c r="AD185" s="42"/>
      <c r="AE185" s="42"/>
    </row>
    <row r="186">
      <c r="A186" s="95"/>
      <c r="B186" s="95"/>
      <c r="C186" s="54"/>
      <c r="D186" s="83"/>
      <c r="E186" s="96"/>
      <c r="F186" s="42"/>
      <c r="G186" s="97"/>
      <c r="H186" s="96"/>
      <c r="I186" s="96"/>
      <c r="J186" s="96"/>
      <c r="K186" s="99"/>
      <c r="L186" s="96"/>
      <c r="M186" s="96"/>
      <c r="N186" s="42"/>
      <c r="O186" s="42"/>
      <c r="P186" s="83"/>
      <c r="Q186" s="83"/>
      <c r="R186" s="42"/>
      <c r="S186" s="87"/>
      <c r="T186" s="83"/>
      <c r="U186" s="83"/>
      <c r="V186" s="61" t="str">
        <f>IFERROR(IF(T186="Ativo","Ativo",IF(T186="SKU excluído","Vencido",VLOOKUP(B186,Encerramentos!A:F,6,0))),"")</f>
        <v/>
      </c>
      <c r="W186" s="42"/>
      <c r="X186" s="42"/>
      <c r="Y186" s="42"/>
      <c r="Z186" s="42"/>
      <c r="AA186" s="42"/>
      <c r="AB186" s="42"/>
      <c r="AC186" s="42"/>
      <c r="AD186" s="42"/>
      <c r="AE186" s="42"/>
    </row>
    <row r="187">
      <c r="A187" s="95"/>
      <c r="B187" s="95"/>
      <c r="C187" s="54"/>
      <c r="D187" s="83"/>
      <c r="E187" s="96"/>
      <c r="F187" s="42"/>
      <c r="G187" s="97"/>
      <c r="H187" s="96"/>
      <c r="I187" s="96"/>
      <c r="J187" s="96"/>
      <c r="K187" s="99"/>
      <c r="L187" s="96"/>
      <c r="M187" s="96"/>
      <c r="N187" s="42"/>
      <c r="O187" s="42"/>
      <c r="P187" s="83"/>
      <c r="Q187" s="83"/>
      <c r="R187" s="42"/>
      <c r="S187" s="87"/>
      <c r="T187" s="83"/>
      <c r="U187" s="83"/>
      <c r="V187" s="61" t="str">
        <f>IFERROR(IF(T187="Ativo","Ativo",IF(T187="SKU excluído","Vencido",VLOOKUP(B187,Encerramentos!A:F,6,0))),"")</f>
        <v/>
      </c>
      <c r="W187" s="42"/>
      <c r="X187" s="42"/>
      <c r="Y187" s="42"/>
      <c r="Z187" s="42"/>
      <c r="AA187" s="42"/>
      <c r="AB187" s="42"/>
      <c r="AC187" s="42"/>
      <c r="AD187" s="42"/>
      <c r="AE187" s="42"/>
    </row>
    <row r="188">
      <c r="A188" s="95"/>
      <c r="B188" s="95"/>
      <c r="C188" s="54"/>
      <c r="D188" s="83"/>
      <c r="E188" s="96"/>
      <c r="F188" s="42"/>
      <c r="G188" s="97"/>
      <c r="H188" s="96"/>
      <c r="I188" s="96"/>
      <c r="J188" s="96"/>
      <c r="K188" s="99"/>
      <c r="L188" s="96"/>
      <c r="M188" s="96"/>
      <c r="N188" s="42"/>
      <c r="O188" s="42"/>
      <c r="P188" s="83"/>
      <c r="Q188" s="83"/>
      <c r="R188" s="42"/>
      <c r="S188" s="87"/>
      <c r="T188" s="83"/>
      <c r="U188" s="83"/>
      <c r="V188" s="61" t="str">
        <f>IFERROR(IF(T188="Ativo","Ativo",IF(T188="SKU excluído","Vencido",VLOOKUP(B188,Encerramentos!A:F,6,0))),"")</f>
        <v/>
      </c>
      <c r="W188" s="42"/>
      <c r="X188" s="42"/>
      <c r="Y188" s="42"/>
      <c r="Z188" s="42"/>
      <c r="AA188" s="42"/>
      <c r="AB188" s="42"/>
      <c r="AC188" s="42"/>
      <c r="AD188" s="42"/>
      <c r="AE188" s="42"/>
    </row>
    <row r="189">
      <c r="A189" s="95"/>
      <c r="B189" s="95"/>
      <c r="C189" s="54"/>
      <c r="D189" s="83"/>
      <c r="E189" s="96"/>
      <c r="F189" s="42"/>
      <c r="G189" s="97"/>
      <c r="H189" s="96"/>
      <c r="I189" s="96"/>
      <c r="J189" s="96"/>
      <c r="K189" s="99"/>
      <c r="L189" s="96"/>
      <c r="M189" s="96"/>
      <c r="N189" s="42"/>
      <c r="O189" s="42"/>
      <c r="P189" s="83"/>
      <c r="Q189" s="83"/>
      <c r="R189" s="42"/>
      <c r="S189" s="87"/>
      <c r="T189" s="83"/>
      <c r="U189" s="83"/>
      <c r="V189" s="61" t="str">
        <f>IFERROR(IF(T189="Ativo","Ativo",IF(T189="SKU excluído","Vencido",VLOOKUP(B189,Encerramentos!A:F,6,0))),"")</f>
        <v/>
      </c>
      <c r="W189" s="42"/>
      <c r="X189" s="42"/>
      <c r="Y189" s="42"/>
      <c r="Z189" s="42"/>
      <c r="AA189" s="42"/>
      <c r="AB189" s="42"/>
      <c r="AC189" s="42"/>
      <c r="AD189" s="42"/>
      <c r="AE189" s="42"/>
    </row>
    <row r="190">
      <c r="A190" s="95"/>
      <c r="B190" s="95"/>
      <c r="C190" s="54"/>
      <c r="D190" s="83"/>
      <c r="E190" s="96"/>
      <c r="F190" s="42"/>
      <c r="G190" s="97"/>
      <c r="H190" s="96"/>
      <c r="I190" s="96"/>
      <c r="J190" s="96"/>
      <c r="K190" s="99"/>
      <c r="L190" s="96"/>
      <c r="M190" s="96"/>
      <c r="N190" s="42"/>
      <c r="O190" s="42"/>
      <c r="P190" s="83"/>
      <c r="Q190" s="83"/>
      <c r="R190" s="42"/>
      <c r="S190" s="87"/>
      <c r="T190" s="83"/>
      <c r="U190" s="83"/>
      <c r="V190" s="61" t="str">
        <f>IFERROR(IF(T190="Ativo","Ativo",IF(T190="SKU excluído","Vencido",VLOOKUP(B190,Encerramentos!A:F,6,0))),"")</f>
        <v/>
      </c>
      <c r="W190" s="42"/>
      <c r="X190" s="42"/>
      <c r="Y190" s="42"/>
      <c r="Z190" s="42"/>
      <c r="AA190" s="42"/>
      <c r="AB190" s="42"/>
      <c r="AC190" s="42"/>
      <c r="AD190" s="42"/>
      <c r="AE190" s="42"/>
    </row>
    <row r="191">
      <c r="A191" s="95"/>
      <c r="B191" s="95"/>
      <c r="C191" s="54"/>
      <c r="D191" s="83"/>
      <c r="E191" s="96"/>
      <c r="F191" s="42"/>
      <c r="G191" s="97"/>
      <c r="H191" s="96"/>
      <c r="I191" s="96"/>
      <c r="J191" s="96"/>
      <c r="K191" s="99"/>
      <c r="L191" s="96"/>
      <c r="M191" s="96"/>
      <c r="N191" s="42"/>
      <c r="O191" s="42"/>
      <c r="P191" s="83"/>
      <c r="Q191" s="83"/>
      <c r="R191" s="42"/>
      <c r="S191" s="87"/>
      <c r="T191" s="83"/>
      <c r="U191" s="83"/>
      <c r="V191" s="61" t="str">
        <f>IFERROR(IF(T191="Ativo","Ativo",IF(T191="SKU excluído","Vencido",VLOOKUP(B191,Encerramentos!A:F,6,0))),"")</f>
        <v/>
      </c>
      <c r="W191" s="42"/>
      <c r="X191" s="42"/>
      <c r="Y191" s="42"/>
      <c r="Z191" s="42"/>
      <c r="AA191" s="42"/>
      <c r="AB191" s="42"/>
      <c r="AC191" s="42"/>
      <c r="AD191" s="42"/>
      <c r="AE191" s="42"/>
    </row>
    <row r="192">
      <c r="A192" s="95"/>
      <c r="B192" s="95"/>
      <c r="C192" s="54"/>
      <c r="D192" s="83"/>
      <c r="E192" s="96"/>
      <c r="F192" s="42"/>
      <c r="G192" s="97"/>
      <c r="H192" s="96"/>
      <c r="I192" s="96"/>
      <c r="J192" s="96"/>
      <c r="K192" s="99"/>
      <c r="L192" s="96"/>
      <c r="M192" s="96"/>
      <c r="N192" s="42"/>
      <c r="O192" s="42"/>
      <c r="P192" s="83"/>
      <c r="Q192" s="83"/>
      <c r="R192" s="42"/>
      <c r="S192" s="87"/>
      <c r="T192" s="83"/>
      <c r="U192" s="83"/>
      <c r="V192" s="61" t="str">
        <f>IFERROR(IF(T192="Ativo","Ativo",IF(T192="SKU excluído","Vencido",VLOOKUP(B192,Encerramentos!A:F,6,0))),"")</f>
        <v/>
      </c>
      <c r="W192" s="42"/>
      <c r="X192" s="42"/>
      <c r="Y192" s="42"/>
      <c r="Z192" s="42"/>
      <c r="AA192" s="42"/>
      <c r="AB192" s="42"/>
      <c r="AC192" s="42"/>
      <c r="AD192" s="42"/>
      <c r="AE192" s="42"/>
    </row>
    <row r="193">
      <c r="A193" s="95"/>
      <c r="B193" s="95"/>
      <c r="C193" s="54"/>
      <c r="D193" s="83"/>
      <c r="E193" s="96"/>
      <c r="F193" s="42"/>
      <c r="G193" s="97"/>
      <c r="H193" s="96"/>
      <c r="I193" s="96"/>
      <c r="J193" s="96"/>
      <c r="K193" s="99"/>
      <c r="L193" s="96"/>
      <c r="M193" s="96"/>
      <c r="N193" s="42"/>
      <c r="O193" s="42"/>
      <c r="P193" s="83"/>
      <c r="Q193" s="83"/>
      <c r="R193" s="42"/>
      <c r="S193" s="87"/>
      <c r="T193" s="83"/>
      <c r="U193" s="83"/>
      <c r="V193" s="61" t="str">
        <f>IFERROR(IF(T193="Ativo","Ativo",IF(T193="SKU excluído","Vencido",VLOOKUP(B193,Encerramentos!A:F,6,0))),"")</f>
        <v/>
      </c>
      <c r="W193" s="42"/>
      <c r="X193" s="42"/>
      <c r="Y193" s="42"/>
      <c r="Z193" s="42"/>
      <c r="AA193" s="42"/>
      <c r="AB193" s="42"/>
      <c r="AC193" s="42"/>
      <c r="AD193" s="42"/>
      <c r="AE193" s="42"/>
    </row>
    <row r="194">
      <c r="A194" s="95"/>
      <c r="B194" s="95"/>
      <c r="C194" s="54"/>
      <c r="D194" s="83"/>
      <c r="E194" s="96"/>
      <c r="F194" s="42"/>
      <c r="G194" s="97"/>
      <c r="H194" s="96"/>
      <c r="I194" s="96"/>
      <c r="J194" s="96"/>
      <c r="K194" s="99"/>
      <c r="L194" s="96"/>
      <c r="M194" s="96"/>
      <c r="N194" s="42"/>
      <c r="O194" s="42"/>
      <c r="P194" s="83"/>
      <c r="Q194" s="83"/>
      <c r="R194" s="42"/>
      <c r="S194" s="87"/>
      <c r="T194" s="83"/>
      <c r="U194" s="83"/>
      <c r="V194" s="61" t="str">
        <f>IFERROR(IF(T194="Ativo","Ativo",IF(T194="SKU excluído","Vencido",VLOOKUP(B194,Encerramentos!A:F,6,0))),"")</f>
        <v/>
      </c>
      <c r="W194" s="42"/>
      <c r="X194" s="42"/>
      <c r="Y194" s="42"/>
      <c r="Z194" s="42"/>
      <c r="AA194" s="42"/>
      <c r="AB194" s="42"/>
      <c r="AC194" s="42"/>
      <c r="AD194" s="42"/>
      <c r="AE194" s="42"/>
    </row>
    <row r="195">
      <c r="A195" s="95"/>
      <c r="B195" s="95"/>
      <c r="C195" s="54"/>
      <c r="D195" s="83"/>
      <c r="E195" s="96"/>
      <c r="F195" s="42"/>
      <c r="G195" s="97"/>
      <c r="H195" s="96"/>
      <c r="I195" s="96"/>
      <c r="J195" s="96"/>
      <c r="K195" s="99"/>
      <c r="L195" s="96"/>
      <c r="M195" s="96"/>
      <c r="N195" s="42"/>
      <c r="O195" s="42"/>
      <c r="P195" s="83"/>
      <c r="Q195" s="83"/>
      <c r="R195" s="42"/>
      <c r="S195" s="87"/>
      <c r="T195" s="83"/>
      <c r="U195" s="83"/>
      <c r="V195" s="61" t="str">
        <f>IFERROR(IF(T195="Ativo","Ativo",IF(T195="SKU excluído","Vencido",VLOOKUP(B195,Encerramentos!A:F,6,0))),"")</f>
        <v/>
      </c>
      <c r="W195" s="42"/>
      <c r="X195" s="42"/>
      <c r="Y195" s="42"/>
      <c r="Z195" s="42"/>
      <c r="AA195" s="42"/>
      <c r="AB195" s="42"/>
      <c r="AC195" s="42"/>
      <c r="AD195" s="42"/>
      <c r="AE195" s="42"/>
    </row>
    <row r="196">
      <c r="A196" s="95"/>
      <c r="B196" s="95"/>
      <c r="C196" s="54"/>
      <c r="D196" s="83"/>
      <c r="E196" s="96"/>
      <c r="F196" s="42"/>
      <c r="G196" s="97"/>
      <c r="H196" s="96"/>
      <c r="I196" s="96"/>
      <c r="J196" s="96"/>
      <c r="K196" s="99"/>
      <c r="L196" s="96"/>
      <c r="M196" s="96"/>
      <c r="N196" s="42"/>
      <c r="O196" s="42"/>
      <c r="P196" s="83"/>
      <c r="Q196" s="83"/>
      <c r="R196" s="42"/>
      <c r="S196" s="87"/>
      <c r="T196" s="83"/>
      <c r="U196" s="83"/>
      <c r="V196" s="61" t="str">
        <f>IFERROR(IF(T196="Ativo","Ativo",IF(T196="SKU excluído","Vencido",VLOOKUP(B196,Encerramentos!A:F,6,0))),"")</f>
        <v/>
      </c>
      <c r="W196" s="42"/>
      <c r="X196" s="42"/>
      <c r="Y196" s="42"/>
      <c r="Z196" s="42"/>
      <c r="AA196" s="42"/>
      <c r="AB196" s="42"/>
      <c r="AC196" s="42"/>
      <c r="AD196" s="42"/>
      <c r="AE196" s="42"/>
    </row>
    <row r="197">
      <c r="A197" s="95"/>
      <c r="B197" s="95"/>
      <c r="C197" s="54"/>
      <c r="D197" s="83"/>
      <c r="E197" s="96"/>
      <c r="F197" s="42"/>
      <c r="G197" s="97"/>
      <c r="H197" s="96"/>
      <c r="I197" s="96"/>
      <c r="J197" s="96"/>
      <c r="K197" s="99"/>
      <c r="L197" s="96"/>
      <c r="M197" s="96"/>
      <c r="N197" s="42"/>
      <c r="O197" s="42"/>
      <c r="P197" s="83"/>
      <c r="Q197" s="83"/>
      <c r="R197" s="42"/>
      <c r="S197" s="87"/>
      <c r="T197" s="83"/>
      <c r="U197" s="83"/>
      <c r="V197" s="61" t="str">
        <f>IFERROR(IF(T197="Ativo","Ativo",IF(T197="SKU excluído","Vencido",VLOOKUP(B197,Encerramentos!A:F,6,0))),"")</f>
        <v/>
      </c>
      <c r="W197" s="42"/>
      <c r="X197" s="42"/>
      <c r="Y197" s="42"/>
      <c r="Z197" s="42"/>
      <c r="AA197" s="42"/>
      <c r="AB197" s="42"/>
      <c r="AC197" s="42"/>
      <c r="AD197" s="42"/>
      <c r="AE197" s="42"/>
    </row>
    <row r="198">
      <c r="A198" s="95"/>
      <c r="B198" s="95"/>
      <c r="C198" s="54"/>
      <c r="D198" s="83"/>
      <c r="E198" s="96"/>
      <c r="F198" s="42"/>
      <c r="G198" s="97"/>
      <c r="H198" s="96"/>
      <c r="I198" s="96"/>
      <c r="J198" s="96"/>
      <c r="K198" s="99"/>
      <c r="L198" s="96"/>
      <c r="M198" s="96"/>
      <c r="N198" s="42"/>
      <c r="O198" s="42"/>
      <c r="P198" s="83"/>
      <c r="Q198" s="83"/>
      <c r="R198" s="42"/>
      <c r="S198" s="87"/>
      <c r="T198" s="83"/>
      <c r="U198" s="83"/>
      <c r="V198" s="61" t="str">
        <f>IFERROR(IF(T198="Ativo","Ativo",IF(T198="SKU excluído","Vencido",VLOOKUP(B198,Encerramentos!A:F,6,0))),"")</f>
        <v/>
      </c>
      <c r="W198" s="42"/>
      <c r="X198" s="42"/>
      <c r="Y198" s="42"/>
      <c r="Z198" s="42"/>
      <c r="AA198" s="42"/>
      <c r="AB198" s="42"/>
      <c r="AC198" s="42"/>
      <c r="AD198" s="42"/>
      <c r="AE198" s="42"/>
    </row>
    <row r="199">
      <c r="A199" s="95"/>
      <c r="B199" s="95"/>
      <c r="C199" s="54"/>
      <c r="D199" s="83"/>
      <c r="E199" s="96"/>
      <c r="F199" s="42"/>
      <c r="G199" s="97"/>
      <c r="H199" s="96"/>
      <c r="I199" s="96"/>
      <c r="J199" s="96"/>
      <c r="K199" s="99"/>
      <c r="L199" s="96"/>
      <c r="M199" s="96"/>
      <c r="N199" s="42"/>
      <c r="O199" s="42"/>
      <c r="P199" s="83"/>
      <c r="Q199" s="83"/>
      <c r="R199" s="42"/>
      <c r="S199" s="87"/>
      <c r="T199" s="83"/>
      <c r="U199" s="83"/>
      <c r="V199" s="61" t="str">
        <f>IFERROR(IF(T199="Ativo","Ativo",IF(T199="SKU excluído","Vencido",VLOOKUP(B199,Encerramentos!A:F,6,0))),"")</f>
        <v/>
      </c>
      <c r="W199" s="42"/>
      <c r="X199" s="42"/>
      <c r="Y199" s="42"/>
      <c r="Z199" s="42"/>
      <c r="AA199" s="42"/>
      <c r="AB199" s="42"/>
      <c r="AC199" s="42"/>
      <c r="AD199" s="42"/>
      <c r="AE199" s="42"/>
    </row>
    <row r="200">
      <c r="A200" s="95"/>
      <c r="B200" s="95"/>
      <c r="C200" s="54"/>
      <c r="D200" s="83"/>
      <c r="E200" s="96"/>
      <c r="F200" s="42"/>
      <c r="G200" s="97"/>
      <c r="H200" s="96"/>
      <c r="I200" s="96"/>
      <c r="J200" s="96"/>
      <c r="K200" s="99"/>
      <c r="L200" s="96"/>
      <c r="M200" s="96"/>
      <c r="N200" s="42"/>
      <c r="O200" s="42"/>
      <c r="P200" s="83"/>
      <c r="Q200" s="83"/>
      <c r="R200" s="42"/>
      <c r="S200" s="87"/>
      <c r="T200" s="83"/>
      <c r="U200" s="83"/>
      <c r="V200" s="61" t="str">
        <f>IFERROR(IF(T200="Ativo","Ativo",IF(T200="SKU excluído","Vencido",VLOOKUP(B200,Encerramentos!A:F,6,0))),"")</f>
        <v/>
      </c>
      <c r="W200" s="42"/>
      <c r="X200" s="42"/>
      <c r="Y200" s="42"/>
      <c r="Z200" s="42"/>
      <c r="AA200" s="42"/>
      <c r="AB200" s="42"/>
      <c r="AC200" s="42"/>
      <c r="AD200" s="42"/>
      <c r="AE200" s="42"/>
    </row>
    <row r="201">
      <c r="A201" s="95"/>
      <c r="B201" s="95"/>
      <c r="C201" s="54"/>
      <c r="D201" s="83"/>
      <c r="E201" s="96"/>
      <c r="F201" s="42"/>
      <c r="G201" s="97"/>
      <c r="H201" s="96"/>
      <c r="I201" s="96"/>
      <c r="J201" s="96"/>
      <c r="K201" s="99"/>
      <c r="L201" s="96"/>
      <c r="M201" s="96"/>
      <c r="N201" s="42"/>
      <c r="O201" s="42"/>
      <c r="P201" s="83"/>
      <c r="Q201" s="83"/>
      <c r="R201" s="42"/>
      <c r="S201" s="87"/>
      <c r="T201" s="83"/>
      <c r="U201" s="83"/>
      <c r="V201" s="61" t="str">
        <f>IFERROR(IF(T201="Ativo","Ativo",IF(T201="SKU excluído","Vencido",VLOOKUP(B201,Encerramentos!A:F,6,0))),"")</f>
        <v/>
      </c>
      <c r="W201" s="42"/>
      <c r="X201" s="42"/>
      <c r="Y201" s="42"/>
      <c r="Z201" s="42"/>
      <c r="AA201" s="42"/>
      <c r="AB201" s="42"/>
      <c r="AC201" s="42"/>
      <c r="AD201" s="42"/>
      <c r="AE201" s="42"/>
    </row>
    <row r="202">
      <c r="A202" s="95"/>
      <c r="B202" s="95"/>
      <c r="C202" s="54"/>
      <c r="D202" s="83"/>
      <c r="E202" s="96"/>
      <c r="F202" s="42"/>
      <c r="G202" s="97"/>
      <c r="H202" s="96"/>
      <c r="I202" s="96"/>
      <c r="J202" s="96"/>
      <c r="K202" s="99"/>
      <c r="L202" s="96"/>
      <c r="M202" s="96"/>
      <c r="N202" s="42"/>
      <c r="O202" s="42"/>
      <c r="P202" s="83"/>
      <c r="Q202" s="83"/>
      <c r="R202" s="42"/>
      <c r="S202" s="87"/>
      <c r="T202" s="83"/>
      <c r="U202" s="83"/>
      <c r="V202" s="61" t="str">
        <f>IFERROR(IF(T202="Ativo","Ativo",IF(T202="SKU excluído","Vencido",VLOOKUP(B202,Encerramentos!A:F,6,0))),"")</f>
        <v/>
      </c>
      <c r="W202" s="42"/>
      <c r="X202" s="42"/>
      <c r="Y202" s="42"/>
      <c r="Z202" s="42"/>
      <c r="AA202" s="42"/>
      <c r="AB202" s="42"/>
      <c r="AC202" s="42"/>
      <c r="AD202" s="42"/>
      <c r="AE202" s="42"/>
    </row>
    <row r="203">
      <c r="A203" s="95"/>
      <c r="B203" s="95"/>
      <c r="C203" s="54"/>
      <c r="D203" s="83"/>
      <c r="E203" s="96"/>
      <c r="F203" s="42"/>
      <c r="G203" s="97"/>
      <c r="H203" s="96"/>
      <c r="I203" s="96"/>
      <c r="J203" s="96"/>
      <c r="K203" s="99"/>
      <c r="L203" s="96"/>
      <c r="M203" s="96"/>
      <c r="N203" s="42"/>
      <c r="O203" s="42"/>
      <c r="P203" s="83"/>
      <c r="Q203" s="83"/>
      <c r="R203" s="42"/>
      <c r="S203" s="87"/>
      <c r="T203" s="83"/>
      <c r="U203" s="83"/>
      <c r="V203" s="61" t="str">
        <f>IFERROR(IF(T203="Ativo","Ativo",IF(T203="SKU excluído","Vencido",VLOOKUP(B203,Encerramentos!A:F,6,0))),"")</f>
        <v/>
      </c>
      <c r="W203" s="42"/>
      <c r="X203" s="42"/>
      <c r="Y203" s="42"/>
      <c r="Z203" s="42"/>
      <c r="AA203" s="42"/>
      <c r="AB203" s="42"/>
      <c r="AC203" s="42"/>
      <c r="AD203" s="42"/>
      <c r="AE203" s="42"/>
    </row>
    <row r="204">
      <c r="A204" s="95"/>
      <c r="B204" s="95"/>
      <c r="C204" s="54"/>
      <c r="D204" s="83"/>
      <c r="E204" s="96"/>
      <c r="F204" s="42"/>
      <c r="G204" s="97"/>
      <c r="H204" s="96"/>
      <c r="I204" s="96"/>
      <c r="J204" s="96"/>
      <c r="K204" s="99"/>
      <c r="L204" s="96"/>
      <c r="M204" s="96"/>
      <c r="N204" s="42"/>
      <c r="O204" s="42"/>
      <c r="P204" s="83"/>
      <c r="Q204" s="83"/>
      <c r="R204" s="42"/>
      <c r="S204" s="87"/>
      <c r="T204" s="83"/>
      <c r="U204" s="83"/>
      <c r="V204" s="61" t="str">
        <f>IFERROR(IF(T204="Ativo","Ativo",IF(T204="SKU excluído","Vencido",VLOOKUP(B204,Encerramentos!A:F,6,0))),"")</f>
        <v/>
      </c>
      <c r="W204" s="42"/>
      <c r="X204" s="42"/>
      <c r="Y204" s="42"/>
      <c r="Z204" s="42"/>
      <c r="AA204" s="42"/>
      <c r="AB204" s="42"/>
      <c r="AC204" s="42"/>
      <c r="AD204" s="42"/>
      <c r="AE204" s="42"/>
    </row>
    <row r="205">
      <c r="A205" s="95"/>
      <c r="B205" s="95"/>
      <c r="C205" s="54"/>
      <c r="D205" s="83"/>
      <c r="E205" s="96"/>
      <c r="F205" s="42"/>
      <c r="G205" s="97"/>
      <c r="H205" s="96"/>
      <c r="I205" s="96"/>
      <c r="J205" s="96"/>
      <c r="K205" s="99"/>
      <c r="L205" s="96"/>
      <c r="M205" s="96"/>
      <c r="N205" s="42"/>
      <c r="O205" s="42"/>
      <c r="P205" s="83"/>
      <c r="Q205" s="83"/>
      <c r="R205" s="42"/>
      <c r="S205" s="87"/>
      <c r="T205" s="83"/>
      <c r="U205" s="83"/>
      <c r="V205" s="61" t="str">
        <f>IFERROR(IF(T205="Ativo","Ativo",IF(T205="SKU excluído","Vencido",VLOOKUP(B205,Encerramentos!A:F,6,0))),"")</f>
        <v/>
      </c>
      <c r="W205" s="42"/>
      <c r="X205" s="42"/>
      <c r="Y205" s="42"/>
      <c r="Z205" s="42"/>
      <c r="AA205" s="42"/>
      <c r="AB205" s="42"/>
      <c r="AC205" s="42"/>
      <c r="AD205" s="42"/>
      <c r="AE205" s="42"/>
    </row>
    <row r="206">
      <c r="A206" s="95"/>
      <c r="B206" s="95"/>
      <c r="C206" s="54"/>
      <c r="D206" s="83"/>
      <c r="E206" s="96"/>
      <c r="F206" s="42"/>
      <c r="G206" s="97"/>
      <c r="H206" s="96"/>
      <c r="I206" s="96"/>
      <c r="J206" s="96"/>
      <c r="K206" s="99"/>
      <c r="L206" s="96"/>
      <c r="M206" s="96"/>
      <c r="N206" s="42"/>
      <c r="O206" s="42"/>
      <c r="P206" s="83"/>
      <c r="Q206" s="83"/>
      <c r="R206" s="42"/>
      <c r="S206" s="87"/>
      <c r="T206" s="83"/>
      <c r="U206" s="83"/>
      <c r="V206" s="61" t="str">
        <f>IFERROR(IF(T206="Ativo","Ativo",IF(T206="SKU excluído","Vencido",VLOOKUP(B206,Encerramentos!A:F,6,0))),"")</f>
        <v/>
      </c>
      <c r="W206" s="42"/>
      <c r="X206" s="42"/>
      <c r="Y206" s="42"/>
      <c r="Z206" s="42"/>
      <c r="AA206" s="42"/>
      <c r="AB206" s="42"/>
      <c r="AC206" s="42"/>
      <c r="AD206" s="42"/>
      <c r="AE206" s="42"/>
    </row>
    <row r="207">
      <c r="A207" s="95"/>
      <c r="B207" s="95"/>
      <c r="C207" s="54"/>
      <c r="D207" s="83"/>
      <c r="E207" s="96"/>
      <c r="F207" s="42"/>
      <c r="G207" s="97"/>
      <c r="H207" s="96"/>
      <c r="I207" s="96"/>
      <c r="J207" s="96"/>
      <c r="K207" s="99"/>
      <c r="L207" s="96"/>
      <c r="M207" s="96"/>
      <c r="N207" s="42"/>
      <c r="O207" s="42"/>
      <c r="P207" s="83"/>
      <c r="Q207" s="83"/>
      <c r="R207" s="42"/>
      <c r="S207" s="87"/>
      <c r="T207" s="83"/>
      <c r="U207" s="83"/>
      <c r="V207" s="61" t="str">
        <f>IFERROR(IF(T207="Ativo","Ativo",IF(T207="SKU excluído","Vencido",VLOOKUP(B207,Encerramentos!A:F,6,0))),"")</f>
        <v/>
      </c>
      <c r="W207" s="42"/>
      <c r="X207" s="42"/>
      <c r="Y207" s="42"/>
      <c r="Z207" s="42"/>
      <c r="AA207" s="42"/>
      <c r="AB207" s="42"/>
      <c r="AC207" s="42"/>
      <c r="AD207" s="42"/>
      <c r="AE207" s="42"/>
    </row>
    <row r="208">
      <c r="A208" s="95"/>
      <c r="B208" s="95"/>
      <c r="C208" s="54"/>
      <c r="D208" s="83"/>
      <c r="E208" s="96"/>
      <c r="F208" s="42"/>
      <c r="G208" s="97"/>
      <c r="H208" s="96"/>
      <c r="I208" s="96"/>
      <c r="J208" s="96"/>
      <c r="K208" s="99"/>
      <c r="L208" s="96"/>
      <c r="M208" s="96"/>
      <c r="N208" s="42"/>
      <c r="O208" s="42"/>
      <c r="P208" s="83"/>
      <c r="Q208" s="83"/>
      <c r="R208" s="42"/>
      <c r="S208" s="87"/>
      <c r="T208" s="83"/>
      <c r="U208" s="83"/>
      <c r="V208" s="61" t="str">
        <f>IFERROR(IF(T208="Ativo","Ativo",IF(T208="SKU excluído","Vencido",VLOOKUP(B208,Encerramentos!A:F,6,0))),"")</f>
        <v/>
      </c>
      <c r="W208" s="42"/>
      <c r="X208" s="42"/>
      <c r="Y208" s="42"/>
      <c r="Z208" s="42"/>
      <c r="AA208" s="42"/>
      <c r="AB208" s="42"/>
      <c r="AC208" s="42"/>
      <c r="AD208" s="42"/>
      <c r="AE208" s="42"/>
    </row>
    <row r="209">
      <c r="A209" s="95"/>
      <c r="B209" s="95"/>
      <c r="C209" s="54"/>
      <c r="D209" s="83"/>
      <c r="E209" s="96"/>
      <c r="F209" s="42"/>
      <c r="G209" s="97"/>
      <c r="H209" s="96"/>
      <c r="I209" s="96"/>
      <c r="J209" s="96"/>
      <c r="K209" s="99"/>
      <c r="L209" s="96"/>
      <c r="M209" s="96"/>
      <c r="N209" s="42"/>
      <c r="O209" s="42"/>
      <c r="P209" s="83"/>
      <c r="Q209" s="83"/>
      <c r="R209" s="42"/>
      <c r="S209" s="87"/>
      <c r="T209" s="83"/>
      <c r="U209" s="83"/>
      <c r="V209" s="61" t="str">
        <f>IFERROR(IF(T209="Ativo","Ativo",IF(T209="SKU excluído","Vencido",VLOOKUP(B209,Encerramentos!A:F,6,0))),"")</f>
        <v/>
      </c>
      <c r="W209" s="42"/>
      <c r="X209" s="42"/>
      <c r="Y209" s="42"/>
      <c r="Z209" s="42"/>
      <c r="AA209" s="42"/>
      <c r="AB209" s="42"/>
      <c r="AC209" s="42"/>
      <c r="AD209" s="42"/>
      <c r="AE209" s="42"/>
    </row>
    <row r="210">
      <c r="A210" s="95"/>
      <c r="B210" s="95"/>
      <c r="C210" s="54"/>
      <c r="D210" s="83"/>
      <c r="E210" s="96"/>
      <c r="F210" s="42"/>
      <c r="G210" s="97"/>
      <c r="H210" s="96"/>
      <c r="I210" s="96"/>
      <c r="J210" s="96"/>
      <c r="K210" s="99"/>
      <c r="L210" s="96"/>
      <c r="M210" s="96"/>
      <c r="N210" s="42"/>
      <c r="O210" s="42"/>
      <c r="P210" s="83"/>
      <c r="Q210" s="83"/>
      <c r="R210" s="42"/>
      <c r="S210" s="87"/>
      <c r="T210" s="83"/>
      <c r="U210" s="83"/>
      <c r="V210" s="61" t="str">
        <f>IFERROR(IF(T210="Ativo","Ativo",IF(T210="SKU excluído","Vencido",VLOOKUP(B210,Encerramentos!A:F,6,0))),"")</f>
        <v/>
      </c>
      <c r="W210" s="42"/>
      <c r="X210" s="42"/>
      <c r="Y210" s="42"/>
      <c r="Z210" s="42"/>
      <c r="AA210" s="42"/>
      <c r="AB210" s="42"/>
      <c r="AC210" s="42"/>
      <c r="AD210" s="42"/>
      <c r="AE210" s="42"/>
    </row>
    <row r="211">
      <c r="A211" s="95"/>
      <c r="B211" s="95"/>
      <c r="C211" s="54"/>
      <c r="D211" s="83"/>
      <c r="E211" s="96"/>
      <c r="F211" s="42"/>
      <c r="G211" s="97"/>
      <c r="H211" s="96"/>
      <c r="I211" s="96"/>
      <c r="J211" s="96"/>
      <c r="K211" s="99"/>
      <c r="L211" s="96"/>
      <c r="M211" s="96"/>
      <c r="N211" s="42"/>
      <c r="O211" s="42"/>
      <c r="P211" s="83"/>
      <c r="Q211" s="83"/>
      <c r="R211" s="42"/>
      <c r="S211" s="87"/>
      <c r="T211" s="83"/>
      <c r="U211" s="83"/>
      <c r="V211" s="61" t="str">
        <f>IFERROR(IF(T211="Ativo","Ativo",IF(T211="SKU excluído","Vencido",VLOOKUP(B211,Encerramentos!A:F,6,0))),"")</f>
        <v/>
      </c>
      <c r="W211" s="42"/>
      <c r="X211" s="42"/>
      <c r="Y211" s="42"/>
      <c r="Z211" s="42"/>
      <c r="AA211" s="42"/>
      <c r="AB211" s="42"/>
      <c r="AC211" s="42"/>
      <c r="AD211" s="42"/>
      <c r="AE211" s="42"/>
    </row>
    <row r="212">
      <c r="A212" s="95"/>
      <c r="B212" s="95"/>
      <c r="C212" s="54"/>
      <c r="D212" s="83"/>
      <c r="E212" s="96"/>
      <c r="F212" s="42"/>
      <c r="G212" s="97"/>
      <c r="H212" s="96"/>
      <c r="I212" s="96"/>
      <c r="J212" s="96"/>
      <c r="K212" s="99"/>
      <c r="L212" s="96"/>
      <c r="M212" s="96"/>
      <c r="N212" s="42"/>
      <c r="O212" s="42"/>
      <c r="P212" s="83"/>
      <c r="Q212" s="83"/>
      <c r="R212" s="42"/>
      <c r="S212" s="87"/>
      <c r="T212" s="83"/>
      <c r="U212" s="83"/>
      <c r="V212" s="61" t="str">
        <f>IFERROR(IF(T212="Ativo","Ativo",IF(T212="SKU excluído","Vencido",VLOOKUP(B212,Encerramentos!A:F,6,0))),"")</f>
        <v/>
      </c>
      <c r="W212" s="42"/>
      <c r="X212" s="42"/>
      <c r="Y212" s="42"/>
      <c r="Z212" s="42"/>
      <c r="AA212" s="42"/>
      <c r="AB212" s="42"/>
      <c r="AC212" s="42"/>
      <c r="AD212" s="42"/>
      <c r="AE212" s="42"/>
    </row>
    <row r="213">
      <c r="A213" s="95"/>
      <c r="B213" s="95"/>
      <c r="C213" s="54"/>
      <c r="D213" s="83"/>
      <c r="E213" s="96"/>
      <c r="F213" s="42"/>
      <c r="G213" s="97"/>
      <c r="H213" s="96"/>
      <c r="I213" s="96"/>
      <c r="J213" s="96"/>
      <c r="K213" s="99"/>
      <c r="L213" s="96"/>
      <c r="M213" s="96"/>
      <c r="N213" s="42"/>
      <c r="O213" s="42"/>
      <c r="P213" s="83"/>
      <c r="Q213" s="83"/>
      <c r="R213" s="42"/>
      <c r="S213" s="87"/>
      <c r="T213" s="83"/>
      <c r="U213" s="83"/>
      <c r="V213" s="61" t="str">
        <f>IFERROR(IF(T213="Ativo","Ativo",IF(T213="SKU excluído","Vencido",VLOOKUP(B213,Encerramentos!A:F,6,0))),"")</f>
        <v/>
      </c>
      <c r="W213" s="42"/>
      <c r="X213" s="42"/>
      <c r="Y213" s="42"/>
      <c r="Z213" s="42"/>
      <c r="AA213" s="42"/>
      <c r="AB213" s="42"/>
      <c r="AC213" s="42"/>
      <c r="AD213" s="42"/>
      <c r="AE213" s="42"/>
    </row>
    <row r="214">
      <c r="A214" s="95"/>
      <c r="B214" s="95"/>
      <c r="C214" s="54"/>
      <c r="D214" s="83"/>
      <c r="E214" s="96"/>
      <c r="F214" s="42"/>
      <c r="G214" s="97"/>
      <c r="H214" s="96"/>
      <c r="I214" s="96"/>
      <c r="J214" s="96"/>
      <c r="K214" s="99"/>
      <c r="L214" s="96"/>
      <c r="M214" s="96"/>
      <c r="N214" s="42"/>
      <c r="O214" s="42"/>
      <c r="P214" s="83"/>
      <c r="Q214" s="83"/>
      <c r="R214" s="42"/>
      <c r="S214" s="87"/>
      <c r="T214" s="83"/>
      <c r="U214" s="83"/>
      <c r="V214" s="61" t="str">
        <f>IFERROR(IF(T214="Ativo","Ativo",IF(T214="SKU excluído","Vencido",VLOOKUP(B214,Encerramentos!A:F,6,0))),"")</f>
        <v/>
      </c>
      <c r="W214" s="42"/>
      <c r="X214" s="42"/>
      <c r="Y214" s="42"/>
      <c r="Z214" s="42"/>
      <c r="AA214" s="42"/>
      <c r="AB214" s="42"/>
      <c r="AC214" s="42"/>
      <c r="AD214" s="42"/>
      <c r="AE214" s="42"/>
    </row>
    <row r="215">
      <c r="A215" s="95"/>
      <c r="B215" s="95"/>
      <c r="C215" s="54"/>
      <c r="D215" s="83"/>
      <c r="E215" s="96"/>
      <c r="F215" s="42"/>
      <c r="G215" s="97"/>
      <c r="H215" s="96"/>
      <c r="I215" s="96"/>
      <c r="J215" s="96"/>
      <c r="K215" s="99"/>
      <c r="L215" s="96"/>
      <c r="M215" s="96"/>
      <c r="N215" s="42"/>
      <c r="O215" s="42"/>
      <c r="P215" s="83"/>
      <c r="Q215" s="83"/>
      <c r="R215" s="42"/>
      <c r="S215" s="87"/>
      <c r="T215" s="83"/>
      <c r="U215" s="83"/>
      <c r="V215" s="61" t="str">
        <f>IFERROR(IF(T215="Ativo","Ativo",IF(T215="SKU excluído","Vencido",VLOOKUP(B215,Encerramentos!A:F,6,0))),"")</f>
        <v/>
      </c>
      <c r="W215" s="42"/>
      <c r="X215" s="42"/>
      <c r="Y215" s="42"/>
      <c r="Z215" s="42"/>
      <c r="AA215" s="42"/>
      <c r="AB215" s="42"/>
      <c r="AC215" s="42"/>
      <c r="AD215" s="42"/>
      <c r="AE215" s="42"/>
    </row>
    <row r="216">
      <c r="A216" s="95"/>
      <c r="B216" s="95"/>
      <c r="C216" s="54"/>
      <c r="D216" s="83"/>
      <c r="E216" s="96"/>
      <c r="F216" s="42"/>
      <c r="G216" s="97"/>
      <c r="H216" s="96"/>
      <c r="I216" s="96"/>
      <c r="J216" s="96"/>
      <c r="K216" s="99"/>
      <c r="L216" s="96"/>
      <c r="M216" s="96"/>
      <c r="N216" s="42"/>
      <c r="O216" s="42"/>
      <c r="P216" s="83"/>
      <c r="Q216" s="83"/>
      <c r="R216" s="42"/>
      <c r="S216" s="87"/>
      <c r="T216" s="83"/>
      <c r="U216" s="83"/>
      <c r="V216" s="61" t="str">
        <f>IFERROR(IF(T216="Ativo","Ativo",IF(T216="SKU excluído","Vencido",VLOOKUP(B216,Encerramentos!A:F,6,0))),"")</f>
        <v/>
      </c>
      <c r="W216" s="42"/>
      <c r="X216" s="42"/>
      <c r="Y216" s="42"/>
      <c r="Z216" s="42"/>
      <c r="AA216" s="42"/>
      <c r="AB216" s="42"/>
      <c r="AC216" s="42"/>
      <c r="AD216" s="42"/>
      <c r="AE216" s="42"/>
    </row>
    <row r="217">
      <c r="A217" s="95"/>
      <c r="B217" s="95"/>
      <c r="C217" s="54"/>
      <c r="D217" s="83"/>
      <c r="E217" s="96"/>
      <c r="F217" s="42"/>
      <c r="G217" s="97"/>
      <c r="H217" s="96"/>
      <c r="I217" s="96"/>
      <c r="J217" s="96"/>
      <c r="K217" s="99"/>
      <c r="L217" s="96"/>
      <c r="M217" s="96"/>
      <c r="N217" s="42"/>
      <c r="O217" s="42"/>
      <c r="P217" s="83"/>
      <c r="Q217" s="83"/>
      <c r="R217" s="42"/>
      <c r="S217" s="87"/>
      <c r="T217" s="83"/>
      <c r="U217" s="83"/>
      <c r="V217" s="61" t="str">
        <f>IFERROR(IF(T217="Ativo","Ativo",IF(T217="SKU excluído","Vencido",VLOOKUP(B217,Encerramentos!A:F,6,0))),"")</f>
        <v/>
      </c>
      <c r="W217" s="42"/>
      <c r="X217" s="42"/>
      <c r="Y217" s="42"/>
      <c r="Z217" s="42"/>
      <c r="AA217" s="42"/>
      <c r="AB217" s="42"/>
      <c r="AC217" s="42"/>
      <c r="AD217" s="42"/>
      <c r="AE217" s="42"/>
    </row>
    <row r="218">
      <c r="A218" s="95"/>
      <c r="B218" s="95"/>
      <c r="C218" s="54"/>
      <c r="D218" s="83"/>
      <c r="E218" s="96"/>
      <c r="F218" s="42"/>
      <c r="G218" s="97"/>
      <c r="H218" s="96"/>
      <c r="I218" s="96"/>
      <c r="J218" s="96"/>
      <c r="K218" s="99"/>
      <c r="L218" s="96"/>
      <c r="M218" s="96"/>
      <c r="N218" s="42"/>
      <c r="O218" s="42"/>
      <c r="P218" s="83"/>
      <c r="Q218" s="83"/>
      <c r="R218" s="42"/>
      <c r="S218" s="87"/>
      <c r="T218" s="83"/>
      <c r="U218" s="83"/>
      <c r="V218" s="61" t="str">
        <f>IFERROR(IF(T218="Ativo","Ativo",IF(T218="SKU excluído","Vencido",VLOOKUP(B218,Encerramentos!A:F,6,0))),"")</f>
        <v/>
      </c>
      <c r="W218" s="42"/>
      <c r="X218" s="42"/>
      <c r="Y218" s="42"/>
      <c r="Z218" s="42"/>
      <c r="AA218" s="42"/>
      <c r="AB218" s="42"/>
      <c r="AC218" s="42"/>
      <c r="AD218" s="42"/>
      <c r="AE218" s="42"/>
    </row>
    <row r="219">
      <c r="A219" s="95"/>
      <c r="B219" s="95"/>
      <c r="C219" s="54"/>
      <c r="D219" s="83"/>
      <c r="E219" s="96"/>
      <c r="F219" s="42"/>
      <c r="G219" s="97"/>
      <c r="H219" s="96"/>
      <c r="I219" s="96"/>
      <c r="J219" s="96"/>
      <c r="K219" s="99"/>
      <c r="L219" s="96"/>
      <c r="M219" s="96"/>
      <c r="N219" s="42"/>
      <c r="O219" s="42"/>
      <c r="P219" s="83"/>
      <c r="Q219" s="83"/>
      <c r="R219" s="42"/>
      <c r="S219" s="87"/>
      <c r="T219" s="83"/>
      <c r="U219" s="83"/>
      <c r="V219" s="61" t="str">
        <f>IFERROR(IF(T219="Ativo","Ativo",IF(T219="SKU excluído","Vencido",VLOOKUP(B219,Encerramentos!A:F,6,0))),"")</f>
        <v/>
      </c>
      <c r="W219" s="42"/>
      <c r="X219" s="42"/>
      <c r="Y219" s="42"/>
      <c r="Z219" s="42"/>
      <c r="AA219" s="42"/>
      <c r="AB219" s="42"/>
      <c r="AC219" s="42"/>
      <c r="AD219" s="42"/>
      <c r="AE219" s="42"/>
    </row>
    <row r="220">
      <c r="A220" s="95"/>
      <c r="B220" s="95"/>
      <c r="C220" s="54"/>
      <c r="D220" s="83"/>
      <c r="E220" s="96"/>
      <c r="F220" s="42"/>
      <c r="G220" s="97"/>
      <c r="H220" s="96"/>
      <c r="I220" s="96"/>
      <c r="J220" s="96"/>
      <c r="K220" s="99"/>
      <c r="L220" s="96"/>
      <c r="M220" s="96"/>
      <c r="N220" s="42"/>
      <c r="O220" s="42"/>
      <c r="P220" s="83"/>
      <c r="Q220" s="83"/>
      <c r="R220" s="42"/>
      <c r="S220" s="87"/>
      <c r="T220" s="83"/>
      <c r="U220" s="83"/>
      <c r="V220" s="61" t="str">
        <f>IFERROR(IF(T220="Ativo","Ativo",IF(T220="SKU excluído","Vencido",VLOOKUP(B220,Encerramentos!A:F,6,0))),"")</f>
        <v/>
      </c>
      <c r="W220" s="42"/>
      <c r="X220" s="42"/>
      <c r="Y220" s="42"/>
      <c r="Z220" s="42"/>
      <c r="AA220" s="42"/>
      <c r="AB220" s="42"/>
      <c r="AC220" s="42"/>
      <c r="AD220" s="42"/>
      <c r="AE220" s="42"/>
    </row>
    <row r="221">
      <c r="A221" s="95"/>
      <c r="B221" s="95"/>
      <c r="C221" s="54"/>
      <c r="D221" s="83"/>
      <c r="E221" s="96"/>
      <c r="F221" s="42"/>
      <c r="G221" s="97"/>
      <c r="H221" s="96"/>
      <c r="I221" s="96"/>
      <c r="J221" s="96"/>
      <c r="K221" s="99"/>
      <c r="L221" s="96"/>
      <c r="M221" s="96"/>
      <c r="N221" s="42"/>
      <c r="O221" s="42"/>
      <c r="P221" s="83"/>
      <c r="Q221" s="83"/>
      <c r="R221" s="42"/>
      <c r="S221" s="87"/>
      <c r="T221" s="83"/>
      <c r="U221" s="83"/>
      <c r="V221" s="61" t="str">
        <f>IFERROR(IF(T221="Ativo","Ativo",IF(T221="SKU excluído","Vencido",VLOOKUP(B221,Encerramentos!A:F,6,0))),"")</f>
        <v/>
      </c>
      <c r="W221" s="42"/>
      <c r="X221" s="42"/>
      <c r="Y221" s="42"/>
      <c r="Z221" s="42"/>
      <c r="AA221" s="42"/>
      <c r="AB221" s="42"/>
      <c r="AC221" s="42"/>
      <c r="AD221" s="42"/>
      <c r="AE221" s="42"/>
    </row>
    <row r="222">
      <c r="A222" s="95"/>
      <c r="B222" s="95"/>
      <c r="C222" s="54"/>
      <c r="D222" s="83"/>
      <c r="E222" s="96"/>
      <c r="F222" s="42"/>
      <c r="G222" s="97"/>
      <c r="H222" s="96"/>
      <c r="I222" s="96"/>
      <c r="J222" s="96"/>
      <c r="K222" s="99"/>
      <c r="L222" s="96"/>
      <c r="M222" s="96"/>
      <c r="N222" s="42"/>
      <c r="O222" s="42"/>
      <c r="P222" s="83"/>
      <c r="Q222" s="83"/>
      <c r="R222" s="42"/>
      <c r="S222" s="87"/>
      <c r="T222" s="83"/>
      <c r="U222" s="83"/>
      <c r="V222" s="61" t="str">
        <f>IFERROR(IF(T222="Ativo","Ativo",IF(T222="SKU excluído","Vencido",VLOOKUP(B222,Encerramentos!A:F,6,0))),"")</f>
        <v/>
      </c>
      <c r="W222" s="42"/>
      <c r="X222" s="42"/>
      <c r="Y222" s="42"/>
      <c r="Z222" s="42"/>
      <c r="AA222" s="42"/>
      <c r="AB222" s="42"/>
      <c r="AC222" s="42"/>
      <c r="AD222" s="42"/>
      <c r="AE222" s="42"/>
    </row>
    <row r="223">
      <c r="A223" s="95"/>
      <c r="B223" s="95"/>
      <c r="C223" s="54"/>
      <c r="D223" s="83"/>
      <c r="E223" s="96"/>
      <c r="F223" s="42"/>
      <c r="G223" s="97"/>
      <c r="H223" s="96"/>
      <c r="I223" s="96"/>
      <c r="J223" s="96"/>
      <c r="K223" s="99"/>
      <c r="L223" s="96"/>
      <c r="M223" s="96"/>
      <c r="N223" s="42"/>
      <c r="O223" s="42"/>
      <c r="P223" s="83"/>
      <c r="Q223" s="83"/>
      <c r="R223" s="42"/>
      <c r="S223" s="87"/>
      <c r="T223" s="83"/>
      <c r="U223" s="83"/>
      <c r="V223" s="61" t="str">
        <f>IFERROR(IF(T223="Ativo","Ativo",IF(T223="SKU excluído","Vencido",VLOOKUP(B223,Encerramentos!A:F,6,0))),"")</f>
        <v/>
      </c>
      <c r="W223" s="42"/>
      <c r="X223" s="42"/>
      <c r="Y223" s="42"/>
      <c r="Z223" s="42"/>
      <c r="AA223" s="42"/>
      <c r="AB223" s="42"/>
      <c r="AC223" s="42"/>
      <c r="AD223" s="42"/>
      <c r="AE223" s="42"/>
    </row>
    <row r="224">
      <c r="A224" s="95"/>
      <c r="B224" s="95"/>
      <c r="C224" s="54"/>
      <c r="D224" s="83"/>
      <c r="E224" s="96"/>
      <c r="F224" s="42"/>
      <c r="G224" s="97"/>
      <c r="H224" s="96"/>
      <c r="I224" s="96"/>
      <c r="J224" s="96"/>
      <c r="K224" s="99"/>
      <c r="L224" s="96"/>
      <c r="M224" s="96"/>
      <c r="N224" s="42"/>
      <c r="O224" s="42"/>
      <c r="P224" s="83"/>
      <c r="Q224" s="83"/>
      <c r="R224" s="42"/>
      <c r="S224" s="87"/>
      <c r="T224" s="83"/>
      <c r="U224" s="83"/>
      <c r="V224" s="61" t="str">
        <f>IFERROR(IF(T224="Ativo","Ativo",IF(T224="SKU excluído","Vencido",VLOOKUP(B224,Encerramentos!A:F,6,0))),"")</f>
        <v/>
      </c>
      <c r="W224" s="42"/>
      <c r="X224" s="42"/>
      <c r="Y224" s="42"/>
      <c r="Z224" s="42"/>
      <c r="AA224" s="42"/>
      <c r="AB224" s="42"/>
      <c r="AC224" s="42"/>
      <c r="AD224" s="42"/>
      <c r="AE224" s="42"/>
    </row>
    <row r="225">
      <c r="A225" s="95"/>
      <c r="B225" s="95"/>
      <c r="C225" s="54"/>
      <c r="D225" s="83"/>
      <c r="E225" s="96"/>
      <c r="F225" s="42"/>
      <c r="G225" s="97"/>
      <c r="H225" s="96"/>
      <c r="I225" s="96"/>
      <c r="J225" s="96"/>
      <c r="K225" s="99"/>
      <c r="L225" s="96"/>
      <c r="M225" s="96"/>
      <c r="N225" s="42"/>
      <c r="O225" s="42"/>
      <c r="P225" s="83"/>
      <c r="Q225" s="83"/>
      <c r="R225" s="42"/>
      <c r="S225" s="87"/>
      <c r="T225" s="83"/>
      <c r="U225" s="83"/>
      <c r="V225" s="61" t="str">
        <f>IFERROR(IF(T225="Ativo","Ativo",IF(T225="SKU excluído","Vencido",VLOOKUP(B225,Encerramentos!A:F,6,0))),"")</f>
        <v/>
      </c>
      <c r="W225" s="42"/>
      <c r="X225" s="42"/>
      <c r="Y225" s="42"/>
      <c r="Z225" s="42"/>
      <c r="AA225" s="42"/>
      <c r="AB225" s="42"/>
      <c r="AC225" s="42"/>
      <c r="AD225" s="42"/>
      <c r="AE225" s="42"/>
    </row>
    <row r="226">
      <c r="A226" s="95"/>
      <c r="B226" s="95"/>
      <c r="C226" s="54"/>
      <c r="D226" s="83"/>
      <c r="E226" s="96"/>
      <c r="F226" s="42"/>
      <c r="G226" s="97"/>
      <c r="H226" s="96"/>
      <c r="I226" s="96"/>
      <c r="J226" s="96"/>
      <c r="K226" s="99"/>
      <c r="L226" s="96"/>
      <c r="M226" s="96"/>
      <c r="N226" s="42"/>
      <c r="O226" s="42"/>
      <c r="P226" s="83"/>
      <c r="Q226" s="83"/>
      <c r="R226" s="42"/>
      <c r="S226" s="87"/>
      <c r="T226" s="83"/>
      <c r="U226" s="83"/>
      <c r="V226" s="61" t="str">
        <f>IFERROR(IF(T226="Ativo","Ativo",IF(T226="SKU excluído","Vencido",VLOOKUP(B226,Encerramentos!A:F,6,0))),"")</f>
        <v/>
      </c>
      <c r="W226" s="42"/>
      <c r="X226" s="42"/>
      <c r="Y226" s="42"/>
      <c r="Z226" s="42"/>
      <c r="AA226" s="42"/>
      <c r="AB226" s="42"/>
      <c r="AC226" s="42"/>
      <c r="AD226" s="42"/>
      <c r="AE226" s="42"/>
    </row>
    <row r="227">
      <c r="A227" s="95"/>
      <c r="B227" s="95"/>
      <c r="C227" s="54"/>
      <c r="D227" s="83"/>
      <c r="E227" s="96"/>
      <c r="F227" s="42"/>
      <c r="G227" s="97"/>
      <c r="H227" s="96"/>
      <c r="I227" s="96"/>
      <c r="J227" s="96"/>
      <c r="K227" s="99"/>
      <c r="L227" s="96"/>
      <c r="M227" s="96"/>
      <c r="N227" s="42"/>
      <c r="O227" s="42"/>
      <c r="P227" s="83"/>
      <c r="Q227" s="83"/>
      <c r="R227" s="42"/>
      <c r="S227" s="87"/>
      <c r="T227" s="83"/>
      <c r="U227" s="83"/>
      <c r="V227" s="61" t="str">
        <f>IFERROR(IF(T227="Ativo","Ativo",IF(T227="SKU excluído","Vencido",VLOOKUP(B227,Encerramentos!A:F,6,0))),"")</f>
        <v/>
      </c>
      <c r="W227" s="42"/>
      <c r="X227" s="42"/>
      <c r="Y227" s="42"/>
      <c r="Z227" s="42"/>
      <c r="AA227" s="42"/>
      <c r="AB227" s="42"/>
      <c r="AC227" s="42"/>
      <c r="AD227" s="42"/>
      <c r="AE227" s="42"/>
    </row>
    <row r="228">
      <c r="A228" s="95"/>
      <c r="B228" s="95"/>
      <c r="C228" s="54"/>
      <c r="D228" s="83"/>
      <c r="E228" s="96"/>
      <c r="F228" s="42"/>
      <c r="G228" s="97"/>
      <c r="H228" s="96"/>
      <c r="I228" s="96"/>
      <c r="J228" s="96"/>
      <c r="K228" s="99"/>
      <c r="L228" s="96"/>
      <c r="M228" s="96"/>
      <c r="N228" s="42"/>
      <c r="O228" s="42"/>
      <c r="P228" s="83"/>
      <c r="Q228" s="83"/>
      <c r="R228" s="42"/>
      <c r="S228" s="87"/>
      <c r="T228" s="83"/>
      <c r="U228" s="83"/>
      <c r="V228" s="61" t="str">
        <f>IFERROR(IF(T228="Ativo","Ativo",IF(T228="SKU excluído","Vencido",VLOOKUP(B228,Encerramentos!A:F,6,0))),"")</f>
        <v/>
      </c>
      <c r="W228" s="42"/>
      <c r="X228" s="42"/>
      <c r="Y228" s="42"/>
      <c r="Z228" s="42"/>
      <c r="AA228" s="42"/>
      <c r="AB228" s="42"/>
      <c r="AC228" s="42"/>
      <c r="AD228" s="42"/>
      <c r="AE228" s="42"/>
    </row>
    <row r="229">
      <c r="A229" s="95"/>
      <c r="B229" s="95"/>
      <c r="C229" s="54"/>
      <c r="D229" s="83"/>
      <c r="E229" s="96"/>
      <c r="F229" s="42"/>
      <c r="G229" s="97"/>
      <c r="H229" s="96"/>
      <c r="I229" s="96"/>
      <c r="J229" s="96"/>
      <c r="K229" s="99"/>
      <c r="L229" s="96"/>
      <c r="M229" s="96"/>
      <c r="N229" s="42"/>
      <c r="O229" s="42"/>
      <c r="P229" s="83"/>
      <c r="Q229" s="83"/>
      <c r="R229" s="42"/>
      <c r="S229" s="87"/>
      <c r="T229" s="83"/>
      <c r="U229" s="83"/>
      <c r="V229" s="61" t="str">
        <f>IFERROR(IF(T229="Ativo","Ativo",IF(T229="SKU excluído","Vencido",VLOOKUP(B229,Encerramentos!A:F,6,0))),"")</f>
        <v/>
      </c>
      <c r="W229" s="42"/>
      <c r="X229" s="42"/>
      <c r="Y229" s="42"/>
      <c r="Z229" s="42"/>
      <c r="AA229" s="42"/>
      <c r="AB229" s="42"/>
      <c r="AC229" s="42"/>
      <c r="AD229" s="42"/>
      <c r="AE229" s="42"/>
    </row>
    <row r="230">
      <c r="A230" s="95"/>
      <c r="B230" s="95"/>
      <c r="C230" s="54"/>
      <c r="D230" s="83"/>
      <c r="E230" s="96"/>
      <c r="F230" s="42"/>
      <c r="G230" s="97"/>
      <c r="H230" s="96"/>
      <c r="I230" s="96"/>
      <c r="J230" s="96"/>
      <c r="K230" s="99"/>
      <c r="L230" s="96"/>
      <c r="M230" s="96"/>
      <c r="N230" s="42"/>
      <c r="O230" s="42"/>
      <c r="P230" s="83"/>
      <c r="Q230" s="83"/>
      <c r="R230" s="42"/>
      <c r="S230" s="87"/>
      <c r="T230" s="83"/>
      <c r="U230" s="83"/>
      <c r="V230" s="61" t="str">
        <f>IFERROR(IF(T230="Ativo","Ativo",IF(T230="SKU excluído","Vencido",VLOOKUP(B230,Encerramentos!A:F,6,0))),"")</f>
        <v/>
      </c>
      <c r="W230" s="42"/>
      <c r="X230" s="42"/>
      <c r="Y230" s="42"/>
      <c r="Z230" s="42"/>
      <c r="AA230" s="42"/>
      <c r="AB230" s="42"/>
      <c r="AC230" s="42"/>
      <c r="AD230" s="42"/>
      <c r="AE230" s="42"/>
    </row>
    <row r="231">
      <c r="A231" s="95"/>
      <c r="B231" s="95"/>
      <c r="C231" s="54"/>
      <c r="D231" s="83"/>
      <c r="E231" s="96"/>
      <c r="F231" s="42"/>
      <c r="G231" s="97"/>
      <c r="H231" s="96"/>
      <c r="I231" s="96"/>
      <c r="J231" s="96"/>
      <c r="K231" s="99"/>
      <c r="L231" s="96"/>
      <c r="M231" s="96"/>
      <c r="N231" s="42"/>
      <c r="O231" s="42"/>
      <c r="P231" s="83"/>
      <c r="Q231" s="83"/>
      <c r="R231" s="42"/>
      <c r="S231" s="87"/>
      <c r="T231" s="83"/>
      <c r="U231" s="83"/>
      <c r="V231" s="61" t="str">
        <f>IFERROR(IF(T231="Ativo","Ativo",IF(T231="SKU excluído","Vencido",VLOOKUP(B231,Encerramentos!A:F,6,0))),"")</f>
        <v/>
      </c>
      <c r="W231" s="42"/>
      <c r="X231" s="42"/>
      <c r="Y231" s="42"/>
      <c r="Z231" s="42"/>
      <c r="AA231" s="42"/>
      <c r="AB231" s="42"/>
      <c r="AC231" s="42"/>
      <c r="AD231" s="42"/>
      <c r="AE231" s="42"/>
    </row>
    <row r="232">
      <c r="A232" s="95"/>
      <c r="B232" s="95"/>
      <c r="C232" s="54"/>
      <c r="D232" s="83"/>
      <c r="E232" s="96"/>
      <c r="F232" s="42"/>
      <c r="G232" s="97"/>
      <c r="H232" s="96"/>
      <c r="I232" s="96"/>
      <c r="J232" s="96"/>
      <c r="K232" s="99"/>
      <c r="L232" s="96"/>
      <c r="M232" s="96"/>
      <c r="N232" s="42"/>
      <c r="O232" s="42"/>
      <c r="P232" s="83"/>
      <c r="Q232" s="83"/>
      <c r="R232" s="42"/>
      <c r="S232" s="87"/>
      <c r="T232" s="83"/>
      <c r="U232" s="83"/>
      <c r="V232" s="61" t="str">
        <f>IFERROR(IF(T232="Ativo","Ativo",IF(T232="SKU excluído","Vencido",VLOOKUP(B232,Encerramentos!A:F,6,0))),"")</f>
        <v/>
      </c>
      <c r="W232" s="42"/>
      <c r="X232" s="42"/>
      <c r="Y232" s="42"/>
      <c r="Z232" s="42"/>
      <c r="AA232" s="42"/>
      <c r="AB232" s="42"/>
      <c r="AC232" s="42"/>
      <c r="AD232" s="42"/>
      <c r="AE232" s="42"/>
    </row>
    <row r="233">
      <c r="A233" s="95"/>
      <c r="B233" s="95"/>
      <c r="C233" s="54"/>
      <c r="D233" s="83"/>
      <c r="E233" s="96"/>
      <c r="F233" s="42"/>
      <c r="G233" s="97"/>
      <c r="H233" s="96"/>
      <c r="I233" s="96"/>
      <c r="J233" s="96"/>
      <c r="K233" s="99"/>
      <c r="L233" s="96"/>
      <c r="M233" s="96"/>
      <c r="N233" s="42"/>
      <c r="O233" s="42"/>
      <c r="P233" s="83"/>
      <c r="Q233" s="83"/>
      <c r="R233" s="42"/>
      <c r="S233" s="87"/>
      <c r="T233" s="83"/>
      <c r="U233" s="83"/>
      <c r="V233" s="61" t="str">
        <f>IFERROR(IF(T233="Ativo","Ativo",IF(T233="SKU excluído","Vencido",VLOOKUP(B233,Encerramentos!A:F,6,0))),"")</f>
        <v/>
      </c>
      <c r="W233" s="42"/>
      <c r="X233" s="42"/>
      <c r="Y233" s="42"/>
      <c r="Z233" s="42"/>
      <c r="AA233" s="42"/>
      <c r="AB233" s="42"/>
      <c r="AC233" s="42"/>
      <c r="AD233" s="42"/>
      <c r="AE233" s="42"/>
    </row>
    <row r="234">
      <c r="A234" s="95"/>
      <c r="B234" s="95"/>
      <c r="C234" s="54"/>
      <c r="D234" s="83"/>
      <c r="E234" s="96"/>
      <c r="F234" s="42"/>
      <c r="G234" s="97"/>
      <c r="H234" s="96"/>
      <c r="I234" s="96"/>
      <c r="J234" s="96"/>
      <c r="K234" s="99"/>
      <c r="L234" s="96"/>
      <c r="M234" s="96"/>
      <c r="N234" s="42"/>
      <c r="O234" s="42"/>
      <c r="P234" s="83"/>
      <c r="Q234" s="83"/>
      <c r="R234" s="42"/>
      <c r="S234" s="87"/>
      <c r="T234" s="83"/>
      <c r="U234" s="83"/>
      <c r="V234" s="61" t="str">
        <f>IFERROR(IF(T234="Ativo","Ativo",IF(T234="SKU excluído","Vencido",VLOOKUP(B234,Encerramentos!A:F,6,0))),"")</f>
        <v/>
      </c>
      <c r="W234" s="42"/>
      <c r="X234" s="42"/>
      <c r="Y234" s="42"/>
      <c r="Z234" s="42"/>
      <c r="AA234" s="42"/>
      <c r="AB234" s="42"/>
      <c r="AC234" s="42"/>
      <c r="AD234" s="42"/>
      <c r="AE234" s="42"/>
    </row>
    <row r="235">
      <c r="A235" s="95"/>
      <c r="B235" s="95"/>
      <c r="C235" s="54"/>
      <c r="D235" s="83"/>
      <c r="E235" s="96"/>
      <c r="F235" s="42"/>
      <c r="G235" s="97"/>
      <c r="H235" s="96"/>
      <c r="I235" s="96"/>
      <c r="J235" s="96"/>
      <c r="K235" s="99"/>
      <c r="L235" s="96"/>
      <c r="M235" s="96"/>
      <c r="N235" s="42"/>
      <c r="O235" s="42"/>
      <c r="P235" s="83"/>
      <c r="Q235" s="83"/>
      <c r="R235" s="42"/>
      <c r="S235" s="87"/>
      <c r="T235" s="83"/>
      <c r="U235" s="83"/>
      <c r="V235" s="61" t="str">
        <f>IFERROR(IF(T235="Ativo","Ativo",IF(T235="SKU excluído","Vencido",VLOOKUP(B235,Encerramentos!A:F,6,0))),"")</f>
        <v/>
      </c>
      <c r="W235" s="42"/>
      <c r="X235" s="42"/>
      <c r="Y235" s="42"/>
      <c r="Z235" s="42"/>
      <c r="AA235" s="42"/>
      <c r="AB235" s="42"/>
      <c r="AC235" s="42"/>
      <c r="AD235" s="42"/>
      <c r="AE235" s="42"/>
    </row>
    <row r="236">
      <c r="A236" s="95"/>
      <c r="B236" s="95"/>
      <c r="C236" s="54"/>
      <c r="D236" s="83"/>
      <c r="E236" s="96"/>
      <c r="F236" s="42"/>
      <c r="G236" s="97"/>
      <c r="H236" s="96"/>
      <c r="I236" s="96"/>
      <c r="J236" s="96"/>
      <c r="K236" s="99"/>
      <c r="L236" s="96"/>
      <c r="M236" s="96"/>
      <c r="N236" s="42"/>
      <c r="O236" s="42"/>
      <c r="P236" s="83"/>
      <c r="Q236" s="83"/>
      <c r="R236" s="42"/>
      <c r="S236" s="87"/>
      <c r="T236" s="83"/>
      <c r="U236" s="83"/>
      <c r="V236" s="61" t="str">
        <f>IFERROR(IF(T236="Ativo","Ativo",IF(T236="SKU excluído","Vencido",VLOOKUP(B236,Encerramentos!A:F,6,0))),"")</f>
        <v/>
      </c>
      <c r="W236" s="42"/>
      <c r="X236" s="42"/>
      <c r="Y236" s="42"/>
      <c r="Z236" s="42"/>
      <c r="AA236" s="42"/>
      <c r="AB236" s="42"/>
      <c r="AC236" s="42"/>
      <c r="AD236" s="42"/>
      <c r="AE236" s="42"/>
    </row>
    <row r="237">
      <c r="A237" s="95"/>
      <c r="B237" s="95"/>
      <c r="C237" s="54"/>
      <c r="D237" s="83"/>
      <c r="E237" s="96"/>
      <c r="F237" s="42"/>
      <c r="G237" s="97"/>
      <c r="H237" s="96"/>
      <c r="I237" s="96"/>
      <c r="J237" s="96"/>
      <c r="K237" s="99"/>
      <c r="L237" s="96"/>
      <c r="M237" s="96"/>
      <c r="N237" s="42"/>
      <c r="O237" s="42"/>
      <c r="P237" s="83"/>
      <c r="Q237" s="83"/>
      <c r="R237" s="42"/>
      <c r="S237" s="87"/>
      <c r="T237" s="83"/>
      <c r="U237" s="83"/>
      <c r="V237" s="61" t="str">
        <f>IFERROR(IF(T237="Ativo","Ativo",IF(T237="SKU excluído","Vencido",VLOOKUP(B237,Encerramentos!A:F,6,0))),"")</f>
        <v/>
      </c>
      <c r="W237" s="42"/>
      <c r="X237" s="42"/>
      <c r="Y237" s="42"/>
      <c r="Z237" s="42"/>
      <c r="AA237" s="42"/>
      <c r="AB237" s="42"/>
      <c r="AC237" s="42"/>
      <c r="AD237" s="42"/>
      <c r="AE237" s="42"/>
    </row>
    <row r="238">
      <c r="A238" s="95"/>
      <c r="B238" s="95"/>
      <c r="C238" s="54"/>
      <c r="D238" s="83"/>
      <c r="E238" s="96"/>
      <c r="F238" s="42"/>
      <c r="G238" s="97"/>
      <c r="H238" s="96"/>
      <c r="I238" s="96"/>
      <c r="J238" s="96"/>
      <c r="K238" s="99"/>
      <c r="L238" s="96"/>
      <c r="M238" s="96"/>
      <c r="N238" s="42"/>
      <c r="O238" s="42"/>
      <c r="P238" s="83"/>
      <c r="Q238" s="83"/>
      <c r="R238" s="42"/>
      <c r="S238" s="87"/>
      <c r="T238" s="83"/>
      <c r="U238" s="83"/>
      <c r="V238" s="61" t="str">
        <f>IFERROR(IF(T238="Ativo","Ativo",IF(T238="SKU excluído","Vencido",VLOOKUP(B238,Encerramentos!A:F,6,0))),"")</f>
        <v/>
      </c>
      <c r="W238" s="42"/>
      <c r="X238" s="42"/>
      <c r="Y238" s="42"/>
      <c r="Z238" s="42"/>
      <c r="AA238" s="42"/>
      <c r="AB238" s="42"/>
      <c r="AC238" s="42"/>
      <c r="AD238" s="42"/>
      <c r="AE238" s="42"/>
    </row>
    <row r="239">
      <c r="A239" s="95"/>
      <c r="B239" s="95"/>
      <c r="C239" s="54"/>
      <c r="D239" s="83"/>
      <c r="E239" s="96"/>
      <c r="F239" s="42"/>
      <c r="G239" s="97"/>
      <c r="H239" s="96"/>
      <c r="I239" s="96"/>
      <c r="J239" s="96"/>
      <c r="K239" s="99"/>
      <c r="L239" s="96"/>
      <c r="M239" s="96"/>
      <c r="N239" s="42"/>
      <c r="O239" s="42"/>
      <c r="P239" s="83"/>
      <c r="Q239" s="83"/>
      <c r="R239" s="42"/>
      <c r="S239" s="87"/>
      <c r="T239" s="83"/>
      <c r="U239" s="83"/>
      <c r="V239" s="61" t="str">
        <f>IFERROR(IF(T239="Ativo","Ativo",IF(T239="SKU excluído","Vencido",VLOOKUP(B239,Encerramentos!A:F,6,0))),"")</f>
        <v/>
      </c>
      <c r="W239" s="42"/>
      <c r="X239" s="42"/>
      <c r="Y239" s="42"/>
      <c r="Z239" s="42"/>
      <c r="AA239" s="42"/>
      <c r="AB239" s="42"/>
      <c r="AC239" s="42"/>
      <c r="AD239" s="42"/>
      <c r="AE239" s="42"/>
    </row>
    <row r="240">
      <c r="A240" s="95"/>
      <c r="B240" s="95"/>
      <c r="C240" s="54"/>
      <c r="D240" s="83"/>
      <c r="E240" s="96"/>
      <c r="F240" s="42"/>
      <c r="G240" s="97"/>
      <c r="H240" s="96"/>
      <c r="I240" s="96"/>
      <c r="J240" s="96"/>
      <c r="K240" s="99"/>
      <c r="L240" s="96"/>
      <c r="M240" s="96"/>
      <c r="N240" s="42"/>
      <c r="O240" s="42"/>
      <c r="P240" s="83"/>
      <c r="Q240" s="83"/>
      <c r="R240" s="42"/>
      <c r="S240" s="87"/>
      <c r="T240" s="83"/>
      <c r="U240" s="83"/>
      <c r="V240" s="61" t="str">
        <f>IFERROR(IF(T240="Ativo","Ativo",IF(T240="SKU excluído","Vencido",VLOOKUP(B240,Encerramentos!A:F,6,0))),"")</f>
        <v/>
      </c>
      <c r="W240" s="42"/>
      <c r="X240" s="42"/>
      <c r="Y240" s="42"/>
      <c r="Z240" s="42"/>
      <c r="AA240" s="42"/>
      <c r="AB240" s="42"/>
      <c r="AC240" s="42"/>
      <c r="AD240" s="42"/>
      <c r="AE240" s="42"/>
    </row>
    <row r="241">
      <c r="A241" s="95"/>
      <c r="B241" s="95"/>
      <c r="C241" s="54"/>
      <c r="D241" s="83"/>
      <c r="E241" s="96"/>
      <c r="F241" s="42"/>
      <c r="G241" s="97"/>
      <c r="H241" s="96"/>
      <c r="I241" s="96"/>
      <c r="J241" s="96"/>
      <c r="K241" s="99"/>
      <c r="L241" s="96"/>
      <c r="M241" s="96"/>
      <c r="N241" s="42"/>
      <c r="O241" s="42"/>
      <c r="P241" s="83"/>
      <c r="Q241" s="83"/>
      <c r="R241" s="42"/>
      <c r="S241" s="87"/>
      <c r="T241" s="83"/>
      <c r="U241" s="83"/>
      <c r="V241" s="61" t="str">
        <f>IFERROR(IF(T241="Ativo","Ativo",IF(T241="SKU excluído","Vencido",VLOOKUP(B241,Encerramentos!A:F,6,0))),"")</f>
        <v/>
      </c>
      <c r="W241" s="42"/>
      <c r="X241" s="42"/>
      <c r="Y241" s="42"/>
      <c r="Z241" s="42"/>
      <c r="AA241" s="42"/>
      <c r="AB241" s="42"/>
      <c r="AC241" s="42"/>
      <c r="AD241" s="42"/>
      <c r="AE241" s="42"/>
    </row>
    <row r="242">
      <c r="A242" s="95"/>
      <c r="B242" s="95"/>
      <c r="C242" s="54"/>
      <c r="D242" s="83"/>
      <c r="E242" s="96"/>
      <c r="F242" s="42"/>
      <c r="G242" s="97"/>
      <c r="H242" s="96"/>
      <c r="I242" s="96"/>
      <c r="J242" s="96"/>
      <c r="K242" s="99"/>
      <c r="L242" s="96"/>
      <c r="M242" s="96"/>
      <c r="N242" s="42"/>
      <c r="O242" s="42"/>
      <c r="P242" s="83"/>
      <c r="Q242" s="83"/>
      <c r="R242" s="42"/>
      <c r="S242" s="87"/>
      <c r="T242" s="83"/>
      <c r="U242" s="83"/>
      <c r="V242" s="61" t="str">
        <f>IFERROR(IF(T242="Ativo","Ativo",IF(T242="SKU excluído","Vencido",VLOOKUP(B242,Encerramentos!A:F,6,0))),"")</f>
        <v/>
      </c>
      <c r="W242" s="42"/>
      <c r="X242" s="42"/>
      <c r="Y242" s="42"/>
      <c r="Z242" s="42"/>
      <c r="AA242" s="42"/>
      <c r="AB242" s="42"/>
      <c r="AC242" s="42"/>
      <c r="AD242" s="42"/>
      <c r="AE242" s="42"/>
    </row>
    <row r="243">
      <c r="A243" s="95"/>
      <c r="B243" s="95"/>
      <c r="C243" s="54"/>
      <c r="D243" s="83"/>
      <c r="E243" s="96"/>
      <c r="F243" s="42"/>
      <c r="G243" s="97"/>
      <c r="H243" s="96"/>
      <c r="I243" s="96"/>
      <c r="J243" s="96"/>
      <c r="K243" s="99"/>
      <c r="L243" s="96"/>
      <c r="M243" s="96"/>
      <c r="N243" s="42"/>
      <c r="O243" s="42"/>
      <c r="P243" s="83"/>
      <c r="Q243" s="83"/>
      <c r="R243" s="42"/>
      <c r="S243" s="87"/>
      <c r="T243" s="83"/>
      <c r="U243" s="83"/>
      <c r="V243" s="61" t="str">
        <f>IFERROR(IF(T243="Ativo","Ativo",IF(T243="SKU excluído","Vencido",VLOOKUP(B243,Encerramentos!A:F,6,0))),"")</f>
        <v/>
      </c>
      <c r="W243" s="42"/>
      <c r="X243" s="42"/>
      <c r="Y243" s="42"/>
      <c r="Z243" s="42"/>
      <c r="AA243" s="42"/>
      <c r="AB243" s="42"/>
      <c r="AC243" s="42"/>
      <c r="AD243" s="42"/>
      <c r="AE243" s="42"/>
    </row>
    <row r="244">
      <c r="A244" s="95"/>
      <c r="B244" s="95"/>
      <c r="C244" s="54"/>
      <c r="D244" s="83"/>
      <c r="E244" s="96"/>
      <c r="F244" s="42"/>
      <c r="G244" s="97"/>
      <c r="H244" s="96"/>
      <c r="I244" s="96"/>
      <c r="J244" s="96"/>
      <c r="K244" s="99"/>
      <c r="L244" s="96"/>
      <c r="M244" s="96"/>
      <c r="N244" s="42"/>
      <c r="O244" s="42"/>
      <c r="P244" s="83"/>
      <c r="Q244" s="83"/>
      <c r="R244" s="42"/>
      <c r="S244" s="87"/>
      <c r="T244" s="83"/>
      <c r="U244" s="83"/>
      <c r="V244" s="61" t="str">
        <f>IFERROR(IF(T244="Ativo","Ativo",IF(T244="SKU excluído","Vencido",VLOOKUP(B244,Encerramentos!A:F,6,0))),"")</f>
        <v/>
      </c>
      <c r="W244" s="42"/>
      <c r="X244" s="42"/>
      <c r="Y244" s="42"/>
      <c r="Z244" s="42"/>
      <c r="AA244" s="42"/>
      <c r="AB244" s="42"/>
      <c r="AC244" s="42"/>
      <c r="AD244" s="42"/>
      <c r="AE244" s="42"/>
    </row>
    <row r="245">
      <c r="A245" s="95"/>
      <c r="B245" s="95"/>
      <c r="C245" s="54"/>
      <c r="D245" s="83"/>
      <c r="E245" s="96"/>
      <c r="F245" s="42"/>
      <c r="G245" s="97"/>
      <c r="H245" s="96"/>
      <c r="I245" s="96"/>
      <c r="J245" s="96"/>
      <c r="K245" s="99"/>
      <c r="L245" s="96"/>
      <c r="M245" s="96"/>
      <c r="N245" s="42"/>
      <c r="O245" s="42"/>
      <c r="P245" s="83"/>
      <c r="Q245" s="83"/>
      <c r="R245" s="42"/>
      <c r="S245" s="87"/>
      <c r="T245" s="83"/>
      <c r="U245" s="83"/>
      <c r="V245" s="61" t="str">
        <f>IFERROR(IF(T245="Ativo","Ativo",IF(T245="SKU excluído","Vencido",VLOOKUP(B245,Encerramentos!A:F,6,0))),"")</f>
        <v/>
      </c>
      <c r="W245" s="42"/>
      <c r="X245" s="42"/>
      <c r="Y245" s="42"/>
      <c r="Z245" s="42"/>
      <c r="AA245" s="42"/>
      <c r="AB245" s="42"/>
      <c r="AC245" s="42"/>
      <c r="AD245" s="42"/>
      <c r="AE245" s="42"/>
    </row>
    <row r="246">
      <c r="A246" s="95"/>
      <c r="B246" s="95"/>
      <c r="C246" s="54"/>
      <c r="D246" s="83"/>
      <c r="E246" s="96"/>
      <c r="F246" s="42"/>
      <c r="G246" s="97"/>
      <c r="H246" s="96"/>
      <c r="I246" s="96"/>
      <c r="J246" s="96"/>
      <c r="K246" s="99"/>
      <c r="L246" s="96"/>
      <c r="M246" s="96"/>
      <c r="N246" s="42"/>
      <c r="O246" s="42"/>
      <c r="P246" s="83"/>
      <c r="Q246" s="83"/>
      <c r="R246" s="42"/>
      <c r="S246" s="87"/>
      <c r="T246" s="83"/>
      <c r="U246" s="83"/>
      <c r="V246" s="61" t="str">
        <f>IFERROR(IF(T246="Ativo","Ativo",IF(T246="SKU excluído","Vencido",VLOOKUP(B246,Encerramentos!A:F,6,0))),"")</f>
        <v/>
      </c>
      <c r="W246" s="42"/>
      <c r="X246" s="42"/>
      <c r="Y246" s="42"/>
      <c r="Z246" s="42"/>
      <c r="AA246" s="42"/>
      <c r="AB246" s="42"/>
      <c r="AC246" s="42"/>
      <c r="AD246" s="42"/>
      <c r="AE246" s="42"/>
    </row>
    <row r="247">
      <c r="A247" s="95"/>
      <c r="B247" s="95"/>
      <c r="C247" s="54"/>
      <c r="D247" s="83"/>
      <c r="E247" s="96"/>
      <c r="F247" s="42"/>
      <c r="G247" s="97"/>
      <c r="H247" s="96"/>
      <c r="I247" s="96"/>
      <c r="J247" s="96"/>
      <c r="K247" s="99"/>
      <c r="L247" s="96"/>
      <c r="M247" s="96"/>
      <c r="N247" s="42"/>
      <c r="O247" s="42"/>
      <c r="P247" s="83"/>
      <c r="Q247" s="83"/>
      <c r="R247" s="42"/>
      <c r="S247" s="87"/>
      <c r="T247" s="83"/>
      <c r="U247" s="83"/>
      <c r="V247" s="61" t="str">
        <f>IFERROR(IF(T247="Ativo","Ativo",IF(T247="SKU excluído","Vencido",VLOOKUP(B247,Encerramentos!A:F,6,0))),"")</f>
        <v/>
      </c>
      <c r="W247" s="42"/>
      <c r="X247" s="42"/>
      <c r="Y247" s="42"/>
      <c r="Z247" s="42"/>
      <c r="AA247" s="42"/>
      <c r="AB247" s="42"/>
      <c r="AC247" s="42"/>
      <c r="AD247" s="42"/>
      <c r="AE247" s="42"/>
    </row>
    <row r="248">
      <c r="A248" s="95"/>
      <c r="B248" s="95"/>
      <c r="C248" s="54"/>
      <c r="D248" s="83"/>
      <c r="E248" s="96"/>
      <c r="F248" s="42"/>
      <c r="G248" s="97"/>
      <c r="H248" s="96"/>
      <c r="I248" s="96"/>
      <c r="J248" s="96"/>
      <c r="K248" s="99"/>
      <c r="L248" s="96"/>
      <c r="M248" s="96"/>
      <c r="N248" s="42"/>
      <c r="O248" s="42"/>
      <c r="P248" s="83"/>
      <c r="Q248" s="83"/>
      <c r="R248" s="42"/>
      <c r="S248" s="87"/>
      <c r="T248" s="83"/>
      <c r="U248" s="83"/>
      <c r="V248" s="61" t="str">
        <f>IFERROR(IF(T248="Ativo","Ativo",IF(T248="SKU excluído","Vencido",VLOOKUP(B248,Encerramentos!A:F,6,0))),"")</f>
        <v/>
      </c>
      <c r="W248" s="42"/>
      <c r="X248" s="42"/>
      <c r="Y248" s="42"/>
      <c r="Z248" s="42"/>
      <c r="AA248" s="42"/>
      <c r="AB248" s="42"/>
      <c r="AC248" s="42"/>
      <c r="AD248" s="42"/>
      <c r="AE248" s="42"/>
    </row>
    <row r="249">
      <c r="A249" s="95"/>
      <c r="B249" s="95"/>
      <c r="C249" s="54"/>
      <c r="D249" s="83"/>
      <c r="E249" s="96"/>
      <c r="F249" s="42"/>
      <c r="G249" s="97"/>
      <c r="H249" s="96"/>
      <c r="I249" s="96"/>
      <c r="J249" s="96"/>
      <c r="K249" s="99"/>
      <c r="L249" s="96"/>
      <c r="M249" s="96"/>
      <c r="N249" s="42"/>
      <c r="O249" s="42"/>
      <c r="P249" s="83"/>
      <c r="Q249" s="83"/>
      <c r="R249" s="42"/>
      <c r="S249" s="87"/>
      <c r="T249" s="83"/>
      <c r="U249" s="83"/>
      <c r="V249" s="61" t="str">
        <f>IFERROR(IF(T249="Ativo","Ativo",IF(T249="SKU excluído","Vencido",VLOOKUP(B249,Encerramentos!A:F,6,0))),"")</f>
        <v/>
      </c>
      <c r="W249" s="42"/>
      <c r="X249" s="42"/>
      <c r="Y249" s="42"/>
      <c r="Z249" s="42"/>
      <c r="AA249" s="42"/>
      <c r="AB249" s="42"/>
      <c r="AC249" s="42"/>
      <c r="AD249" s="42"/>
      <c r="AE249" s="42"/>
    </row>
    <row r="250">
      <c r="A250" s="95"/>
      <c r="B250" s="95"/>
      <c r="C250" s="54"/>
      <c r="D250" s="83"/>
      <c r="E250" s="96"/>
      <c r="F250" s="42"/>
      <c r="G250" s="97"/>
      <c r="H250" s="96"/>
      <c r="I250" s="96"/>
      <c r="J250" s="96"/>
      <c r="K250" s="99"/>
      <c r="L250" s="96"/>
      <c r="M250" s="96"/>
      <c r="N250" s="42"/>
      <c r="O250" s="42"/>
      <c r="P250" s="83"/>
      <c r="Q250" s="83"/>
      <c r="R250" s="42"/>
      <c r="S250" s="87"/>
      <c r="T250" s="83"/>
      <c r="U250" s="83"/>
      <c r="V250" s="61" t="str">
        <f>IFERROR(IF(T250="Ativo","Ativo",IF(T250="SKU excluído","Vencido",VLOOKUP(B250,Encerramentos!A:F,6,0))),"")</f>
        <v/>
      </c>
      <c r="W250" s="42"/>
      <c r="X250" s="42"/>
      <c r="Y250" s="42"/>
      <c r="Z250" s="42"/>
      <c r="AA250" s="42"/>
      <c r="AB250" s="42"/>
      <c r="AC250" s="42"/>
      <c r="AD250" s="42"/>
      <c r="AE250" s="42"/>
    </row>
    <row r="251">
      <c r="A251" s="95"/>
      <c r="B251" s="95"/>
      <c r="C251" s="54"/>
      <c r="D251" s="83"/>
      <c r="E251" s="96"/>
      <c r="F251" s="42"/>
      <c r="G251" s="97"/>
      <c r="H251" s="96"/>
      <c r="I251" s="96"/>
      <c r="J251" s="96"/>
      <c r="K251" s="99"/>
      <c r="L251" s="96"/>
      <c r="M251" s="96"/>
      <c r="N251" s="42"/>
      <c r="O251" s="42"/>
      <c r="P251" s="83"/>
      <c r="Q251" s="83"/>
      <c r="R251" s="42"/>
      <c r="S251" s="87"/>
      <c r="T251" s="83"/>
      <c r="U251" s="83"/>
      <c r="V251" s="61" t="str">
        <f>IFERROR(IF(T251="Ativo","Ativo",IF(T251="SKU excluído","Vencido",VLOOKUP(B251,Encerramentos!A:F,6,0))),"")</f>
        <v/>
      </c>
      <c r="W251" s="42"/>
      <c r="X251" s="42"/>
      <c r="Y251" s="42"/>
      <c r="Z251" s="42"/>
      <c r="AA251" s="42"/>
      <c r="AB251" s="42"/>
      <c r="AC251" s="42"/>
      <c r="AD251" s="42"/>
      <c r="AE251" s="42"/>
    </row>
    <row r="252">
      <c r="A252" s="95"/>
      <c r="B252" s="95"/>
      <c r="C252" s="54"/>
      <c r="D252" s="83"/>
      <c r="E252" s="96"/>
      <c r="F252" s="42"/>
      <c r="G252" s="97"/>
      <c r="H252" s="96"/>
      <c r="I252" s="96"/>
      <c r="J252" s="96"/>
      <c r="K252" s="99"/>
      <c r="L252" s="96"/>
      <c r="M252" s="96"/>
      <c r="N252" s="42"/>
      <c r="O252" s="42"/>
      <c r="P252" s="83"/>
      <c r="Q252" s="83"/>
      <c r="R252" s="42"/>
      <c r="S252" s="87"/>
      <c r="T252" s="83"/>
      <c r="U252" s="83"/>
      <c r="V252" s="61" t="str">
        <f>IFERROR(IF(T252="Ativo","Ativo",IF(T252="SKU excluído","Vencido",VLOOKUP(B252,Encerramentos!A:F,6,0))),"")</f>
        <v/>
      </c>
      <c r="W252" s="42"/>
      <c r="X252" s="42"/>
      <c r="Y252" s="42"/>
      <c r="Z252" s="42"/>
      <c r="AA252" s="42"/>
      <c r="AB252" s="42"/>
      <c r="AC252" s="42"/>
      <c r="AD252" s="42"/>
      <c r="AE252" s="42"/>
    </row>
    <row r="253">
      <c r="A253" s="95"/>
      <c r="B253" s="95"/>
      <c r="C253" s="54"/>
      <c r="D253" s="83"/>
      <c r="E253" s="96"/>
      <c r="F253" s="42"/>
      <c r="G253" s="97"/>
      <c r="H253" s="96"/>
      <c r="I253" s="96"/>
      <c r="J253" s="96"/>
      <c r="K253" s="99"/>
      <c r="L253" s="96"/>
      <c r="M253" s="96"/>
      <c r="N253" s="42"/>
      <c r="O253" s="42"/>
      <c r="P253" s="83"/>
      <c r="Q253" s="83"/>
      <c r="R253" s="42"/>
      <c r="S253" s="87"/>
      <c r="T253" s="83"/>
      <c r="U253" s="83"/>
      <c r="V253" s="61" t="str">
        <f>IFERROR(IF(T253="Ativo","Ativo",IF(T253="SKU excluído","Vencido",VLOOKUP(B253,Encerramentos!A:F,6,0))),"")</f>
        <v/>
      </c>
      <c r="W253" s="42"/>
      <c r="X253" s="42"/>
      <c r="Y253" s="42"/>
      <c r="Z253" s="42"/>
      <c r="AA253" s="42"/>
      <c r="AB253" s="42"/>
      <c r="AC253" s="42"/>
      <c r="AD253" s="42"/>
      <c r="AE253" s="42"/>
    </row>
    <row r="254">
      <c r="A254" s="95"/>
      <c r="B254" s="95"/>
      <c r="C254" s="54"/>
      <c r="D254" s="83"/>
      <c r="E254" s="96"/>
      <c r="F254" s="42"/>
      <c r="G254" s="97"/>
      <c r="H254" s="96"/>
      <c r="I254" s="96"/>
      <c r="J254" s="96"/>
      <c r="K254" s="99"/>
      <c r="L254" s="96"/>
      <c r="M254" s="96"/>
      <c r="N254" s="42"/>
      <c r="O254" s="42"/>
      <c r="P254" s="83"/>
      <c r="Q254" s="83"/>
      <c r="R254" s="42"/>
      <c r="S254" s="87"/>
      <c r="T254" s="83"/>
      <c r="U254" s="83"/>
      <c r="V254" s="61" t="str">
        <f>IFERROR(IF(T254="Ativo","Ativo",IF(T254="SKU excluído","Vencido",VLOOKUP(B254,Encerramentos!A:F,6,0))),"")</f>
        <v/>
      </c>
      <c r="W254" s="42"/>
      <c r="X254" s="42"/>
      <c r="Y254" s="42"/>
      <c r="Z254" s="42"/>
      <c r="AA254" s="42"/>
      <c r="AB254" s="42"/>
      <c r="AC254" s="42"/>
      <c r="AD254" s="42"/>
      <c r="AE254" s="42"/>
    </row>
    <row r="255">
      <c r="A255" s="95"/>
      <c r="B255" s="95"/>
      <c r="C255" s="54"/>
      <c r="D255" s="83"/>
      <c r="E255" s="96"/>
      <c r="F255" s="42"/>
      <c r="G255" s="97"/>
      <c r="H255" s="96"/>
      <c r="I255" s="96"/>
      <c r="J255" s="96"/>
      <c r="K255" s="99"/>
      <c r="L255" s="96"/>
      <c r="M255" s="96"/>
      <c r="N255" s="42"/>
      <c r="O255" s="42"/>
      <c r="P255" s="83"/>
      <c r="Q255" s="83"/>
      <c r="R255" s="42"/>
      <c r="S255" s="87"/>
      <c r="T255" s="83"/>
      <c r="U255" s="83"/>
      <c r="V255" s="61" t="str">
        <f>IFERROR(IF(T255="Ativo","Ativo",IF(T255="SKU excluído","Vencido",VLOOKUP(B255,Encerramentos!A:F,6,0))),"")</f>
        <v/>
      </c>
      <c r="W255" s="42"/>
      <c r="X255" s="42"/>
      <c r="Y255" s="42"/>
      <c r="Z255" s="42"/>
      <c r="AA255" s="42"/>
      <c r="AB255" s="42"/>
      <c r="AC255" s="42"/>
      <c r="AD255" s="42"/>
      <c r="AE255" s="42"/>
    </row>
    <row r="256">
      <c r="A256" s="95"/>
      <c r="B256" s="95"/>
      <c r="C256" s="54"/>
      <c r="D256" s="83"/>
      <c r="E256" s="96"/>
      <c r="F256" s="42"/>
      <c r="G256" s="97"/>
      <c r="H256" s="96"/>
      <c r="I256" s="96"/>
      <c r="J256" s="96"/>
      <c r="K256" s="99"/>
      <c r="L256" s="96"/>
      <c r="M256" s="96"/>
      <c r="N256" s="42"/>
      <c r="O256" s="42"/>
      <c r="P256" s="83"/>
      <c r="Q256" s="83"/>
      <c r="R256" s="42"/>
      <c r="S256" s="87"/>
      <c r="T256" s="83"/>
      <c r="U256" s="83"/>
      <c r="V256" s="61" t="str">
        <f>IFERROR(IF(T256="Ativo","Ativo",IF(T256="SKU excluído","Vencido",VLOOKUP(B256,Encerramentos!A:F,6,0))),"")</f>
        <v/>
      </c>
      <c r="W256" s="42"/>
      <c r="X256" s="42"/>
      <c r="Y256" s="42"/>
      <c r="Z256" s="42"/>
      <c r="AA256" s="42"/>
      <c r="AB256" s="42"/>
      <c r="AC256" s="42"/>
      <c r="AD256" s="42"/>
      <c r="AE256" s="42"/>
    </row>
    <row r="257">
      <c r="A257" s="95"/>
      <c r="B257" s="95"/>
      <c r="C257" s="54"/>
      <c r="D257" s="83"/>
      <c r="E257" s="96"/>
      <c r="F257" s="42"/>
      <c r="G257" s="97"/>
      <c r="H257" s="96"/>
      <c r="I257" s="96"/>
      <c r="J257" s="96"/>
      <c r="K257" s="99"/>
      <c r="L257" s="96"/>
      <c r="M257" s="96"/>
      <c r="N257" s="42"/>
      <c r="O257" s="42"/>
      <c r="P257" s="83"/>
      <c r="Q257" s="83"/>
      <c r="R257" s="42"/>
      <c r="S257" s="87"/>
      <c r="T257" s="83"/>
      <c r="U257" s="83"/>
      <c r="V257" s="61" t="str">
        <f>IFERROR(IF(T257="Ativo","Ativo",IF(T257="SKU excluído","Vencido",VLOOKUP(B257,Encerramentos!A:F,6,0))),"")</f>
        <v/>
      </c>
      <c r="W257" s="42"/>
      <c r="X257" s="42"/>
      <c r="Y257" s="42"/>
      <c r="Z257" s="42"/>
      <c r="AA257" s="42"/>
      <c r="AB257" s="42"/>
      <c r="AC257" s="42"/>
      <c r="AD257" s="42"/>
      <c r="AE257" s="42"/>
    </row>
    <row r="258">
      <c r="A258" s="95"/>
      <c r="B258" s="95"/>
      <c r="C258" s="54"/>
      <c r="D258" s="83"/>
      <c r="E258" s="96"/>
      <c r="F258" s="42"/>
      <c r="G258" s="97"/>
      <c r="H258" s="96"/>
      <c r="I258" s="96"/>
      <c r="J258" s="96"/>
      <c r="K258" s="99"/>
      <c r="L258" s="96"/>
      <c r="M258" s="96"/>
      <c r="N258" s="42"/>
      <c r="O258" s="42"/>
      <c r="P258" s="83"/>
      <c r="Q258" s="83"/>
      <c r="R258" s="42"/>
      <c r="S258" s="87"/>
      <c r="T258" s="83"/>
      <c r="U258" s="83"/>
      <c r="V258" s="61" t="str">
        <f>IFERROR(IF(T258="Ativo","Ativo",IF(T258="SKU excluído","Vencido",VLOOKUP(B258,Encerramentos!A:F,6,0))),"")</f>
        <v/>
      </c>
      <c r="W258" s="42"/>
      <c r="X258" s="42"/>
      <c r="Y258" s="42"/>
      <c r="Z258" s="42"/>
      <c r="AA258" s="42"/>
      <c r="AB258" s="42"/>
      <c r="AC258" s="42"/>
      <c r="AD258" s="42"/>
      <c r="AE258" s="42"/>
    </row>
    <row r="259">
      <c r="A259" s="95"/>
      <c r="B259" s="95"/>
      <c r="C259" s="54"/>
      <c r="D259" s="83"/>
      <c r="E259" s="96"/>
      <c r="F259" s="42"/>
      <c r="G259" s="97"/>
      <c r="H259" s="96"/>
      <c r="I259" s="96"/>
      <c r="J259" s="96"/>
      <c r="K259" s="99"/>
      <c r="L259" s="96"/>
      <c r="M259" s="96"/>
      <c r="N259" s="42"/>
      <c r="O259" s="42"/>
      <c r="P259" s="83"/>
      <c r="Q259" s="83"/>
      <c r="R259" s="42"/>
      <c r="S259" s="87"/>
      <c r="T259" s="83"/>
      <c r="U259" s="83"/>
      <c r="V259" s="61" t="str">
        <f>IFERROR(IF(T259="Ativo","Ativo",IF(T259="SKU excluído","Vencido",VLOOKUP(B259,Encerramentos!A:F,6,0))),"")</f>
        <v/>
      </c>
      <c r="W259" s="42"/>
      <c r="X259" s="42"/>
      <c r="Y259" s="42"/>
      <c r="Z259" s="42"/>
      <c r="AA259" s="42"/>
      <c r="AB259" s="42"/>
      <c r="AC259" s="42"/>
      <c r="AD259" s="42"/>
      <c r="AE259" s="42"/>
    </row>
    <row r="260">
      <c r="A260" s="95"/>
      <c r="B260" s="95"/>
      <c r="C260" s="54"/>
      <c r="D260" s="83"/>
      <c r="E260" s="96"/>
      <c r="F260" s="42"/>
      <c r="G260" s="97"/>
      <c r="H260" s="96"/>
      <c r="I260" s="96"/>
      <c r="J260" s="96"/>
      <c r="K260" s="99"/>
      <c r="L260" s="96"/>
      <c r="M260" s="96"/>
      <c r="N260" s="42"/>
      <c r="O260" s="42"/>
      <c r="P260" s="83"/>
      <c r="Q260" s="83"/>
      <c r="R260" s="42"/>
      <c r="S260" s="87"/>
      <c r="T260" s="83"/>
      <c r="U260" s="83"/>
      <c r="V260" s="61" t="str">
        <f>IFERROR(IF(T260="Ativo","Ativo",IF(T260="SKU excluído","Vencido",VLOOKUP(B260,Encerramentos!A:F,6,0))),"")</f>
        <v/>
      </c>
      <c r="W260" s="42"/>
      <c r="X260" s="42"/>
      <c r="Y260" s="42"/>
      <c r="Z260" s="42"/>
      <c r="AA260" s="42"/>
      <c r="AB260" s="42"/>
      <c r="AC260" s="42"/>
      <c r="AD260" s="42"/>
      <c r="AE260" s="42"/>
    </row>
    <row r="261">
      <c r="A261" s="95"/>
      <c r="B261" s="95"/>
      <c r="C261" s="54"/>
      <c r="D261" s="83"/>
      <c r="E261" s="96"/>
      <c r="F261" s="42"/>
      <c r="G261" s="97"/>
      <c r="H261" s="96"/>
      <c r="I261" s="96"/>
      <c r="J261" s="96"/>
      <c r="K261" s="99"/>
      <c r="L261" s="96"/>
      <c r="M261" s="96"/>
      <c r="N261" s="42"/>
      <c r="O261" s="42"/>
      <c r="P261" s="83"/>
      <c r="Q261" s="83"/>
      <c r="R261" s="42"/>
      <c r="S261" s="87"/>
      <c r="T261" s="83"/>
      <c r="U261" s="83"/>
      <c r="V261" s="61" t="str">
        <f>IFERROR(IF(T261="Ativo","Ativo",IF(T261="SKU excluído","Vencido",VLOOKUP(B261,Encerramentos!A:F,6,0))),"")</f>
        <v/>
      </c>
      <c r="W261" s="42"/>
      <c r="X261" s="42"/>
      <c r="Y261" s="42"/>
      <c r="Z261" s="42"/>
      <c r="AA261" s="42"/>
      <c r="AB261" s="42"/>
      <c r="AC261" s="42"/>
      <c r="AD261" s="42"/>
      <c r="AE261" s="42"/>
    </row>
    <row r="262">
      <c r="A262" s="95"/>
      <c r="B262" s="95"/>
      <c r="C262" s="54"/>
      <c r="D262" s="83"/>
      <c r="E262" s="96"/>
      <c r="F262" s="42"/>
      <c r="G262" s="97"/>
      <c r="H262" s="96"/>
      <c r="I262" s="96"/>
      <c r="J262" s="96"/>
      <c r="K262" s="99"/>
      <c r="L262" s="96"/>
      <c r="M262" s="96"/>
      <c r="N262" s="42"/>
      <c r="O262" s="42"/>
      <c r="P262" s="83"/>
      <c r="Q262" s="83"/>
      <c r="R262" s="42"/>
      <c r="S262" s="87"/>
      <c r="T262" s="83"/>
      <c r="U262" s="83"/>
      <c r="V262" s="61" t="str">
        <f>IFERROR(IF(T262="Ativo","Ativo",IF(T262="SKU excluído","Vencido",VLOOKUP(B262,Encerramentos!A:F,6,0))),"")</f>
        <v/>
      </c>
      <c r="W262" s="42"/>
      <c r="X262" s="42"/>
      <c r="Y262" s="42"/>
      <c r="Z262" s="42"/>
      <c r="AA262" s="42"/>
      <c r="AB262" s="42"/>
      <c r="AC262" s="42"/>
      <c r="AD262" s="42"/>
      <c r="AE262" s="42"/>
    </row>
    <row r="263">
      <c r="A263" s="95"/>
      <c r="B263" s="95"/>
      <c r="C263" s="54"/>
      <c r="D263" s="83"/>
      <c r="E263" s="96"/>
      <c r="F263" s="42"/>
      <c r="G263" s="97"/>
      <c r="H263" s="96"/>
      <c r="I263" s="96"/>
      <c r="J263" s="96"/>
      <c r="K263" s="99"/>
      <c r="L263" s="96"/>
      <c r="M263" s="96"/>
      <c r="N263" s="42"/>
      <c r="O263" s="42"/>
      <c r="P263" s="83"/>
      <c r="Q263" s="83"/>
      <c r="R263" s="42"/>
      <c r="S263" s="87"/>
      <c r="T263" s="83"/>
      <c r="U263" s="83"/>
      <c r="V263" s="61" t="str">
        <f>IFERROR(IF(T263="Ativo","Ativo",IF(T263="SKU excluído","Vencido",VLOOKUP(B263,Encerramentos!A:F,6,0))),"")</f>
        <v/>
      </c>
      <c r="W263" s="42"/>
      <c r="X263" s="42"/>
      <c r="Y263" s="42"/>
      <c r="Z263" s="42"/>
      <c r="AA263" s="42"/>
      <c r="AB263" s="42"/>
      <c r="AC263" s="42"/>
      <c r="AD263" s="42"/>
      <c r="AE263" s="42"/>
    </row>
    <row r="264">
      <c r="A264" s="95"/>
      <c r="B264" s="95"/>
      <c r="C264" s="54"/>
      <c r="D264" s="83"/>
      <c r="E264" s="96"/>
      <c r="F264" s="42"/>
      <c r="G264" s="97"/>
      <c r="H264" s="96"/>
      <c r="I264" s="96"/>
      <c r="J264" s="96"/>
      <c r="K264" s="99"/>
      <c r="L264" s="96"/>
      <c r="M264" s="96"/>
      <c r="N264" s="42"/>
      <c r="O264" s="42"/>
      <c r="P264" s="83"/>
      <c r="Q264" s="83"/>
      <c r="R264" s="42"/>
      <c r="S264" s="87"/>
      <c r="T264" s="83"/>
      <c r="U264" s="83"/>
      <c r="V264" s="61" t="str">
        <f>IFERROR(IF(T264="Ativo","Ativo",IF(T264="SKU excluído","Vencido",VLOOKUP(B264,Encerramentos!A:F,6,0))),"")</f>
        <v/>
      </c>
      <c r="W264" s="42"/>
      <c r="X264" s="42"/>
      <c r="Y264" s="42"/>
      <c r="Z264" s="42"/>
      <c r="AA264" s="42"/>
      <c r="AB264" s="42"/>
      <c r="AC264" s="42"/>
      <c r="AD264" s="42"/>
      <c r="AE264" s="42"/>
    </row>
    <row r="265">
      <c r="A265" s="95"/>
      <c r="B265" s="95"/>
      <c r="C265" s="54"/>
      <c r="D265" s="83"/>
      <c r="E265" s="96"/>
      <c r="F265" s="42"/>
      <c r="G265" s="97"/>
      <c r="H265" s="96"/>
      <c r="I265" s="96"/>
      <c r="J265" s="96"/>
      <c r="K265" s="99"/>
      <c r="L265" s="96"/>
      <c r="M265" s="96"/>
      <c r="N265" s="42"/>
      <c r="O265" s="42"/>
      <c r="P265" s="83"/>
      <c r="Q265" s="83"/>
      <c r="R265" s="42"/>
      <c r="S265" s="87"/>
      <c r="T265" s="83"/>
      <c r="U265" s="83"/>
      <c r="V265" s="61" t="str">
        <f>IFERROR(IF(T265="Ativo","Ativo",IF(T265="SKU excluído","Vencido",VLOOKUP(B265,Encerramentos!A:F,6,0))),"")</f>
        <v/>
      </c>
      <c r="W265" s="42"/>
      <c r="X265" s="42"/>
      <c r="Y265" s="42"/>
      <c r="Z265" s="42"/>
      <c r="AA265" s="42"/>
      <c r="AB265" s="42"/>
      <c r="AC265" s="42"/>
      <c r="AD265" s="42"/>
      <c r="AE265" s="42"/>
    </row>
    <row r="266">
      <c r="A266" s="95"/>
      <c r="B266" s="95"/>
      <c r="C266" s="54"/>
      <c r="D266" s="83"/>
      <c r="E266" s="96"/>
      <c r="F266" s="42"/>
      <c r="G266" s="97"/>
      <c r="H266" s="96"/>
      <c r="I266" s="96"/>
      <c r="J266" s="96"/>
      <c r="K266" s="99"/>
      <c r="L266" s="96"/>
      <c r="M266" s="96"/>
      <c r="N266" s="42"/>
      <c r="O266" s="42"/>
      <c r="P266" s="83"/>
      <c r="Q266" s="83"/>
      <c r="R266" s="42"/>
      <c r="S266" s="87"/>
      <c r="T266" s="83"/>
      <c r="U266" s="83"/>
      <c r="V266" s="61" t="str">
        <f>IFERROR(IF(T266="Ativo","Ativo",IF(T266="SKU excluído","Vencido",VLOOKUP(B266,Encerramentos!A:F,6,0))),"")</f>
        <v/>
      </c>
      <c r="W266" s="42"/>
      <c r="X266" s="42"/>
      <c r="Y266" s="42"/>
      <c r="Z266" s="42"/>
      <c r="AA266" s="42"/>
      <c r="AB266" s="42"/>
      <c r="AC266" s="42"/>
      <c r="AD266" s="42"/>
      <c r="AE266" s="42"/>
    </row>
    <row r="267">
      <c r="A267" s="95"/>
      <c r="B267" s="95"/>
      <c r="C267" s="54"/>
      <c r="D267" s="83"/>
      <c r="E267" s="96"/>
      <c r="F267" s="42"/>
      <c r="G267" s="97"/>
      <c r="H267" s="96"/>
      <c r="I267" s="96"/>
      <c r="J267" s="96"/>
      <c r="K267" s="99"/>
      <c r="L267" s="96"/>
      <c r="M267" s="96"/>
      <c r="N267" s="42"/>
      <c r="O267" s="42"/>
      <c r="P267" s="83"/>
      <c r="Q267" s="83"/>
      <c r="R267" s="42"/>
      <c r="S267" s="87"/>
      <c r="T267" s="83"/>
      <c r="U267" s="83"/>
      <c r="V267" s="61" t="str">
        <f>IFERROR(IF(T267="Ativo","Ativo",IF(T267="SKU excluído","Vencido",VLOOKUP(B267,Encerramentos!A:F,6,0))),"")</f>
        <v/>
      </c>
      <c r="W267" s="42"/>
      <c r="X267" s="42"/>
      <c r="Y267" s="42"/>
      <c r="Z267" s="42"/>
      <c r="AA267" s="42"/>
      <c r="AB267" s="42"/>
      <c r="AC267" s="42"/>
      <c r="AD267" s="42"/>
      <c r="AE267" s="42"/>
    </row>
    <row r="268">
      <c r="A268" s="95"/>
      <c r="B268" s="95"/>
      <c r="C268" s="54"/>
      <c r="D268" s="83"/>
      <c r="E268" s="96"/>
      <c r="F268" s="42"/>
      <c r="G268" s="97"/>
      <c r="H268" s="96"/>
      <c r="I268" s="96"/>
      <c r="J268" s="96"/>
      <c r="K268" s="99"/>
      <c r="L268" s="96"/>
      <c r="M268" s="96"/>
      <c r="N268" s="42"/>
      <c r="O268" s="42"/>
      <c r="P268" s="83"/>
      <c r="Q268" s="83"/>
      <c r="R268" s="42"/>
      <c r="S268" s="87"/>
      <c r="T268" s="83"/>
      <c r="U268" s="83"/>
      <c r="V268" s="61" t="str">
        <f>IFERROR(IF(T268="Ativo","Ativo",IF(T268="SKU excluído","Vencido",VLOOKUP(B268,Encerramentos!A:F,6,0))),"")</f>
        <v/>
      </c>
      <c r="W268" s="42"/>
      <c r="X268" s="42"/>
      <c r="Y268" s="42"/>
      <c r="Z268" s="42"/>
      <c r="AA268" s="42"/>
      <c r="AB268" s="42"/>
      <c r="AC268" s="42"/>
      <c r="AD268" s="42"/>
      <c r="AE268" s="42"/>
    </row>
    <row r="269">
      <c r="A269" s="95"/>
      <c r="B269" s="95"/>
      <c r="C269" s="54"/>
      <c r="D269" s="83"/>
      <c r="E269" s="96"/>
      <c r="F269" s="42"/>
      <c r="G269" s="97"/>
      <c r="H269" s="96"/>
      <c r="I269" s="96"/>
      <c r="J269" s="96"/>
      <c r="K269" s="99"/>
      <c r="L269" s="96"/>
      <c r="M269" s="96"/>
      <c r="N269" s="42"/>
      <c r="O269" s="42"/>
      <c r="P269" s="83"/>
      <c r="Q269" s="83"/>
      <c r="R269" s="42"/>
      <c r="S269" s="87"/>
      <c r="T269" s="83"/>
      <c r="U269" s="83"/>
      <c r="V269" s="61" t="str">
        <f>IFERROR(IF(T269="Ativo","Ativo",IF(T269="SKU excluído","Vencido",VLOOKUP(B269,Encerramentos!A:F,6,0))),"")</f>
        <v/>
      </c>
      <c r="W269" s="42"/>
      <c r="X269" s="42"/>
      <c r="Y269" s="42"/>
      <c r="Z269" s="42"/>
      <c r="AA269" s="42"/>
      <c r="AB269" s="42"/>
      <c r="AC269" s="42"/>
      <c r="AD269" s="42"/>
      <c r="AE269" s="42"/>
    </row>
    <row r="270">
      <c r="A270" s="95"/>
      <c r="B270" s="95"/>
      <c r="C270" s="54"/>
      <c r="D270" s="83"/>
      <c r="E270" s="96"/>
      <c r="F270" s="42"/>
      <c r="G270" s="97"/>
      <c r="H270" s="96"/>
      <c r="I270" s="96"/>
      <c r="J270" s="96"/>
      <c r="K270" s="99"/>
      <c r="L270" s="96"/>
      <c r="M270" s="96"/>
      <c r="N270" s="42"/>
      <c r="O270" s="42"/>
      <c r="P270" s="83"/>
      <c r="Q270" s="83"/>
      <c r="R270" s="42"/>
      <c r="S270" s="87"/>
      <c r="T270" s="83"/>
      <c r="U270" s="83"/>
      <c r="V270" s="61" t="str">
        <f>IFERROR(IF(T270="Ativo","Ativo",IF(T270="SKU excluído","Vencido",VLOOKUP(B270,Encerramentos!A:F,6,0))),"")</f>
        <v/>
      </c>
      <c r="W270" s="42"/>
      <c r="X270" s="42"/>
      <c r="Y270" s="42"/>
      <c r="Z270" s="42"/>
      <c r="AA270" s="42"/>
      <c r="AB270" s="42"/>
      <c r="AC270" s="42"/>
      <c r="AD270" s="42"/>
      <c r="AE270" s="42"/>
    </row>
    <row r="271">
      <c r="A271" s="95"/>
      <c r="B271" s="95"/>
      <c r="C271" s="54"/>
      <c r="D271" s="83"/>
      <c r="E271" s="96"/>
      <c r="F271" s="42"/>
      <c r="G271" s="97"/>
      <c r="H271" s="96"/>
      <c r="I271" s="96"/>
      <c r="J271" s="96"/>
      <c r="K271" s="99"/>
      <c r="L271" s="96"/>
      <c r="M271" s="96"/>
      <c r="N271" s="42"/>
      <c r="O271" s="42"/>
      <c r="P271" s="83"/>
      <c r="Q271" s="83"/>
      <c r="R271" s="42"/>
      <c r="S271" s="87"/>
      <c r="T271" s="83"/>
      <c r="U271" s="83"/>
      <c r="V271" s="61" t="str">
        <f>IFERROR(IF(T271="Ativo","Ativo",IF(T271="SKU excluído","Vencido",VLOOKUP(B271,Encerramentos!A:F,6,0))),"")</f>
        <v/>
      </c>
      <c r="W271" s="42"/>
      <c r="X271" s="42"/>
      <c r="Y271" s="42"/>
      <c r="Z271" s="42"/>
      <c r="AA271" s="42"/>
      <c r="AB271" s="42"/>
      <c r="AC271" s="42"/>
      <c r="AD271" s="42"/>
      <c r="AE271" s="42"/>
    </row>
    <row r="272">
      <c r="A272" s="95"/>
      <c r="B272" s="95"/>
      <c r="C272" s="54"/>
      <c r="D272" s="83"/>
      <c r="E272" s="96"/>
      <c r="F272" s="42"/>
      <c r="G272" s="97"/>
      <c r="H272" s="96"/>
      <c r="I272" s="96"/>
      <c r="J272" s="96"/>
      <c r="K272" s="99"/>
      <c r="L272" s="96"/>
      <c r="M272" s="96"/>
      <c r="N272" s="42"/>
      <c r="O272" s="42"/>
      <c r="P272" s="83"/>
      <c r="Q272" s="83"/>
      <c r="R272" s="42"/>
      <c r="S272" s="87"/>
      <c r="T272" s="83"/>
      <c r="U272" s="83"/>
      <c r="V272" s="61" t="str">
        <f>IFERROR(IF(T272="Ativo","Ativo",IF(T272="SKU excluído","Vencido",VLOOKUP(B272,Encerramentos!A:F,6,0))),"")</f>
        <v/>
      </c>
      <c r="W272" s="42"/>
      <c r="X272" s="42"/>
      <c r="Y272" s="42"/>
      <c r="Z272" s="42"/>
      <c r="AA272" s="42"/>
      <c r="AB272" s="42"/>
      <c r="AC272" s="42"/>
      <c r="AD272" s="42"/>
      <c r="AE272" s="42"/>
    </row>
    <row r="273">
      <c r="A273" s="95"/>
      <c r="B273" s="95"/>
      <c r="C273" s="54"/>
      <c r="D273" s="83"/>
      <c r="E273" s="96"/>
      <c r="F273" s="42"/>
      <c r="G273" s="97"/>
      <c r="H273" s="96"/>
      <c r="I273" s="96"/>
      <c r="J273" s="96"/>
      <c r="K273" s="99"/>
      <c r="L273" s="96"/>
      <c r="M273" s="96"/>
      <c r="N273" s="42"/>
      <c r="O273" s="42"/>
      <c r="P273" s="83"/>
      <c r="Q273" s="83"/>
      <c r="R273" s="42"/>
      <c r="S273" s="87"/>
      <c r="T273" s="83"/>
      <c r="U273" s="83"/>
      <c r="V273" s="61" t="str">
        <f>IFERROR(IF(T273="Ativo","Ativo",IF(T273="SKU excluído","Vencido",VLOOKUP(B273,Encerramentos!A:F,6,0))),"")</f>
        <v/>
      </c>
      <c r="W273" s="42"/>
      <c r="X273" s="42"/>
      <c r="Y273" s="42"/>
      <c r="Z273" s="42"/>
      <c r="AA273" s="42"/>
      <c r="AB273" s="42"/>
      <c r="AC273" s="42"/>
      <c r="AD273" s="42"/>
      <c r="AE273" s="42"/>
    </row>
    <row r="274">
      <c r="A274" s="95"/>
      <c r="B274" s="95"/>
      <c r="C274" s="54"/>
      <c r="D274" s="83"/>
      <c r="E274" s="96"/>
      <c r="F274" s="42"/>
      <c r="G274" s="97"/>
      <c r="H274" s="96"/>
      <c r="I274" s="96"/>
      <c r="J274" s="96"/>
      <c r="K274" s="99"/>
      <c r="L274" s="96"/>
      <c r="M274" s="96"/>
      <c r="N274" s="42"/>
      <c r="O274" s="42"/>
      <c r="P274" s="83"/>
      <c r="Q274" s="83"/>
      <c r="R274" s="42"/>
      <c r="S274" s="87"/>
      <c r="T274" s="83"/>
      <c r="U274" s="83"/>
      <c r="V274" s="61" t="str">
        <f>IFERROR(IF(T274="Ativo","Ativo",IF(T274="SKU excluído","Vencido",VLOOKUP(B274,Encerramentos!A:F,6,0))),"")</f>
        <v/>
      </c>
      <c r="W274" s="42"/>
      <c r="X274" s="42"/>
      <c r="Y274" s="42"/>
      <c r="Z274" s="42"/>
      <c r="AA274" s="42"/>
      <c r="AB274" s="42"/>
      <c r="AC274" s="42"/>
      <c r="AD274" s="42"/>
      <c r="AE274" s="42"/>
    </row>
    <row r="275">
      <c r="A275" s="95"/>
      <c r="B275" s="95"/>
      <c r="C275" s="54"/>
      <c r="D275" s="83"/>
      <c r="E275" s="96"/>
      <c r="F275" s="42"/>
      <c r="G275" s="97"/>
      <c r="H275" s="96"/>
      <c r="I275" s="96"/>
      <c r="J275" s="96"/>
      <c r="K275" s="99"/>
      <c r="L275" s="96"/>
      <c r="M275" s="96"/>
      <c r="N275" s="42"/>
      <c r="O275" s="42"/>
      <c r="P275" s="83"/>
      <c r="Q275" s="83"/>
      <c r="R275" s="42"/>
      <c r="S275" s="87"/>
      <c r="T275" s="83"/>
      <c r="U275" s="83"/>
      <c r="V275" s="61" t="str">
        <f>IFERROR(IF(T275="Ativo","Ativo",IF(T275="SKU excluído","Vencido",VLOOKUP(B275,Encerramentos!A:F,6,0))),"")</f>
        <v/>
      </c>
      <c r="W275" s="42"/>
      <c r="X275" s="42"/>
      <c r="Y275" s="42"/>
      <c r="Z275" s="42"/>
      <c r="AA275" s="42"/>
      <c r="AB275" s="42"/>
      <c r="AC275" s="42"/>
      <c r="AD275" s="42"/>
      <c r="AE275" s="42"/>
    </row>
    <row r="276">
      <c r="A276" s="95"/>
      <c r="B276" s="95"/>
      <c r="C276" s="54"/>
      <c r="D276" s="83"/>
      <c r="E276" s="96"/>
      <c r="F276" s="42"/>
      <c r="G276" s="97"/>
      <c r="H276" s="96"/>
      <c r="I276" s="96"/>
      <c r="J276" s="96"/>
      <c r="K276" s="99"/>
      <c r="L276" s="96"/>
      <c r="M276" s="96"/>
      <c r="N276" s="42"/>
      <c r="O276" s="42"/>
      <c r="P276" s="83"/>
      <c r="Q276" s="83"/>
      <c r="R276" s="42"/>
      <c r="S276" s="87"/>
      <c r="T276" s="83"/>
      <c r="U276" s="83"/>
      <c r="V276" s="61" t="str">
        <f>IFERROR(IF(T276="Ativo","Ativo",IF(T276="SKU excluído","Vencido",VLOOKUP(B276,Encerramentos!A:F,6,0))),"")</f>
        <v/>
      </c>
      <c r="W276" s="42"/>
      <c r="X276" s="42"/>
      <c r="Y276" s="42"/>
      <c r="Z276" s="42"/>
      <c r="AA276" s="42"/>
      <c r="AB276" s="42"/>
      <c r="AC276" s="42"/>
      <c r="AD276" s="42"/>
      <c r="AE276" s="42"/>
    </row>
    <row r="277">
      <c r="A277" s="95"/>
      <c r="B277" s="95"/>
      <c r="C277" s="54"/>
      <c r="D277" s="83"/>
      <c r="E277" s="96"/>
      <c r="F277" s="42"/>
      <c r="G277" s="97"/>
      <c r="H277" s="96"/>
      <c r="I277" s="96"/>
      <c r="J277" s="96"/>
      <c r="K277" s="99"/>
      <c r="L277" s="96"/>
      <c r="M277" s="96"/>
      <c r="N277" s="42"/>
      <c r="O277" s="42"/>
      <c r="P277" s="83"/>
      <c r="Q277" s="83"/>
      <c r="R277" s="42"/>
      <c r="S277" s="87"/>
      <c r="T277" s="83"/>
      <c r="U277" s="83"/>
      <c r="V277" s="61" t="str">
        <f>IFERROR(IF(T277="Ativo","Ativo",IF(T277="SKU excluído","Vencido",VLOOKUP(B277,Encerramentos!A:F,6,0))),"")</f>
        <v/>
      </c>
      <c r="W277" s="42"/>
      <c r="X277" s="42"/>
      <c r="Y277" s="42"/>
      <c r="Z277" s="42"/>
      <c r="AA277" s="42"/>
      <c r="AB277" s="42"/>
      <c r="AC277" s="42"/>
      <c r="AD277" s="42"/>
      <c r="AE277" s="42"/>
    </row>
    <row r="278">
      <c r="A278" s="95"/>
      <c r="B278" s="95"/>
      <c r="C278" s="54"/>
      <c r="D278" s="83"/>
      <c r="E278" s="96"/>
      <c r="F278" s="42"/>
      <c r="G278" s="97"/>
      <c r="H278" s="96"/>
      <c r="I278" s="96"/>
      <c r="J278" s="96"/>
      <c r="K278" s="99"/>
      <c r="L278" s="96"/>
      <c r="M278" s="96"/>
      <c r="N278" s="42"/>
      <c r="O278" s="42"/>
      <c r="P278" s="83"/>
      <c r="Q278" s="83"/>
      <c r="R278" s="42"/>
      <c r="S278" s="87"/>
      <c r="T278" s="83"/>
      <c r="U278" s="83"/>
      <c r="V278" s="61" t="str">
        <f>IFERROR(IF(T278="Ativo","Ativo",IF(T278="SKU excluído","Vencido",VLOOKUP(B278,Encerramentos!A:F,6,0))),"")</f>
        <v/>
      </c>
      <c r="W278" s="42"/>
      <c r="X278" s="42"/>
      <c r="Y278" s="42"/>
      <c r="Z278" s="42"/>
      <c r="AA278" s="42"/>
      <c r="AB278" s="42"/>
      <c r="AC278" s="42"/>
      <c r="AD278" s="42"/>
      <c r="AE278" s="42"/>
    </row>
    <row r="279">
      <c r="A279" s="95"/>
      <c r="B279" s="95"/>
      <c r="C279" s="54"/>
      <c r="D279" s="83"/>
      <c r="E279" s="96"/>
      <c r="F279" s="42"/>
      <c r="G279" s="97"/>
      <c r="H279" s="96"/>
      <c r="I279" s="96"/>
      <c r="J279" s="96"/>
      <c r="K279" s="99"/>
      <c r="L279" s="96"/>
      <c r="M279" s="96"/>
      <c r="N279" s="42"/>
      <c r="O279" s="42"/>
      <c r="P279" s="83"/>
      <c r="Q279" s="83"/>
      <c r="R279" s="42"/>
      <c r="S279" s="87"/>
      <c r="T279" s="83"/>
      <c r="U279" s="83"/>
      <c r="V279" s="61" t="str">
        <f>IFERROR(IF(T279="Ativo","Ativo",IF(T279="SKU excluído","Vencido",VLOOKUP(B279,Encerramentos!A:F,6,0))),"")</f>
        <v/>
      </c>
      <c r="W279" s="42"/>
      <c r="X279" s="42"/>
      <c r="Y279" s="42"/>
      <c r="Z279" s="42"/>
      <c r="AA279" s="42"/>
      <c r="AB279" s="42"/>
      <c r="AC279" s="42"/>
      <c r="AD279" s="42"/>
      <c r="AE279" s="42"/>
    </row>
    <row r="280">
      <c r="A280" s="95"/>
      <c r="B280" s="95"/>
      <c r="C280" s="54"/>
      <c r="D280" s="83"/>
      <c r="E280" s="96"/>
      <c r="F280" s="42"/>
      <c r="G280" s="97"/>
      <c r="H280" s="96"/>
      <c r="I280" s="96"/>
      <c r="J280" s="96"/>
      <c r="K280" s="99"/>
      <c r="L280" s="96"/>
      <c r="M280" s="96"/>
      <c r="N280" s="42"/>
      <c r="O280" s="42"/>
      <c r="P280" s="83"/>
      <c r="Q280" s="83"/>
      <c r="R280" s="42"/>
      <c r="S280" s="87"/>
      <c r="T280" s="83"/>
      <c r="U280" s="83"/>
      <c r="V280" s="61" t="str">
        <f>IFERROR(IF(T280="Ativo","Ativo",IF(T280="SKU excluído","Vencido",VLOOKUP(B280,Encerramentos!A:F,6,0))),"")</f>
        <v/>
      </c>
      <c r="W280" s="42"/>
      <c r="X280" s="42"/>
      <c r="Y280" s="42"/>
      <c r="Z280" s="42"/>
      <c r="AA280" s="42"/>
      <c r="AB280" s="42"/>
      <c r="AC280" s="42"/>
      <c r="AD280" s="42"/>
      <c r="AE280" s="42"/>
    </row>
    <row r="281">
      <c r="A281" s="95"/>
      <c r="B281" s="95"/>
      <c r="C281" s="54"/>
      <c r="D281" s="83"/>
      <c r="E281" s="96"/>
      <c r="F281" s="42"/>
      <c r="G281" s="97"/>
      <c r="H281" s="96"/>
      <c r="I281" s="96"/>
      <c r="J281" s="96"/>
      <c r="K281" s="99"/>
      <c r="L281" s="96"/>
      <c r="M281" s="96"/>
      <c r="N281" s="42"/>
      <c r="O281" s="42"/>
      <c r="P281" s="83"/>
      <c r="Q281" s="83"/>
      <c r="R281" s="42"/>
      <c r="S281" s="87"/>
      <c r="T281" s="83"/>
      <c r="U281" s="83"/>
      <c r="V281" s="61" t="str">
        <f>IFERROR(IF(T281="Ativo","Ativo",IF(T281="SKU excluído","Vencido",VLOOKUP(B281,Encerramentos!A:F,6,0))),"")</f>
        <v/>
      </c>
      <c r="W281" s="42"/>
      <c r="X281" s="42"/>
      <c r="Y281" s="42"/>
      <c r="Z281" s="42"/>
      <c r="AA281" s="42"/>
      <c r="AB281" s="42"/>
      <c r="AC281" s="42"/>
      <c r="AD281" s="42"/>
      <c r="AE281" s="42"/>
    </row>
    <row r="282">
      <c r="A282" s="95"/>
      <c r="B282" s="95"/>
      <c r="C282" s="54"/>
      <c r="D282" s="83"/>
      <c r="E282" s="96"/>
      <c r="F282" s="42"/>
      <c r="G282" s="97"/>
      <c r="H282" s="96"/>
      <c r="I282" s="96"/>
      <c r="J282" s="96"/>
      <c r="K282" s="99"/>
      <c r="L282" s="96"/>
      <c r="M282" s="96"/>
      <c r="N282" s="42"/>
      <c r="O282" s="42"/>
      <c r="P282" s="83"/>
      <c r="Q282" s="83"/>
      <c r="R282" s="42"/>
      <c r="S282" s="87"/>
      <c r="T282" s="83"/>
      <c r="U282" s="83"/>
      <c r="V282" s="61" t="str">
        <f>IFERROR(IF(T282="Ativo","Ativo",IF(T282="SKU excluído","Vencido",VLOOKUP(B282,Encerramentos!A:F,6,0))),"")</f>
        <v/>
      </c>
      <c r="W282" s="42"/>
      <c r="X282" s="42"/>
      <c r="Y282" s="42"/>
      <c r="Z282" s="42"/>
      <c r="AA282" s="42"/>
      <c r="AB282" s="42"/>
      <c r="AC282" s="42"/>
      <c r="AD282" s="42"/>
      <c r="AE282" s="42"/>
    </row>
    <row r="283">
      <c r="A283" s="95"/>
      <c r="B283" s="95"/>
      <c r="C283" s="54"/>
      <c r="D283" s="83"/>
      <c r="E283" s="96"/>
      <c r="F283" s="42"/>
      <c r="G283" s="97"/>
      <c r="H283" s="96"/>
      <c r="I283" s="96"/>
      <c r="J283" s="96"/>
      <c r="K283" s="99"/>
      <c r="L283" s="96"/>
      <c r="M283" s="96"/>
      <c r="N283" s="42"/>
      <c r="O283" s="42"/>
      <c r="P283" s="83"/>
      <c r="Q283" s="83"/>
      <c r="R283" s="42"/>
      <c r="S283" s="87"/>
      <c r="T283" s="83"/>
      <c r="U283" s="83"/>
      <c r="V283" s="61" t="str">
        <f>IFERROR(IF(T283="Ativo","Ativo",IF(T283="SKU excluído","Vencido",VLOOKUP(B283,Encerramentos!A:F,6,0))),"")</f>
        <v/>
      </c>
      <c r="W283" s="42"/>
      <c r="X283" s="42"/>
      <c r="Y283" s="42"/>
      <c r="Z283" s="42"/>
      <c r="AA283" s="42"/>
      <c r="AB283" s="42"/>
      <c r="AC283" s="42"/>
      <c r="AD283" s="42"/>
      <c r="AE283" s="42"/>
    </row>
    <row r="284">
      <c r="A284" s="95"/>
      <c r="B284" s="95"/>
      <c r="C284" s="54"/>
      <c r="D284" s="83"/>
      <c r="E284" s="96"/>
      <c r="F284" s="42"/>
      <c r="G284" s="97"/>
      <c r="H284" s="96"/>
      <c r="I284" s="96"/>
      <c r="J284" s="96"/>
      <c r="K284" s="99"/>
      <c r="L284" s="96"/>
      <c r="M284" s="96"/>
      <c r="N284" s="42"/>
      <c r="O284" s="42"/>
      <c r="P284" s="83"/>
      <c r="Q284" s="83"/>
      <c r="R284" s="42"/>
      <c r="S284" s="87"/>
      <c r="T284" s="83"/>
      <c r="U284" s="83"/>
      <c r="V284" s="61" t="str">
        <f>IFERROR(IF(T284="Ativo","Ativo",IF(T284="SKU excluído","Vencido",VLOOKUP(B284,Encerramentos!A:F,6,0))),"")</f>
        <v/>
      </c>
      <c r="W284" s="42"/>
      <c r="X284" s="42"/>
      <c r="Y284" s="42"/>
      <c r="Z284" s="42"/>
      <c r="AA284" s="42"/>
      <c r="AB284" s="42"/>
      <c r="AC284" s="42"/>
      <c r="AD284" s="42"/>
      <c r="AE284" s="42"/>
    </row>
    <row r="285">
      <c r="A285" s="95"/>
      <c r="B285" s="95"/>
      <c r="C285" s="54"/>
      <c r="D285" s="83"/>
      <c r="E285" s="96"/>
      <c r="F285" s="42"/>
      <c r="G285" s="97"/>
      <c r="H285" s="96"/>
      <c r="I285" s="96"/>
      <c r="J285" s="96"/>
      <c r="K285" s="99"/>
      <c r="L285" s="96"/>
      <c r="M285" s="96"/>
      <c r="N285" s="42"/>
      <c r="O285" s="42"/>
      <c r="P285" s="83"/>
      <c r="Q285" s="83"/>
      <c r="R285" s="42"/>
      <c r="S285" s="87"/>
      <c r="T285" s="83"/>
      <c r="U285" s="83"/>
      <c r="V285" s="61" t="str">
        <f>IFERROR(IF(T285="Ativo","Ativo",IF(T285="SKU excluído","Vencido",VLOOKUP(B285,Encerramentos!A:F,6,0))),"")</f>
        <v/>
      </c>
      <c r="W285" s="42"/>
      <c r="X285" s="42"/>
      <c r="Y285" s="42"/>
      <c r="Z285" s="42"/>
      <c r="AA285" s="42"/>
      <c r="AB285" s="42"/>
      <c r="AC285" s="42"/>
      <c r="AD285" s="42"/>
      <c r="AE285" s="42"/>
    </row>
    <row r="286">
      <c r="A286" s="95"/>
      <c r="B286" s="95"/>
      <c r="C286" s="54"/>
      <c r="D286" s="83"/>
      <c r="E286" s="96"/>
      <c r="F286" s="42"/>
      <c r="G286" s="97"/>
      <c r="H286" s="96"/>
      <c r="I286" s="96"/>
      <c r="J286" s="96"/>
      <c r="K286" s="99"/>
      <c r="L286" s="96"/>
      <c r="M286" s="96"/>
      <c r="N286" s="42"/>
      <c r="O286" s="42"/>
      <c r="P286" s="83"/>
      <c r="Q286" s="83"/>
      <c r="R286" s="42"/>
      <c r="S286" s="87"/>
      <c r="T286" s="83"/>
      <c r="U286" s="83"/>
      <c r="V286" s="61" t="str">
        <f>IFERROR(IF(T286="Ativo","Ativo",IF(T286="SKU excluído","Vencido",VLOOKUP(B286,Encerramentos!A:F,6,0))),"")</f>
        <v/>
      </c>
      <c r="W286" s="42"/>
      <c r="X286" s="42"/>
      <c r="Y286" s="42"/>
      <c r="Z286" s="42"/>
      <c r="AA286" s="42"/>
      <c r="AB286" s="42"/>
      <c r="AC286" s="42"/>
      <c r="AD286" s="42"/>
      <c r="AE286" s="42"/>
    </row>
    <row r="287">
      <c r="A287" s="95"/>
      <c r="B287" s="95"/>
      <c r="C287" s="54"/>
      <c r="D287" s="83"/>
      <c r="E287" s="96"/>
      <c r="F287" s="42"/>
      <c r="G287" s="97"/>
      <c r="H287" s="96"/>
      <c r="I287" s="96"/>
      <c r="J287" s="96"/>
      <c r="K287" s="99"/>
      <c r="L287" s="96"/>
      <c r="M287" s="96"/>
      <c r="N287" s="42"/>
      <c r="O287" s="42"/>
      <c r="P287" s="83"/>
      <c r="Q287" s="83"/>
      <c r="R287" s="42"/>
      <c r="S287" s="87"/>
      <c r="T287" s="83"/>
      <c r="U287" s="83"/>
      <c r="V287" s="61" t="str">
        <f>IFERROR(IF(T287="Ativo","Ativo",IF(T287="SKU excluído","Vencido",VLOOKUP(B287,Encerramentos!A:F,6,0))),"")</f>
        <v/>
      </c>
      <c r="W287" s="42"/>
      <c r="X287" s="42"/>
      <c r="Y287" s="42"/>
      <c r="Z287" s="42"/>
      <c r="AA287" s="42"/>
      <c r="AB287" s="42"/>
      <c r="AC287" s="42"/>
      <c r="AD287" s="42"/>
      <c r="AE287" s="42"/>
    </row>
    <row r="288">
      <c r="A288" s="95"/>
      <c r="B288" s="95"/>
      <c r="C288" s="54"/>
      <c r="D288" s="83"/>
      <c r="E288" s="96"/>
      <c r="F288" s="42"/>
      <c r="G288" s="97"/>
      <c r="H288" s="96"/>
      <c r="I288" s="96"/>
      <c r="J288" s="96"/>
      <c r="K288" s="99"/>
      <c r="L288" s="96"/>
      <c r="M288" s="96"/>
      <c r="N288" s="42"/>
      <c r="O288" s="42"/>
      <c r="P288" s="83"/>
      <c r="Q288" s="83"/>
      <c r="R288" s="42"/>
      <c r="S288" s="87"/>
      <c r="T288" s="83"/>
      <c r="U288" s="83"/>
      <c r="V288" s="61" t="str">
        <f>IFERROR(IF(T288="Ativo","Ativo",IF(T288="SKU excluído","Vencido",VLOOKUP(B288,Encerramentos!A:F,6,0))),"")</f>
        <v/>
      </c>
      <c r="W288" s="42"/>
      <c r="X288" s="42"/>
      <c r="Y288" s="42"/>
      <c r="Z288" s="42"/>
      <c r="AA288" s="42"/>
      <c r="AB288" s="42"/>
      <c r="AC288" s="42"/>
      <c r="AD288" s="42"/>
      <c r="AE288" s="42"/>
    </row>
    <row r="289">
      <c r="A289" s="95"/>
      <c r="B289" s="95"/>
      <c r="C289" s="54"/>
      <c r="D289" s="83"/>
      <c r="E289" s="96"/>
      <c r="F289" s="42"/>
      <c r="G289" s="97"/>
      <c r="H289" s="96"/>
      <c r="I289" s="96"/>
      <c r="J289" s="96"/>
      <c r="K289" s="99"/>
      <c r="L289" s="96"/>
      <c r="M289" s="96"/>
      <c r="N289" s="42"/>
      <c r="O289" s="42"/>
      <c r="P289" s="83"/>
      <c r="Q289" s="83"/>
      <c r="R289" s="42"/>
      <c r="S289" s="87"/>
      <c r="T289" s="83"/>
      <c r="U289" s="83"/>
      <c r="V289" s="61" t="str">
        <f>IFERROR(IF(T289="Ativo","Ativo",IF(T289="SKU excluído","Vencido",VLOOKUP(B289,Encerramentos!A:F,6,0))),"")</f>
        <v/>
      </c>
      <c r="W289" s="42"/>
      <c r="X289" s="42"/>
      <c r="Y289" s="42"/>
      <c r="Z289" s="42"/>
      <c r="AA289" s="42"/>
      <c r="AB289" s="42"/>
      <c r="AC289" s="42"/>
      <c r="AD289" s="42"/>
      <c r="AE289" s="42"/>
    </row>
    <row r="290">
      <c r="A290" s="95"/>
      <c r="B290" s="95"/>
      <c r="C290" s="54"/>
      <c r="D290" s="83"/>
      <c r="E290" s="96"/>
      <c r="F290" s="42"/>
      <c r="G290" s="97"/>
      <c r="H290" s="96"/>
      <c r="I290" s="96"/>
      <c r="J290" s="96"/>
      <c r="K290" s="99"/>
      <c r="L290" s="96"/>
      <c r="M290" s="96"/>
      <c r="N290" s="42"/>
      <c r="O290" s="42"/>
      <c r="P290" s="83"/>
      <c r="Q290" s="83"/>
      <c r="R290" s="42"/>
      <c r="S290" s="87"/>
      <c r="T290" s="83"/>
      <c r="U290" s="83"/>
      <c r="V290" s="61" t="str">
        <f>IFERROR(IF(T290="Ativo","Ativo",IF(T290="SKU excluído","Vencido",VLOOKUP(B290,Encerramentos!A:F,6,0))),"")</f>
        <v/>
      </c>
      <c r="W290" s="42"/>
      <c r="X290" s="42"/>
      <c r="Y290" s="42"/>
      <c r="Z290" s="42"/>
      <c r="AA290" s="42"/>
      <c r="AB290" s="42"/>
      <c r="AC290" s="42"/>
      <c r="AD290" s="42"/>
      <c r="AE290" s="42"/>
    </row>
    <row r="291">
      <c r="A291" s="95"/>
      <c r="B291" s="95"/>
      <c r="C291" s="54"/>
      <c r="D291" s="83"/>
      <c r="E291" s="96"/>
      <c r="F291" s="42"/>
      <c r="G291" s="97"/>
      <c r="H291" s="96"/>
      <c r="I291" s="96"/>
      <c r="J291" s="96"/>
      <c r="K291" s="99"/>
      <c r="L291" s="96"/>
      <c r="M291" s="96"/>
      <c r="N291" s="42"/>
      <c r="O291" s="42"/>
      <c r="P291" s="83"/>
      <c r="Q291" s="83"/>
      <c r="R291" s="42"/>
      <c r="S291" s="87"/>
      <c r="T291" s="83"/>
      <c r="U291" s="83"/>
      <c r="V291" s="61" t="str">
        <f>IFERROR(IF(T291="Ativo","Ativo",IF(T291="SKU excluído","Vencido",VLOOKUP(B291,Encerramentos!A:F,6,0))),"")</f>
        <v/>
      </c>
      <c r="W291" s="42"/>
      <c r="X291" s="42"/>
      <c r="Y291" s="42"/>
      <c r="Z291" s="42"/>
      <c r="AA291" s="42"/>
      <c r="AB291" s="42"/>
      <c r="AC291" s="42"/>
      <c r="AD291" s="42"/>
      <c r="AE291" s="42"/>
    </row>
    <row r="292">
      <c r="A292" s="95"/>
      <c r="B292" s="95"/>
      <c r="C292" s="54"/>
      <c r="D292" s="83"/>
      <c r="E292" s="96"/>
      <c r="F292" s="42"/>
      <c r="G292" s="97"/>
      <c r="H292" s="96"/>
      <c r="I292" s="96"/>
      <c r="J292" s="96"/>
      <c r="K292" s="99"/>
      <c r="L292" s="96"/>
      <c r="M292" s="96"/>
      <c r="N292" s="42"/>
      <c r="O292" s="42"/>
      <c r="P292" s="83"/>
      <c r="Q292" s="83"/>
      <c r="R292" s="42"/>
      <c r="S292" s="87"/>
      <c r="T292" s="83"/>
      <c r="U292" s="83"/>
      <c r="V292" s="61" t="str">
        <f>IFERROR(IF(T292="Ativo","Ativo",IF(T292="SKU excluído","Vencido",VLOOKUP(B292,Encerramentos!A:F,6,0))),"")</f>
        <v/>
      </c>
      <c r="W292" s="42"/>
      <c r="X292" s="42"/>
      <c r="Y292" s="42"/>
      <c r="Z292" s="42"/>
      <c r="AA292" s="42"/>
      <c r="AB292" s="42"/>
      <c r="AC292" s="42"/>
      <c r="AD292" s="42"/>
      <c r="AE292" s="42"/>
    </row>
    <row r="293">
      <c r="A293" s="95"/>
      <c r="B293" s="95"/>
      <c r="C293" s="54"/>
      <c r="D293" s="83"/>
      <c r="E293" s="96"/>
      <c r="F293" s="42"/>
      <c r="G293" s="97"/>
      <c r="H293" s="96"/>
      <c r="I293" s="96"/>
      <c r="J293" s="96"/>
      <c r="K293" s="99"/>
      <c r="L293" s="96"/>
      <c r="M293" s="96"/>
      <c r="N293" s="42"/>
      <c r="O293" s="42"/>
      <c r="P293" s="83"/>
      <c r="Q293" s="83"/>
      <c r="R293" s="42"/>
      <c r="S293" s="87"/>
      <c r="T293" s="83"/>
      <c r="U293" s="83"/>
      <c r="V293" s="61" t="str">
        <f>IFERROR(IF(T293="Ativo","Ativo",IF(T293="SKU excluído","Vencido",VLOOKUP(B293,Encerramentos!A:F,6,0))),"")</f>
        <v/>
      </c>
      <c r="W293" s="42"/>
      <c r="X293" s="42"/>
      <c r="Y293" s="42"/>
      <c r="Z293" s="42"/>
      <c r="AA293" s="42"/>
      <c r="AB293" s="42"/>
      <c r="AC293" s="42"/>
      <c r="AD293" s="42"/>
      <c r="AE293" s="42"/>
    </row>
    <row r="294">
      <c r="A294" s="95"/>
      <c r="B294" s="95"/>
      <c r="C294" s="54"/>
      <c r="D294" s="83"/>
      <c r="E294" s="96"/>
      <c r="F294" s="42"/>
      <c r="G294" s="97"/>
      <c r="H294" s="96"/>
      <c r="I294" s="96"/>
      <c r="J294" s="96"/>
      <c r="K294" s="99"/>
      <c r="L294" s="96"/>
      <c r="M294" s="96"/>
      <c r="N294" s="42"/>
      <c r="O294" s="42"/>
      <c r="P294" s="83"/>
      <c r="Q294" s="83"/>
      <c r="R294" s="42"/>
      <c r="S294" s="87"/>
      <c r="T294" s="83"/>
      <c r="U294" s="83"/>
      <c r="V294" s="83"/>
      <c r="W294" s="42"/>
      <c r="X294" s="42"/>
      <c r="Y294" s="42"/>
      <c r="Z294" s="42"/>
      <c r="AA294" s="42"/>
      <c r="AB294" s="42"/>
      <c r="AC294" s="42"/>
      <c r="AD294" s="42"/>
      <c r="AE294" s="42"/>
    </row>
    <row r="295">
      <c r="A295" s="95"/>
      <c r="B295" s="95"/>
      <c r="C295" s="54"/>
      <c r="D295" s="83"/>
      <c r="E295" s="96"/>
      <c r="F295" s="42"/>
      <c r="G295" s="97"/>
      <c r="H295" s="96"/>
      <c r="I295" s="96"/>
      <c r="J295" s="96"/>
      <c r="K295" s="99"/>
      <c r="L295" s="96"/>
      <c r="M295" s="96"/>
      <c r="N295" s="42"/>
      <c r="O295" s="42"/>
      <c r="P295" s="83"/>
      <c r="Q295" s="83"/>
      <c r="R295" s="42"/>
      <c r="S295" s="87"/>
      <c r="T295" s="83"/>
      <c r="U295" s="83"/>
      <c r="V295" s="83"/>
      <c r="W295" s="42"/>
      <c r="X295" s="42"/>
      <c r="Y295" s="42"/>
      <c r="Z295" s="42"/>
      <c r="AA295" s="42"/>
      <c r="AB295" s="42"/>
      <c r="AC295" s="42"/>
      <c r="AD295" s="42"/>
      <c r="AE295" s="42"/>
    </row>
    <row r="296">
      <c r="A296" s="95"/>
      <c r="B296" s="95"/>
      <c r="C296" s="54"/>
      <c r="D296" s="83"/>
      <c r="E296" s="96"/>
      <c r="F296" s="42"/>
      <c r="G296" s="97"/>
      <c r="H296" s="96"/>
      <c r="I296" s="96"/>
      <c r="J296" s="96"/>
      <c r="K296" s="99"/>
      <c r="L296" s="96"/>
      <c r="M296" s="96"/>
      <c r="N296" s="42"/>
      <c r="O296" s="42"/>
      <c r="P296" s="83"/>
      <c r="Q296" s="83"/>
      <c r="R296" s="42"/>
      <c r="S296" s="87"/>
      <c r="T296" s="83"/>
      <c r="U296" s="83"/>
      <c r="V296" s="83"/>
      <c r="W296" s="42"/>
      <c r="X296" s="42"/>
      <c r="Y296" s="42"/>
      <c r="Z296" s="42"/>
      <c r="AA296" s="42"/>
      <c r="AB296" s="42"/>
      <c r="AC296" s="42"/>
      <c r="AD296" s="42"/>
      <c r="AE296" s="42"/>
    </row>
    <row r="297">
      <c r="A297" s="95"/>
      <c r="B297" s="95"/>
      <c r="C297" s="54"/>
      <c r="D297" s="83"/>
      <c r="E297" s="96"/>
      <c r="F297" s="42"/>
      <c r="G297" s="97"/>
      <c r="H297" s="96"/>
      <c r="I297" s="96"/>
      <c r="J297" s="96"/>
      <c r="K297" s="99"/>
      <c r="L297" s="96"/>
      <c r="M297" s="96"/>
      <c r="N297" s="42"/>
      <c r="O297" s="42"/>
      <c r="P297" s="83"/>
      <c r="Q297" s="83"/>
      <c r="R297" s="42"/>
      <c r="S297" s="87"/>
      <c r="T297" s="83"/>
      <c r="U297" s="83"/>
      <c r="V297" s="83"/>
      <c r="W297" s="42"/>
      <c r="X297" s="42"/>
      <c r="Y297" s="42"/>
      <c r="Z297" s="42"/>
      <c r="AA297" s="42"/>
      <c r="AB297" s="42"/>
      <c r="AC297" s="42"/>
      <c r="AD297" s="42"/>
      <c r="AE297" s="42"/>
    </row>
    <row r="298">
      <c r="A298" s="95"/>
      <c r="B298" s="95"/>
      <c r="C298" s="54"/>
      <c r="D298" s="83"/>
      <c r="E298" s="96"/>
      <c r="F298" s="42"/>
      <c r="G298" s="97"/>
      <c r="H298" s="96"/>
      <c r="I298" s="96"/>
      <c r="J298" s="96"/>
      <c r="K298" s="99"/>
      <c r="L298" s="96"/>
      <c r="M298" s="96"/>
      <c r="N298" s="42"/>
      <c r="O298" s="42"/>
      <c r="P298" s="83"/>
      <c r="Q298" s="83"/>
      <c r="R298" s="42"/>
      <c r="S298" s="87"/>
      <c r="T298" s="83"/>
      <c r="U298" s="83"/>
      <c r="V298" s="83"/>
      <c r="W298" s="42"/>
      <c r="X298" s="42"/>
      <c r="Y298" s="42"/>
      <c r="Z298" s="42"/>
      <c r="AA298" s="42"/>
      <c r="AB298" s="42"/>
      <c r="AC298" s="42"/>
      <c r="AD298" s="42"/>
      <c r="AE298" s="42"/>
    </row>
    <row r="299">
      <c r="A299" s="95"/>
      <c r="B299" s="95"/>
      <c r="C299" s="54"/>
      <c r="D299" s="83"/>
      <c r="E299" s="96"/>
      <c r="F299" s="42"/>
      <c r="G299" s="97"/>
      <c r="H299" s="96"/>
      <c r="I299" s="96"/>
      <c r="J299" s="96"/>
      <c r="K299" s="99"/>
      <c r="L299" s="96"/>
      <c r="M299" s="96"/>
      <c r="N299" s="42"/>
      <c r="O299" s="42"/>
      <c r="P299" s="83"/>
      <c r="Q299" s="83"/>
      <c r="R299" s="42"/>
      <c r="S299" s="87"/>
      <c r="T299" s="83"/>
      <c r="U299" s="83"/>
      <c r="V299" s="83"/>
      <c r="W299" s="42"/>
      <c r="X299" s="42"/>
      <c r="Y299" s="42"/>
      <c r="Z299" s="42"/>
      <c r="AA299" s="42"/>
      <c r="AB299" s="42"/>
      <c r="AC299" s="42"/>
      <c r="AD299" s="42"/>
      <c r="AE299" s="42"/>
    </row>
    <row r="300">
      <c r="A300" s="95"/>
      <c r="B300" s="95"/>
      <c r="C300" s="54"/>
      <c r="D300" s="83"/>
      <c r="E300" s="96"/>
      <c r="F300" s="42"/>
      <c r="G300" s="97"/>
      <c r="H300" s="96"/>
      <c r="I300" s="96"/>
      <c r="J300" s="96"/>
      <c r="K300" s="99"/>
      <c r="L300" s="96"/>
      <c r="M300" s="96"/>
      <c r="N300" s="42"/>
      <c r="O300" s="42"/>
      <c r="P300" s="83"/>
      <c r="Q300" s="83"/>
      <c r="R300" s="42"/>
      <c r="S300" s="87"/>
      <c r="T300" s="83"/>
      <c r="U300" s="83"/>
      <c r="V300" s="83"/>
      <c r="W300" s="42"/>
      <c r="X300" s="42"/>
      <c r="Y300" s="42"/>
      <c r="Z300" s="42"/>
      <c r="AA300" s="42"/>
      <c r="AB300" s="42"/>
      <c r="AC300" s="42"/>
      <c r="AD300" s="42"/>
      <c r="AE300" s="42"/>
    </row>
    <row r="301">
      <c r="A301" s="95"/>
      <c r="B301" s="95"/>
      <c r="C301" s="54"/>
      <c r="D301" s="83"/>
      <c r="E301" s="96"/>
      <c r="F301" s="42"/>
      <c r="G301" s="97"/>
      <c r="H301" s="96"/>
      <c r="I301" s="96"/>
      <c r="J301" s="96"/>
      <c r="K301" s="99"/>
      <c r="L301" s="96"/>
      <c r="M301" s="96"/>
      <c r="N301" s="42"/>
      <c r="O301" s="42"/>
      <c r="P301" s="83"/>
      <c r="Q301" s="83"/>
      <c r="R301" s="42"/>
      <c r="S301" s="87"/>
      <c r="T301" s="83"/>
      <c r="U301" s="83"/>
      <c r="V301" s="83"/>
      <c r="W301" s="42"/>
      <c r="X301" s="42"/>
      <c r="Y301" s="42"/>
      <c r="Z301" s="42"/>
      <c r="AA301" s="42"/>
      <c r="AB301" s="42"/>
      <c r="AC301" s="42"/>
      <c r="AD301" s="42"/>
      <c r="AE301" s="42"/>
    </row>
    <row r="302">
      <c r="A302" s="95"/>
      <c r="B302" s="95"/>
      <c r="C302" s="54"/>
      <c r="D302" s="83"/>
      <c r="E302" s="96"/>
      <c r="F302" s="42"/>
      <c r="G302" s="97"/>
      <c r="H302" s="96"/>
      <c r="I302" s="96"/>
      <c r="J302" s="96"/>
      <c r="K302" s="99"/>
      <c r="L302" s="96"/>
      <c r="M302" s="96"/>
      <c r="N302" s="42"/>
      <c r="O302" s="42"/>
      <c r="P302" s="83"/>
      <c r="Q302" s="83"/>
      <c r="R302" s="42"/>
      <c r="S302" s="87"/>
      <c r="T302" s="83"/>
      <c r="U302" s="83"/>
      <c r="V302" s="83"/>
      <c r="W302" s="42"/>
      <c r="X302" s="42"/>
      <c r="Y302" s="42"/>
      <c r="Z302" s="42"/>
      <c r="AA302" s="42"/>
      <c r="AB302" s="42"/>
      <c r="AC302" s="42"/>
      <c r="AD302" s="42"/>
      <c r="AE302" s="42"/>
    </row>
    <row r="303">
      <c r="A303" s="95"/>
      <c r="B303" s="95"/>
      <c r="C303" s="54"/>
      <c r="D303" s="83"/>
      <c r="E303" s="96"/>
      <c r="F303" s="42"/>
      <c r="G303" s="97"/>
      <c r="H303" s="96"/>
      <c r="I303" s="96"/>
      <c r="J303" s="96"/>
      <c r="K303" s="99"/>
      <c r="L303" s="96"/>
      <c r="M303" s="96"/>
      <c r="N303" s="42"/>
      <c r="O303" s="42"/>
      <c r="P303" s="83"/>
      <c r="Q303" s="83"/>
      <c r="R303" s="42"/>
      <c r="S303" s="87"/>
      <c r="T303" s="83"/>
      <c r="U303" s="83"/>
      <c r="V303" s="83"/>
      <c r="W303" s="42"/>
      <c r="X303" s="42"/>
      <c r="Y303" s="42"/>
      <c r="Z303" s="42"/>
      <c r="AA303" s="42"/>
      <c r="AB303" s="42"/>
      <c r="AC303" s="42"/>
      <c r="AD303" s="42"/>
      <c r="AE303" s="42"/>
    </row>
    <row r="304">
      <c r="A304" s="95"/>
      <c r="B304" s="95"/>
      <c r="C304" s="54"/>
      <c r="D304" s="83"/>
      <c r="E304" s="96"/>
      <c r="F304" s="42"/>
      <c r="G304" s="97"/>
      <c r="H304" s="96"/>
      <c r="I304" s="96"/>
      <c r="J304" s="96"/>
      <c r="K304" s="99"/>
      <c r="L304" s="96"/>
      <c r="M304" s="96"/>
      <c r="N304" s="42"/>
      <c r="O304" s="42"/>
      <c r="P304" s="83"/>
      <c r="Q304" s="83"/>
      <c r="R304" s="42"/>
      <c r="S304" s="87"/>
      <c r="T304" s="83"/>
      <c r="U304" s="83"/>
      <c r="V304" s="83"/>
      <c r="W304" s="42"/>
      <c r="X304" s="42"/>
      <c r="Y304" s="42"/>
      <c r="Z304" s="42"/>
      <c r="AA304" s="42"/>
      <c r="AB304" s="42"/>
      <c r="AC304" s="42"/>
      <c r="AD304" s="42"/>
      <c r="AE304" s="42"/>
    </row>
    <row r="305">
      <c r="A305" s="95"/>
      <c r="B305" s="95"/>
      <c r="C305" s="54"/>
      <c r="D305" s="83"/>
      <c r="E305" s="96"/>
      <c r="F305" s="42"/>
      <c r="G305" s="97"/>
      <c r="H305" s="96"/>
      <c r="I305" s="96"/>
      <c r="J305" s="96"/>
      <c r="K305" s="99"/>
      <c r="L305" s="96"/>
      <c r="M305" s="96"/>
      <c r="N305" s="42"/>
      <c r="O305" s="42"/>
      <c r="P305" s="83"/>
      <c r="Q305" s="83"/>
      <c r="R305" s="42"/>
      <c r="S305" s="87"/>
      <c r="T305" s="83"/>
      <c r="U305" s="83"/>
      <c r="V305" s="83"/>
      <c r="W305" s="42"/>
      <c r="X305" s="42"/>
      <c r="Y305" s="42"/>
      <c r="Z305" s="42"/>
      <c r="AA305" s="42"/>
      <c r="AB305" s="42"/>
      <c r="AC305" s="42"/>
      <c r="AD305" s="42"/>
      <c r="AE305" s="42"/>
    </row>
    <row r="306">
      <c r="A306" s="95"/>
      <c r="B306" s="95"/>
      <c r="C306" s="54"/>
      <c r="D306" s="83"/>
      <c r="E306" s="96"/>
      <c r="F306" s="42"/>
      <c r="G306" s="97"/>
      <c r="H306" s="96"/>
      <c r="I306" s="96"/>
      <c r="J306" s="96"/>
      <c r="K306" s="99"/>
      <c r="L306" s="96"/>
      <c r="M306" s="96"/>
      <c r="N306" s="42"/>
      <c r="O306" s="42"/>
      <c r="P306" s="83"/>
      <c r="Q306" s="83"/>
      <c r="R306" s="42"/>
      <c r="S306" s="87"/>
      <c r="T306" s="83"/>
      <c r="U306" s="83"/>
      <c r="V306" s="83"/>
      <c r="W306" s="42"/>
      <c r="X306" s="42"/>
      <c r="Y306" s="42"/>
      <c r="Z306" s="42"/>
      <c r="AA306" s="42"/>
      <c r="AB306" s="42"/>
      <c r="AC306" s="42"/>
      <c r="AD306" s="42"/>
      <c r="AE306" s="42"/>
    </row>
    <row r="307">
      <c r="A307" s="95"/>
      <c r="B307" s="95"/>
      <c r="C307" s="54"/>
      <c r="D307" s="83"/>
      <c r="E307" s="96"/>
      <c r="F307" s="42"/>
      <c r="G307" s="97"/>
      <c r="H307" s="96"/>
      <c r="I307" s="96"/>
      <c r="J307" s="96"/>
      <c r="K307" s="99"/>
      <c r="L307" s="96"/>
      <c r="M307" s="96"/>
      <c r="N307" s="42"/>
      <c r="O307" s="42"/>
      <c r="P307" s="83"/>
      <c r="Q307" s="83"/>
      <c r="R307" s="42"/>
      <c r="S307" s="87"/>
      <c r="T307" s="83"/>
      <c r="U307" s="83"/>
      <c r="V307" s="83"/>
      <c r="W307" s="42"/>
      <c r="X307" s="42"/>
      <c r="Y307" s="42"/>
      <c r="Z307" s="42"/>
      <c r="AA307" s="42"/>
      <c r="AB307" s="42"/>
      <c r="AC307" s="42"/>
      <c r="AD307" s="42"/>
      <c r="AE307" s="42"/>
    </row>
    <row r="308">
      <c r="A308" s="95"/>
      <c r="B308" s="95"/>
      <c r="C308" s="54"/>
      <c r="D308" s="83"/>
      <c r="E308" s="96"/>
      <c r="F308" s="42"/>
      <c r="G308" s="97"/>
      <c r="H308" s="96"/>
      <c r="I308" s="96"/>
      <c r="J308" s="96"/>
      <c r="K308" s="99"/>
      <c r="L308" s="96"/>
      <c r="M308" s="96"/>
      <c r="N308" s="42"/>
      <c r="O308" s="42"/>
      <c r="P308" s="83"/>
      <c r="Q308" s="83"/>
      <c r="R308" s="42"/>
      <c r="S308" s="87"/>
      <c r="T308" s="83"/>
      <c r="U308" s="83"/>
      <c r="V308" s="83"/>
      <c r="W308" s="42"/>
      <c r="X308" s="42"/>
      <c r="Y308" s="42"/>
      <c r="Z308" s="42"/>
      <c r="AA308" s="42"/>
      <c r="AB308" s="42"/>
      <c r="AC308" s="42"/>
      <c r="AD308" s="42"/>
      <c r="AE308" s="42"/>
    </row>
    <row r="309">
      <c r="A309" s="95"/>
      <c r="B309" s="95"/>
      <c r="C309" s="54"/>
      <c r="D309" s="83"/>
      <c r="E309" s="96"/>
      <c r="F309" s="42"/>
      <c r="G309" s="97"/>
      <c r="H309" s="96"/>
      <c r="I309" s="96"/>
      <c r="J309" s="96"/>
      <c r="K309" s="99"/>
      <c r="L309" s="96"/>
      <c r="M309" s="96"/>
      <c r="N309" s="42"/>
      <c r="O309" s="42"/>
      <c r="P309" s="83"/>
      <c r="Q309" s="83"/>
      <c r="R309" s="42"/>
      <c r="S309" s="87"/>
      <c r="T309" s="83"/>
      <c r="U309" s="83"/>
      <c r="V309" s="83"/>
      <c r="W309" s="42"/>
      <c r="X309" s="42"/>
      <c r="Y309" s="42"/>
      <c r="Z309" s="42"/>
      <c r="AA309" s="42"/>
      <c r="AB309" s="42"/>
      <c r="AC309" s="42"/>
      <c r="AD309" s="42"/>
      <c r="AE309" s="42"/>
    </row>
    <row r="310">
      <c r="A310" s="95"/>
      <c r="B310" s="95"/>
      <c r="C310" s="54"/>
      <c r="D310" s="83"/>
      <c r="E310" s="96"/>
      <c r="F310" s="42"/>
      <c r="G310" s="97"/>
      <c r="H310" s="96"/>
      <c r="I310" s="96"/>
      <c r="J310" s="96"/>
      <c r="K310" s="99"/>
      <c r="L310" s="96"/>
      <c r="M310" s="96"/>
      <c r="N310" s="42"/>
      <c r="O310" s="42"/>
      <c r="P310" s="83"/>
      <c r="Q310" s="83"/>
      <c r="R310" s="42"/>
      <c r="S310" s="87"/>
      <c r="T310" s="83"/>
      <c r="U310" s="83"/>
      <c r="V310" s="83"/>
      <c r="W310" s="42"/>
      <c r="X310" s="42"/>
      <c r="Y310" s="42"/>
      <c r="Z310" s="42"/>
      <c r="AA310" s="42"/>
      <c r="AB310" s="42"/>
      <c r="AC310" s="42"/>
      <c r="AD310" s="42"/>
      <c r="AE310" s="42"/>
    </row>
    <row r="311">
      <c r="A311" s="95"/>
      <c r="B311" s="95"/>
      <c r="C311" s="54"/>
      <c r="D311" s="83"/>
      <c r="E311" s="96"/>
      <c r="F311" s="42"/>
      <c r="G311" s="97"/>
      <c r="H311" s="96"/>
      <c r="I311" s="96"/>
      <c r="J311" s="96"/>
      <c r="K311" s="99"/>
      <c r="L311" s="96"/>
      <c r="M311" s="96"/>
      <c r="N311" s="42"/>
      <c r="O311" s="42"/>
      <c r="P311" s="83"/>
      <c r="Q311" s="83"/>
      <c r="R311" s="42"/>
      <c r="S311" s="87"/>
      <c r="T311" s="83"/>
      <c r="U311" s="83"/>
      <c r="V311" s="83"/>
      <c r="W311" s="42"/>
      <c r="X311" s="42"/>
      <c r="Y311" s="42"/>
      <c r="Z311" s="42"/>
      <c r="AA311" s="42"/>
      <c r="AB311" s="42"/>
      <c r="AC311" s="42"/>
      <c r="AD311" s="42"/>
      <c r="AE311" s="42"/>
    </row>
    <row r="312">
      <c r="A312" s="95"/>
      <c r="B312" s="95"/>
      <c r="C312" s="54"/>
      <c r="D312" s="83"/>
      <c r="E312" s="96"/>
      <c r="F312" s="42"/>
      <c r="G312" s="97"/>
      <c r="H312" s="96"/>
      <c r="I312" s="96"/>
      <c r="J312" s="96"/>
      <c r="K312" s="99"/>
      <c r="L312" s="96"/>
      <c r="M312" s="96"/>
      <c r="N312" s="42"/>
      <c r="O312" s="42"/>
      <c r="P312" s="83"/>
      <c r="Q312" s="83"/>
      <c r="R312" s="42"/>
      <c r="S312" s="87"/>
      <c r="T312" s="83"/>
      <c r="U312" s="83"/>
      <c r="V312" s="83"/>
      <c r="W312" s="42"/>
      <c r="X312" s="42"/>
      <c r="Y312" s="42"/>
      <c r="Z312" s="42"/>
      <c r="AA312" s="42"/>
      <c r="AB312" s="42"/>
      <c r="AC312" s="42"/>
      <c r="AD312" s="42"/>
      <c r="AE312" s="42"/>
    </row>
    <row r="313">
      <c r="A313" s="95"/>
      <c r="B313" s="95"/>
      <c r="C313" s="54"/>
      <c r="D313" s="83"/>
      <c r="E313" s="96"/>
      <c r="F313" s="42"/>
      <c r="G313" s="97"/>
      <c r="H313" s="96"/>
      <c r="I313" s="96"/>
      <c r="J313" s="96"/>
      <c r="K313" s="99"/>
      <c r="L313" s="96"/>
      <c r="M313" s="96"/>
      <c r="N313" s="42"/>
      <c r="O313" s="42"/>
      <c r="P313" s="83"/>
      <c r="Q313" s="83"/>
      <c r="R313" s="42"/>
      <c r="S313" s="87"/>
      <c r="T313" s="83"/>
      <c r="U313" s="83"/>
      <c r="V313" s="83"/>
      <c r="W313" s="42"/>
      <c r="X313" s="42"/>
      <c r="Y313" s="42"/>
      <c r="Z313" s="42"/>
      <c r="AA313" s="42"/>
      <c r="AB313" s="42"/>
      <c r="AC313" s="42"/>
      <c r="AD313" s="42"/>
      <c r="AE313" s="42"/>
    </row>
    <row r="314">
      <c r="A314" s="95"/>
      <c r="B314" s="95"/>
      <c r="C314" s="54"/>
      <c r="D314" s="83"/>
      <c r="E314" s="96"/>
      <c r="F314" s="42"/>
      <c r="G314" s="97"/>
      <c r="H314" s="96"/>
      <c r="I314" s="96"/>
      <c r="J314" s="96"/>
      <c r="K314" s="99"/>
      <c r="L314" s="96"/>
      <c r="M314" s="96"/>
      <c r="N314" s="42"/>
      <c r="O314" s="42"/>
      <c r="P314" s="83"/>
      <c r="Q314" s="83"/>
      <c r="R314" s="42"/>
      <c r="S314" s="87"/>
      <c r="T314" s="83"/>
      <c r="U314" s="83"/>
      <c r="V314" s="83"/>
      <c r="W314" s="42"/>
      <c r="X314" s="42"/>
      <c r="Y314" s="42"/>
      <c r="Z314" s="42"/>
      <c r="AA314" s="42"/>
      <c r="AB314" s="42"/>
      <c r="AC314" s="42"/>
      <c r="AD314" s="42"/>
      <c r="AE314" s="42"/>
    </row>
    <row r="315">
      <c r="A315" s="95"/>
      <c r="B315" s="95"/>
      <c r="C315" s="54"/>
      <c r="D315" s="83"/>
      <c r="E315" s="96"/>
      <c r="F315" s="42"/>
      <c r="G315" s="97"/>
      <c r="H315" s="96"/>
      <c r="I315" s="96"/>
      <c r="J315" s="96"/>
      <c r="K315" s="99"/>
      <c r="L315" s="96"/>
      <c r="M315" s="96"/>
      <c r="N315" s="42"/>
      <c r="O315" s="42"/>
      <c r="P315" s="83"/>
      <c r="Q315" s="83"/>
      <c r="R315" s="42"/>
      <c r="S315" s="87"/>
      <c r="T315" s="83"/>
      <c r="U315" s="83"/>
      <c r="V315" s="83"/>
      <c r="W315" s="42"/>
      <c r="X315" s="42"/>
      <c r="Y315" s="42"/>
      <c r="Z315" s="42"/>
      <c r="AA315" s="42"/>
      <c r="AB315" s="42"/>
      <c r="AC315" s="42"/>
      <c r="AD315" s="42"/>
      <c r="AE315" s="42"/>
    </row>
    <row r="316">
      <c r="A316" s="95"/>
      <c r="B316" s="95"/>
      <c r="C316" s="54"/>
      <c r="D316" s="83"/>
      <c r="E316" s="96"/>
      <c r="F316" s="42"/>
      <c r="G316" s="97"/>
      <c r="H316" s="96"/>
      <c r="I316" s="96"/>
      <c r="J316" s="96"/>
      <c r="K316" s="99"/>
      <c r="L316" s="96"/>
      <c r="M316" s="96"/>
      <c r="N316" s="42"/>
      <c r="O316" s="42"/>
      <c r="P316" s="83"/>
      <c r="Q316" s="83"/>
      <c r="R316" s="42"/>
      <c r="S316" s="87"/>
      <c r="T316" s="83"/>
      <c r="U316" s="83"/>
      <c r="V316" s="83"/>
      <c r="W316" s="42"/>
      <c r="X316" s="42"/>
      <c r="Y316" s="42"/>
      <c r="Z316" s="42"/>
      <c r="AA316" s="42"/>
      <c r="AB316" s="42"/>
      <c r="AC316" s="42"/>
      <c r="AD316" s="42"/>
      <c r="AE316" s="42"/>
    </row>
    <row r="317">
      <c r="A317" s="95"/>
      <c r="B317" s="95"/>
      <c r="C317" s="54"/>
      <c r="D317" s="83"/>
      <c r="E317" s="96"/>
      <c r="F317" s="42"/>
      <c r="G317" s="97"/>
      <c r="H317" s="96"/>
      <c r="I317" s="96"/>
      <c r="J317" s="96"/>
      <c r="K317" s="99"/>
      <c r="L317" s="96"/>
      <c r="M317" s="96"/>
      <c r="N317" s="42"/>
      <c r="O317" s="42"/>
      <c r="P317" s="83"/>
      <c r="Q317" s="83"/>
      <c r="R317" s="42"/>
      <c r="S317" s="87"/>
      <c r="T317" s="83"/>
      <c r="U317" s="83"/>
      <c r="V317" s="83"/>
      <c r="W317" s="42"/>
      <c r="X317" s="42"/>
      <c r="Y317" s="42"/>
      <c r="Z317" s="42"/>
      <c r="AA317" s="42"/>
      <c r="AB317" s="42"/>
      <c r="AC317" s="42"/>
      <c r="AD317" s="42"/>
      <c r="AE317" s="42"/>
    </row>
    <row r="318">
      <c r="A318" s="95"/>
      <c r="B318" s="95"/>
      <c r="C318" s="54"/>
      <c r="D318" s="83"/>
      <c r="E318" s="96"/>
      <c r="F318" s="42"/>
      <c r="G318" s="97"/>
      <c r="H318" s="96"/>
      <c r="I318" s="96"/>
      <c r="J318" s="96"/>
      <c r="K318" s="99"/>
      <c r="L318" s="96"/>
      <c r="M318" s="96"/>
      <c r="N318" s="42"/>
      <c r="O318" s="42"/>
      <c r="P318" s="83"/>
      <c r="Q318" s="83"/>
      <c r="R318" s="42"/>
      <c r="S318" s="87"/>
      <c r="T318" s="83"/>
      <c r="U318" s="83"/>
      <c r="V318" s="83"/>
      <c r="W318" s="42"/>
      <c r="X318" s="42"/>
      <c r="Y318" s="42"/>
      <c r="Z318" s="42"/>
      <c r="AA318" s="42"/>
      <c r="AB318" s="42"/>
      <c r="AC318" s="42"/>
      <c r="AD318" s="42"/>
      <c r="AE318" s="42"/>
    </row>
    <row r="319">
      <c r="A319" s="95"/>
      <c r="B319" s="95"/>
      <c r="C319" s="54"/>
      <c r="D319" s="83"/>
      <c r="E319" s="96"/>
      <c r="F319" s="42"/>
      <c r="G319" s="97"/>
      <c r="H319" s="96"/>
      <c r="I319" s="96"/>
      <c r="J319" s="96"/>
      <c r="K319" s="99"/>
      <c r="L319" s="96"/>
      <c r="M319" s="96"/>
      <c r="N319" s="42"/>
      <c r="O319" s="42"/>
      <c r="P319" s="83"/>
      <c r="Q319" s="83"/>
      <c r="R319" s="42"/>
      <c r="S319" s="87"/>
      <c r="T319" s="83"/>
      <c r="U319" s="83"/>
      <c r="V319" s="83"/>
      <c r="W319" s="42"/>
      <c r="X319" s="42"/>
      <c r="Y319" s="42"/>
      <c r="Z319" s="42"/>
      <c r="AA319" s="42"/>
      <c r="AB319" s="42"/>
      <c r="AC319" s="42"/>
      <c r="AD319" s="42"/>
      <c r="AE319" s="42"/>
    </row>
    <row r="320">
      <c r="A320" s="95"/>
      <c r="B320" s="95"/>
      <c r="C320" s="54"/>
      <c r="D320" s="83"/>
      <c r="E320" s="96"/>
      <c r="F320" s="42"/>
      <c r="G320" s="97"/>
      <c r="H320" s="96"/>
      <c r="I320" s="96"/>
      <c r="J320" s="96"/>
      <c r="K320" s="99"/>
      <c r="L320" s="96"/>
      <c r="M320" s="96"/>
      <c r="N320" s="42"/>
      <c r="O320" s="42"/>
      <c r="P320" s="83"/>
      <c r="Q320" s="83"/>
      <c r="R320" s="42"/>
      <c r="S320" s="87"/>
      <c r="T320" s="83"/>
      <c r="U320" s="83"/>
      <c r="V320" s="83"/>
      <c r="W320" s="42"/>
      <c r="X320" s="42"/>
      <c r="Y320" s="42"/>
      <c r="Z320" s="42"/>
      <c r="AA320" s="42"/>
      <c r="AB320" s="42"/>
      <c r="AC320" s="42"/>
      <c r="AD320" s="42"/>
      <c r="AE320" s="42"/>
    </row>
    <row r="321">
      <c r="A321" s="95"/>
      <c r="B321" s="95"/>
      <c r="C321" s="54"/>
      <c r="D321" s="83"/>
      <c r="E321" s="96"/>
      <c r="F321" s="42"/>
      <c r="G321" s="97"/>
      <c r="H321" s="96"/>
      <c r="I321" s="96"/>
      <c r="J321" s="96"/>
      <c r="K321" s="99"/>
      <c r="L321" s="96"/>
      <c r="M321" s="96"/>
      <c r="N321" s="42"/>
      <c r="O321" s="42"/>
      <c r="P321" s="83"/>
      <c r="Q321" s="83"/>
      <c r="R321" s="42"/>
      <c r="S321" s="87"/>
      <c r="T321" s="83"/>
      <c r="U321" s="83"/>
      <c r="V321" s="83"/>
      <c r="W321" s="42"/>
      <c r="X321" s="42"/>
      <c r="Y321" s="42"/>
      <c r="Z321" s="42"/>
      <c r="AA321" s="42"/>
      <c r="AB321" s="42"/>
      <c r="AC321" s="42"/>
      <c r="AD321" s="42"/>
      <c r="AE321" s="42"/>
    </row>
    <row r="322">
      <c r="A322" s="95"/>
      <c r="B322" s="95"/>
      <c r="C322" s="54"/>
      <c r="D322" s="83"/>
      <c r="E322" s="96"/>
      <c r="F322" s="42"/>
      <c r="G322" s="97"/>
      <c r="H322" s="96"/>
      <c r="I322" s="96"/>
      <c r="J322" s="96"/>
      <c r="K322" s="99"/>
      <c r="L322" s="96"/>
      <c r="M322" s="96"/>
      <c r="N322" s="42"/>
      <c r="O322" s="42"/>
      <c r="P322" s="83"/>
      <c r="Q322" s="83"/>
      <c r="R322" s="42"/>
      <c r="S322" s="87"/>
      <c r="T322" s="83"/>
      <c r="U322" s="83"/>
      <c r="V322" s="83"/>
      <c r="W322" s="42"/>
      <c r="X322" s="42"/>
      <c r="Y322" s="42"/>
      <c r="Z322" s="42"/>
      <c r="AA322" s="42"/>
      <c r="AB322" s="42"/>
      <c r="AC322" s="42"/>
      <c r="AD322" s="42"/>
      <c r="AE322" s="42"/>
    </row>
    <row r="323">
      <c r="A323" s="95"/>
      <c r="B323" s="95"/>
      <c r="C323" s="54"/>
      <c r="D323" s="83"/>
      <c r="E323" s="96"/>
      <c r="F323" s="42"/>
      <c r="G323" s="97"/>
      <c r="H323" s="96"/>
      <c r="I323" s="96"/>
      <c r="J323" s="96"/>
      <c r="K323" s="99"/>
      <c r="L323" s="96"/>
      <c r="M323" s="96"/>
      <c r="N323" s="42"/>
      <c r="O323" s="42"/>
      <c r="P323" s="83"/>
      <c r="Q323" s="83"/>
      <c r="R323" s="42"/>
      <c r="S323" s="87"/>
      <c r="T323" s="83"/>
      <c r="U323" s="83"/>
      <c r="V323" s="83"/>
      <c r="W323" s="42"/>
      <c r="X323" s="42"/>
      <c r="Y323" s="42"/>
      <c r="Z323" s="42"/>
      <c r="AA323" s="42"/>
      <c r="AB323" s="42"/>
      <c r="AC323" s="42"/>
      <c r="AD323" s="42"/>
      <c r="AE323" s="42"/>
    </row>
    <row r="324">
      <c r="A324" s="95"/>
      <c r="B324" s="95"/>
      <c r="C324" s="54"/>
      <c r="D324" s="83"/>
      <c r="E324" s="96"/>
      <c r="F324" s="42"/>
      <c r="G324" s="97"/>
      <c r="H324" s="96"/>
      <c r="I324" s="96"/>
      <c r="J324" s="96"/>
      <c r="K324" s="99"/>
      <c r="L324" s="96"/>
      <c r="M324" s="96"/>
      <c r="N324" s="42"/>
      <c r="O324" s="42"/>
      <c r="P324" s="83"/>
      <c r="Q324" s="83"/>
      <c r="R324" s="42"/>
      <c r="S324" s="87"/>
      <c r="T324" s="83"/>
      <c r="U324" s="83"/>
      <c r="V324" s="83"/>
      <c r="W324" s="42"/>
      <c r="X324" s="42"/>
      <c r="Y324" s="42"/>
      <c r="Z324" s="42"/>
      <c r="AA324" s="42"/>
      <c r="AB324" s="42"/>
      <c r="AC324" s="42"/>
      <c r="AD324" s="42"/>
      <c r="AE324" s="42"/>
    </row>
    <row r="325">
      <c r="A325" s="95"/>
      <c r="B325" s="95"/>
      <c r="C325" s="54"/>
      <c r="D325" s="83"/>
      <c r="E325" s="96"/>
      <c r="F325" s="42"/>
      <c r="G325" s="97"/>
      <c r="H325" s="96"/>
      <c r="I325" s="96"/>
      <c r="J325" s="96"/>
      <c r="K325" s="99"/>
      <c r="L325" s="96"/>
      <c r="M325" s="96"/>
      <c r="N325" s="42"/>
      <c r="O325" s="42"/>
      <c r="P325" s="83"/>
      <c r="Q325" s="83"/>
      <c r="R325" s="42"/>
      <c r="S325" s="87"/>
      <c r="T325" s="83"/>
      <c r="U325" s="83"/>
      <c r="V325" s="83"/>
      <c r="W325" s="42"/>
      <c r="X325" s="42"/>
      <c r="Y325" s="42"/>
      <c r="Z325" s="42"/>
      <c r="AA325" s="42"/>
      <c r="AB325" s="42"/>
      <c r="AC325" s="42"/>
      <c r="AD325" s="42"/>
      <c r="AE325" s="42"/>
    </row>
    <row r="326">
      <c r="A326" s="95"/>
      <c r="B326" s="95"/>
      <c r="C326" s="54"/>
      <c r="D326" s="83"/>
      <c r="E326" s="96"/>
      <c r="F326" s="42"/>
      <c r="G326" s="97"/>
      <c r="H326" s="96"/>
      <c r="I326" s="96"/>
      <c r="J326" s="96"/>
      <c r="K326" s="99"/>
      <c r="L326" s="96"/>
      <c r="M326" s="96"/>
      <c r="N326" s="42"/>
      <c r="O326" s="42"/>
      <c r="P326" s="83"/>
      <c r="Q326" s="83"/>
      <c r="R326" s="42"/>
      <c r="S326" s="87"/>
      <c r="T326" s="83"/>
      <c r="U326" s="83"/>
      <c r="V326" s="83"/>
      <c r="W326" s="42"/>
      <c r="X326" s="42"/>
      <c r="Y326" s="42"/>
      <c r="Z326" s="42"/>
      <c r="AA326" s="42"/>
      <c r="AB326" s="42"/>
      <c r="AC326" s="42"/>
      <c r="AD326" s="42"/>
      <c r="AE326" s="42"/>
    </row>
    <row r="327">
      <c r="A327" s="95"/>
      <c r="B327" s="95"/>
      <c r="C327" s="54"/>
      <c r="D327" s="83"/>
      <c r="E327" s="96"/>
      <c r="F327" s="42"/>
      <c r="G327" s="97"/>
      <c r="H327" s="96"/>
      <c r="I327" s="96"/>
      <c r="J327" s="96"/>
      <c r="K327" s="99"/>
      <c r="L327" s="96"/>
      <c r="M327" s="96"/>
      <c r="N327" s="42"/>
      <c r="O327" s="42"/>
      <c r="P327" s="83"/>
      <c r="Q327" s="83"/>
      <c r="R327" s="42"/>
      <c r="S327" s="87"/>
      <c r="T327" s="83"/>
      <c r="U327" s="83"/>
      <c r="V327" s="83"/>
      <c r="W327" s="42"/>
      <c r="X327" s="42"/>
      <c r="Y327" s="42"/>
      <c r="Z327" s="42"/>
      <c r="AA327" s="42"/>
      <c r="AB327" s="42"/>
      <c r="AC327" s="42"/>
      <c r="AD327" s="42"/>
      <c r="AE327" s="42"/>
    </row>
    <row r="328">
      <c r="A328" s="95"/>
      <c r="B328" s="95"/>
      <c r="C328" s="54"/>
      <c r="D328" s="83"/>
      <c r="E328" s="96"/>
      <c r="F328" s="42"/>
      <c r="G328" s="97"/>
      <c r="H328" s="96"/>
      <c r="I328" s="96"/>
      <c r="J328" s="96"/>
      <c r="K328" s="99"/>
      <c r="L328" s="96"/>
      <c r="M328" s="96"/>
      <c r="N328" s="42"/>
      <c r="O328" s="42"/>
      <c r="P328" s="83"/>
      <c r="Q328" s="83"/>
      <c r="R328" s="42"/>
      <c r="S328" s="87"/>
      <c r="T328" s="83"/>
      <c r="U328" s="83"/>
      <c r="V328" s="83"/>
      <c r="W328" s="42"/>
      <c r="X328" s="42"/>
      <c r="Y328" s="42"/>
      <c r="Z328" s="42"/>
      <c r="AA328" s="42"/>
      <c r="AB328" s="42"/>
      <c r="AC328" s="42"/>
      <c r="AD328" s="42"/>
      <c r="AE328" s="42"/>
    </row>
    <row r="329">
      <c r="A329" s="95"/>
      <c r="B329" s="95"/>
      <c r="C329" s="54"/>
      <c r="D329" s="83"/>
      <c r="E329" s="96"/>
      <c r="F329" s="42"/>
      <c r="G329" s="97"/>
      <c r="H329" s="96"/>
      <c r="I329" s="96"/>
      <c r="J329" s="96"/>
      <c r="K329" s="99"/>
      <c r="L329" s="96"/>
      <c r="M329" s="96"/>
      <c r="N329" s="42"/>
      <c r="O329" s="42"/>
      <c r="P329" s="83"/>
      <c r="Q329" s="83"/>
      <c r="R329" s="42"/>
      <c r="S329" s="87"/>
      <c r="T329" s="83"/>
      <c r="U329" s="83"/>
      <c r="V329" s="83"/>
      <c r="W329" s="42"/>
      <c r="X329" s="42"/>
      <c r="Y329" s="42"/>
      <c r="Z329" s="42"/>
      <c r="AA329" s="42"/>
      <c r="AB329" s="42"/>
      <c r="AC329" s="42"/>
      <c r="AD329" s="42"/>
      <c r="AE329" s="42"/>
    </row>
    <row r="330">
      <c r="A330" s="95"/>
      <c r="B330" s="95"/>
      <c r="C330" s="54"/>
      <c r="D330" s="83"/>
      <c r="E330" s="96"/>
      <c r="F330" s="42"/>
      <c r="G330" s="97"/>
      <c r="H330" s="96"/>
      <c r="I330" s="96"/>
      <c r="J330" s="96"/>
      <c r="K330" s="99"/>
      <c r="L330" s="96"/>
      <c r="M330" s="96"/>
      <c r="N330" s="42"/>
      <c r="O330" s="42"/>
      <c r="P330" s="83"/>
      <c r="Q330" s="83"/>
      <c r="R330" s="42"/>
      <c r="S330" s="87"/>
      <c r="T330" s="83"/>
      <c r="U330" s="83"/>
      <c r="V330" s="83"/>
      <c r="W330" s="42"/>
      <c r="X330" s="42"/>
      <c r="Y330" s="42"/>
      <c r="Z330" s="42"/>
      <c r="AA330" s="42"/>
      <c r="AB330" s="42"/>
      <c r="AC330" s="42"/>
      <c r="AD330" s="42"/>
      <c r="AE330" s="42"/>
    </row>
    <row r="331">
      <c r="A331" s="95"/>
      <c r="B331" s="95"/>
      <c r="C331" s="54"/>
      <c r="D331" s="83"/>
      <c r="E331" s="96"/>
      <c r="F331" s="42"/>
      <c r="G331" s="97"/>
      <c r="H331" s="96"/>
      <c r="I331" s="96"/>
      <c r="J331" s="96"/>
      <c r="K331" s="99"/>
      <c r="L331" s="96"/>
      <c r="M331" s="96"/>
      <c r="N331" s="42"/>
      <c r="O331" s="42"/>
      <c r="P331" s="83"/>
      <c r="Q331" s="83"/>
      <c r="R331" s="42"/>
      <c r="S331" s="87"/>
      <c r="T331" s="83"/>
      <c r="U331" s="83"/>
      <c r="V331" s="83"/>
      <c r="W331" s="42"/>
      <c r="X331" s="42"/>
      <c r="Y331" s="42"/>
      <c r="Z331" s="42"/>
      <c r="AA331" s="42"/>
      <c r="AB331" s="42"/>
      <c r="AC331" s="42"/>
      <c r="AD331" s="42"/>
      <c r="AE331" s="42"/>
    </row>
    <row r="332">
      <c r="A332" s="95"/>
      <c r="B332" s="95"/>
      <c r="C332" s="54"/>
      <c r="D332" s="83"/>
      <c r="E332" s="96"/>
      <c r="F332" s="42"/>
      <c r="G332" s="97"/>
      <c r="H332" s="96"/>
      <c r="I332" s="96"/>
      <c r="J332" s="96"/>
      <c r="K332" s="99"/>
      <c r="L332" s="96"/>
      <c r="M332" s="96"/>
      <c r="N332" s="42"/>
      <c r="O332" s="42"/>
      <c r="P332" s="83"/>
      <c r="Q332" s="83"/>
      <c r="R332" s="42"/>
      <c r="S332" s="87"/>
      <c r="T332" s="83"/>
      <c r="U332" s="83"/>
      <c r="V332" s="83"/>
      <c r="W332" s="42"/>
      <c r="X332" s="42"/>
      <c r="Y332" s="42"/>
      <c r="Z332" s="42"/>
      <c r="AA332" s="42"/>
      <c r="AB332" s="42"/>
      <c r="AC332" s="42"/>
      <c r="AD332" s="42"/>
      <c r="AE332" s="42"/>
    </row>
    <row r="333">
      <c r="A333" s="95"/>
      <c r="B333" s="95"/>
      <c r="C333" s="54"/>
      <c r="D333" s="83"/>
      <c r="E333" s="96"/>
      <c r="F333" s="42"/>
      <c r="G333" s="97"/>
      <c r="H333" s="96"/>
      <c r="I333" s="96"/>
      <c r="J333" s="96"/>
      <c r="K333" s="99"/>
      <c r="L333" s="96"/>
      <c r="M333" s="96"/>
      <c r="N333" s="42"/>
      <c r="O333" s="42"/>
      <c r="P333" s="83"/>
      <c r="Q333" s="83"/>
      <c r="R333" s="42"/>
      <c r="S333" s="87"/>
      <c r="T333" s="83"/>
      <c r="U333" s="83"/>
      <c r="V333" s="83"/>
      <c r="W333" s="42"/>
      <c r="X333" s="42"/>
      <c r="Y333" s="42"/>
      <c r="Z333" s="42"/>
      <c r="AA333" s="42"/>
      <c r="AB333" s="42"/>
      <c r="AC333" s="42"/>
      <c r="AD333" s="42"/>
      <c r="AE333" s="42"/>
    </row>
    <row r="334">
      <c r="A334" s="95"/>
      <c r="B334" s="95"/>
      <c r="C334" s="54"/>
      <c r="D334" s="83"/>
      <c r="E334" s="96"/>
      <c r="F334" s="42"/>
      <c r="G334" s="97"/>
      <c r="H334" s="96"/>
      <c r="I334" s="96"/>
      <c r="J334" s="96"/>
      <c r="K334" s="99"/>
      <c r="L334" s="96"/>
      <c r="M334" s="96"/>
      <c r="N334" s="42"/>
      <c r="O334" s="42"/>
      <c r="P334" s="83"/>
      <c r="Q334" s="83"/>
      <c r="R334" s="42"/>
      <c r="S334" s="87"/>
      <c r="T334" s="83"/>
      <c r="U334" s="83"/>
      <c r="V334" s="83"/>
      <c r="W334" s="42"/>
      <c r="X334" s="42"/>
      <c r="Y334" s="42"/>
      <c r="Z334" s="42"/>
      <c r="AA334" s="42"/>
      <c r="AB334" s="42"/>
      <c r="AC334" s="42"/>
      <c r="AD334" s="42"/>
      <c r="AE334" s="42"/>
    </row>
    <row r="335">
      <c r="A335" s="95"/>
      <c r="B335" s="95"/>
      <c r="C335" s="54"/>
      <c r="D335" s="83"/>
      <c r="E335" s="96"/>
      <c r="F335" s="42"/>
      <c r="G335" s="97"/>
      <c r="H335" s="96"/>
      <c r="I335" s="96"/>
      <c r="J335" s="96"/>
      <c r="K335" s="99"/>
      <c r="L335" s="96"/>
      <c r="M335" s="96"/>
      <c r="N335" s="42"/>
      <c r="O335" s="42"/>
      <c r="P335" s="83"/>
      <c r="Q335" s="83"/>
      <c r="R335" s="42"/>
      <c r="S335" s="87"/>
      <c r="T335" s="83"/>
      <c r="U335" s="83"/>
      <c r="V335" s="83"/>
      <c r="W335" s="42"/>
      <c r="X335" s="42"/>
      <c r="Y335" s="42"/>
      <c r="Z335" s="42"/>
      <c r="AA335" s="42"/>
      <c r="AB335" s="42"/>
      <c r="AC335" s="42"/>
      <c r="AD335" s="42"/>
      <c r="AE335" s="42"/>
    </row>
    <row r="336">
      <c r="A336" s="95"/>
      <c r="B336" s="95"/>
      <c r="C336" s="54"/>
      <c r="D336" s="83"/>
      <c r="E336" s="96"/>
      <c r="F336" s="42"/>
      <c r="G336" s="97"/>
      <c r="H336" s="96"/>
      <c r="I336" s="96"/>
      <c r="J336" s="96"/>
      <c r="K336" s="99"/>
      <c r="L336" s="96"/>
      <c r="M336" s="96"/>
      <c r="N336" s="42"/>
      <c r="O336" s="42"/>
      <c r="P336" s="83"/>
      <c r="Q336" s="83"/>
      <c r="R336" s="42"/>
      <c r="S336" s="87"/>
      <c r="T336" s="83"/>
      <c r="U336" s="83"/>
      <c r="V336" s="83"/>
      <c r="W336" s="42"/>
      <c r="X336" s="42"/>
      <c r="Y336" s="42"/>
      <c r="Z336" s="42"/>
      <c r="AA336" s="42"/>
      <c r="AB336" s="42"/>
      <c r="AC336" s="42"/>
      <c r="AD336" s="42"/>
      <c r="AE336" s="42"/>
    </row>
    <row r="337">
      <c r="A337" s="95"/>
      <c r="B337" s="95"/>
      <c r="C337" s="54"/>
      <c r="D337" s="83"/>
      <c r="E337" s="96"/>
      <c r="F337" s="42"/>
      <c r="G337" s="97"/>
      <c r="H337" s="96"/>
      <c r="I337" s="96"/>
      <c r="J337" s="96"/>
      <c r="K337" s="99"/>
      <c r="L337" s="96"/>
      <c r="M337" s="96"/>
      <c r="N337" s="42"/>
      <c r="O337" s="42"/>
      <c r="P337" s="83"/>
      <c r="Q337" s="83"/>
      <c r="R337" s="42"/>
      <c r="S337" s="87"/>
      <c r="T337" s="83"/>
      <c r="U337" s="83"/>
      <c r="V337" s="83"/>
      <c r="W337" s="42"/>
      <c r="X337" s="42"/>
      <c r="Y337" s="42"/>
      <c r="Z337" s="42"/>
      <c r="AA337" s="42"/>
      <c r="AB337" s="42"/>
      <c r="AC337" s="42"/>
      <c r="AD337" s="42"/>
      <c r="AE337" s="42"/>
    </row>
    <row r="338">
      <c r="A338" s="95"/>
      <c r="B338" s="95"/>
      <c r="C338" s="54"/>
      <c r="D338" s="83"/>
      <c r="E338" s="96"/>
      <c r="F338" s="42"/>
      <c r="G338" s="97"/>
      <c r="H338" s="96"/>
      <c r="I338" s="96"/>
      <c r="J338" s="96"/>
      <c r="K338" s="99"/>
      <c r="L338" s="96"/>
      <c r="M338" s="96"/>
      <c r="N338" s="42"/>
      <c r="O338" s="42"/>
      <c r="P338" s="83"/>
      <c r="Q338" s="83"/>
      <c r="R338" s="42"/>
      <c r="S338" s="87"/>
      <c r="T338" s="83"/>
      <c r="U338" s="83"/>
      <c r="V338" s="83"/>
      <c r="W338" s="42"/>
      <c r="X338" s="42"/>
      <c r="Y338" s="42"/>
      <c r="Z338" s="42"/>
      <c r="AA338" s="42"/>
      <c r="AB338" s="42"/>
      <c r="AC338" s="42"/>
      <c r="AD338" s="42"/>
      <c r="AE338" s="42"/>
    </row>
    <row r="339">
      <c r="A339" s="95"/>
      <c r="B339" s="95"/>
      <c r="C339" s="54"/>
      <c r="D339" s="83"/>
      <c r="E339" s="96"/>
      <c r="F339" s="42"/>
      <c r="G339" s="97"/>
      <c r="H339" s="96"/>
      <c r="I339" s="96"/>
      <c r="J339" s="96"/>
      <c r="K339" s="99"/>
      <c r="L339" s="96"/>
      <c r="M339" s="96"/>
      <c r="N339" s="42"/>
      <c r="O339" s="42"/>
      <c r="P339" s="83"/>
      <c r="Q339" s="83"/>
      <c r="R339" s="42"/>
      <c r="S339" s="87"/>
      <c r="T339" s="83"/>
      <c r="U339" s="83"/>
      <c r="V339" s="83"/>
      <c r="W339" s="42"/>
      <c r="X339" s="42"/>
      <c r="Y339" s="42"/>
      <c r="Z339" s="42"/>
      <c r="AA339" s="42"/>
      <c r="AB339" s="42"/>
      <c r="AC339" s="42"/>
      <c r="AD339" s="42"/>
      <c r="AE339" s="42"/>
    </row>
    <row r="340">
      <c r="A340" s="95"/>
      <c r="B340" s="95"/>
      <c r="C340" s="54"/>
      <c r="D340" s="83"/>
      <c r="E340" s="96"/>
      <c r="F340" s="42"/>
      <c r="G340" s="97"/>
      <c r="H340" s="96"/>
      <c r="I340" s="96"/>
      <c r="J340" s="96"/>
      <c r="K340" s="99"/>
      <c r="L340" s="96"/>
      <c r="M340" s="96"/>
      <c r="N340" s="42"/>
      <c r="O340" s="42"/>
      <c r="P340" s="83"/>
      <c r="Q340" s="83"/>
      <c r="R340" s="42"/>
      <c r="S340" s="87"/>
      <c r="T340" s="83"/>
      <c r="U340" s="83"/>
      <c r="V340" s="83"/>
      <c r="W340" s="42"/>
      <c r="X340" s="42"/>
      <c r="Y340" s="42"/>
      <c r="Z340" s="42"/>
      <c r="AA340" s="42"/>
      <c r="AB340" s="42"/>
      <c r="AC340" s="42"/>
      <c r="AD340" s="42"/>
      <c r="AE340" s="42"/>
    </row>
    <row r="341">
      <c r="A341" s="95"/>
      <c r="B341" s="95"/>
      <c r="C341" s="54"/>
      <c r="D341" s="83"/>
      <c r="E341" s="96"/>
      <c r="F341" s="42"/>
      <c r="G341" s="97"/>
      <c r="H341" s="96"/>
      <c r="I341" s="96"/>
      <c r="J341" s="96"/>
      <c r="K341" s="99"/>
      <c r="L341" s="96"/>
      <c r="M341" s="96"/>
      <c r="N341" s="42"/>
      <c r="O341" s="42"/>
      <c r="P341" s="83"/>
      <c r="Q341" s="83"/>
      <c r="R341" s="42"/>
      <c r="S341" s="87"/>
      <c r="T341" s="83"/>
      <c r="U341" s="83"/>
      <c r="V341" s="83"/>
      <c r="W341" s="42"/>
      <c r="X341" s="42"/>
      <c r="Y341" s="42"/>
      <c r="Z341" s="42"/>
      <c r="AA341" s="42"/>
      <c r="AB341" s="42"/>
      <c r="AC341" s="42"/>
      <c r="AD341" s="42"/>
      <c r="AE341" s="42"/>
    </row>
    <row r="342">
      <c r="A342" s="95"/>
      <c r="B342" s="95"/>
      <c r="C342" s="54"/>
      <c r="D342" s="83"/>
      <c r="E342" s="96"/>
      <c r="F342" s="42"/>
      <c r="G342" s="97"/>
      <c r="H342" s="96"/>
      <c r="I342" s="96"/>
      <c r="J342" s="96"/>
      <c r="K342" s="99"/>
      <c r="L342" s="96"/>
      <c r="M342" s="96"/>
      <c r="N342" s="42"/>
      <c r="O342" s="42"/>
      <c r="P342" s="83"/>
      <c r="Q342" s="83"/>
      <c r="R342" s="42"/>
      <c r="S342" s="87"/>
      <c r="T342" s="83"/>
      <c r="U342" s="83"/>
      <c r="V342" s="83"/>
      <c r="W342" s="42"/>
      <c r="X342" s="42"/>
      <c r="Y342" s="42"/>
      <c r="Z342" s="42"/>
      <c r="AA342" s="42"/>
      <c r="AB342" s="42"/>
      <c r="AC342" s="42"/>
      <c r="AD342" s="42"/>
      <c r="AE342" s="42"/>
    </row>
    <row r="343">
      <c r="A343" s="95"/>
      <c r="B343" s="95"/>
      <c r="C343" s="54"/>
      <c r="D343" s="83"/>
      <c r="E343" s="96"/>
      <c r="F343" s="42"/>
      <c r="G343" s="97"/>
      <c r="H343" s="96"/>
      <c r="I343" s="96"/>
      <c r="J343" s="96"/>
      <c r="K343" s="99"/>
      <c r="L343" s="96"/>
      <c r="M343" s="96"/>
      <c r="N343" s="42"/>
      <c r="O343" s="42"/>
      <c r="P343" s="83"/>
      <c r="Q343" s="83"/>
      <c r="R343" s="42"/>
      <c r="S343" s="87"/>
      <c r="T343" s="83"/>
      <c r="U343" s="83"/>
      <c r="V343" s="83"/>
      <c r="W343" s="42"/>
      <c r="X343" s="42"/>
      <c r="Y343" s="42"/>
      <c r="Z343" s="42"/>
      <c r="AA343" s="42"/>
      <c r="AB343" s="42"/>
      <c r="AC343" s="42"/>
      <c r="AD343" s="42"/>
      <c r="AE343" s="42"/>
    </row>
    <row r="344">
      <c r="A344" s="95"/>
      <c r="B344" s="95"/>
      <c r="C344" s="54"/>
      <c r="D344" s="83"/>
      <c r="E344" s="96"/>
      <c r="F344" s="42"/>
      <c r="G344" s="97"/>
      <c r="H344" s="96"/>
      <c r="I344" s="96"/>
      <c r="J344" s="96"/>
      <c r="K344" s="99"/>
      <c r="L344" s="96"/>
      <c r="M344" s="96"/>
      <c r="N344" s="42"/>
      <c r="O344" s="42"/>
      <c r="P344" s="83"/>
      <c r="Q344" s="83"/>
      <c r="R344" s="42"/>
      <c r="S344" s="87"/>
      <c r="T344" s="83"/>
      <c r="U344" s="83"/>
      <c r="V344" s="83"/>
      <c r="W344" s="42"/>
      <c r="X344" s="42"/>
      <c r="Y344" s="42"/>
      <c r="Z344" s="42"/>
      <c r="AA344" s="42"/>
      <c r="AB344" s="42"/>
      <c r="AC344" s="42"/>
      <c r="AD344" s="42"/>
      <c r="AE344" s="42"/>
    </row>
    <row r="345">
      <c r="A345" s="95"/>
      <c r="B345" s="95"/>
      <c r="C345" s="54"/>
      <c r="D345" s="83"/>
      <c r="E345" s="96"/>
      <c r="F345" s="42"/>
      <c r="G345" s="97"/>
      <c r="H345" s="96"/>
      <c r="I345" s="96"/>
      <c r="J345" s="96"/>
      <c r="K345" s="99"/>
      <c r="L345" s="96"/>
      <c r="M345" s="96"/>
      <c r="N345" s="42"/>
      <c r="O345" s="42"/>
      <c r="P345" s="83"/>
      <c r="Q345" s="83"/>
      <c r="R345" s="42"/>
      <c r="S345" s="87"/>
      <c r="T345" s="83"/>
      <c r="U345" s="83"/>
      <c r="V345" s="83"/>
      <c r="W345" s="42"/>
      <c r="X345" s="42"/>
      <c r="Y345" s="42"/>
      <c r="Z345" s="42"/>
      <c r="AA345" s="42"/>
      <c r="AB345" s="42"/>
      <c r="AC345" s="42"/>
      <c r="AD345" s="42"/>
      <c r="AE345" s="42"/>
    </row>
    <row r="346">
      <c r="A346" s="95"/>
      <c r="B346" s="95"/>
      <c r="C346" s="54"/>
      <c r="D346" s="83"/>
      <c r="E346" s="96"/>
      <c r="F346" s="42"/>
      <c r="G346" s="97"/>
      <c r="H346" s="96"/>
      <c r="I346" s="96"/>
      <c r="J346" s="96"/>
      <c r="K346" s="99"/>
      <c r="L346" s="96"/>
      <c r="M346" s="96"/>
      <c r="N346" s="42"/>
      <c r="O346" s="42"/>
      <c r="P346" s="83"/>
      <c r="Q346" s="83"/>
      <c r="R346" s="42"/>
      <c r="S346" s="87"/>
      <c r="T346" s="83"/>
      <c r="U346" s="83"/>
      <c r="V346" s="83"/>
      <c r="W346" s="42"/>
      <c r="X346" s="42"/>
      <c r="Y346" s="42"/>
      <c r="Z346" s="42"/>
      <c r="AA346" s="42"/>
      <c r="AB346" s="42"/>
      <c r="AC346" s="42"/>
      <c r="AD346" s="42"/>
      <c r="AE346" s="42"/>
    </row>
    <row r="347">
      <c r="A347" s="95"/>
      <c r="B347" s="95"/>
      <c r="C347" s="54"/>
      <c r="D347" s="83"/>
      <c r="E347" s="96"/>
      <c r="F347" s="42"/>
      <c r="G347" s="97"/>
      <c r="H347" s="96"/>
      <c r="I347" s="96"/>
      <c r="J347" s="96"/>
      <c r="K347" s="99"/>
      <c r="L347" s="96"/>
      <c r="M347" s="96"/>
      <c r="N347" s="42"/>
      <c r="O347" s="42"/>
      <c r="P347" s="83"/>
      <c r="Q347" s="83"/>
      <c r="R347" s="42"/>
      <c r="S347" s="87"/>
      <c r="T347" s="83"/>
      <c r="U347" s="83"/>
      <c r="V347" s="83"/>
      <c r="W347" s="42"/>
      <c r="X347" s="42"/>
      <c r="Y347" s="42"/>
      <c r="Z347" s="42"/>
      <c r="AA347" s="42"/>
      <c r="AB347" s="42"/>
      <c r="AC347" s="42"/>
      <c r="AD347" s="42"/>
      <c r="AE347" s="42"/>
    </row>
    <row r="348">
      <c r="A348" s="95"/>
      <c r="B348" s="95"/>
      <c r="C348" s="54"/>
      <c r="D348" s="83"/>
      <c r="E348" s="96"/>
      <c r="F348" s="42"/>
      <c r="G348" s="97"/>
      <c r="H348" s="96"/>
      <c r="I348" s="96"/>
      <c r="J348" s="96"/>
      <c r="K348" s="99"/>
      <c r="L348" s="96"/>
      <c r="M348" s="96"/>
      <c r="N348" s="42"/>
      <c r="O348" s="42"/>
      <c r="P348" s="83"/>
      <c r="Q348" s="83"/>
      <c r="R348" s="42"/>
      <c r="S348" s="87"/>
      <c r="T348" s="83"/>
      <c r="U348" s="83"/>
      <c r="V348" s="83"/>
      <c r="W348" s="42"/>
      <c r="X348" s="42"/>
      <c r="Y348" s="42"/>
      <c r="Z348" s="42"/>
      <c r="AA348" s="42"/>
      <c r="AB348" s="42"/>
      <c r="AC348" s="42"/>
      <c r="AD348" s="42"/>
      <c r="AE348" s="42"/>
    </row>
    <row r="349">
      <c r="A349" s="95"/>
      <c r="B349" s="95"/>
      <c r="C349" s="54"/>
      <c r="D349" s="83"/>
      <c r="E349" s="96"/>
      <c r="F349" s="42"/>
      <c r="G349" s="97"/>
      <c r="H349" s="96"/>
      <c r="I349" s="96"/>
      <c r="J349" s="96"/>
      <c r="K349" s="99"/>
      <c r="L349" s="96"/>
      <c r="M349" s="96"/>
      <c r="N349" s="42"/>
      <c r="O349" s="42"/>
      <c r="P349" s="83"/>
      <c r="Q349" s="83"/>
      <c r="R349" s="42"/>
      <c r="S349" s="87"/>
      <c r="T349" s="83"/>
      <c r="U349" s="83"/>
      <c r="V349" s="83"/>
      <c r="W349" s="42"/>
      <c r="X349" s="42"/>
      <c r="Y349" s="42"/>
      <c r="Z349" s="42"/>
      <c r="AA349" s="42"/>
      <c r="AB349" s="42"/>
      <c r="AC349" s="42"/>
      <c r="AD349" s="42"/>
      <c r="AE349" s="42"/>
    </row>
    <row r="350">
      <c r="A350" s="95"/>
      <c r="B350" s="95"/>
      <c r="C350" s="54"/>
      <c r="D350" s="83"/>
      <c r="E350" s="96"/>
      <c r="F350" s="42"/>
      <c r="G350" s="97"/>
      <c r="H350" s="96"/>
      <c r="I350" s="96"/>
      <c r="J350" s="96"/>
      <c r="K350" s="99"/>
      <c r="L350" s="96"/>
      <c r="M350" s="96"/>
      <c r="N350" s="42"/>
      <c r="O350" s="42"/>
      <c r="P350" s="83"/>
      <c r="Q350" s="83"/>
      <c r="R350" s="42"/>
      <c r="S350" s="87"/>
      <c r="T350" s="83"/>
      <c r="U350" s="83"/>
      <c r="V350" s="83"/>
      <c r="W350" s="42"/>
      <c r="X350" s="42"/>
      <c r="Y350" s="42"/>
      <c r="Z350" s="42"/>
      <c r="AA350" s="42"/>
      <c r="AB350" s="42"/>
      <c r="AC350" s="42"/>
      <c r="AD350" s="42"/>
      <c r="AE350" s="42"/>
    </row>
    <row r="351">
      <c r="A351" s="95"/>
      <c r="B351" s="95"/>
      <c r="C351" s="54"/>
      <c r="D351" s="83"/>
      <c r="E351" s="96"/>
      <c r="F351" s="42"/>
      <c r="G351" s="97"/>
      <c r="H351" s="96"/>
      <c r="I351" s="96"/>
      <c r="J351" s="96"/>
      <c r="K351" s="99"/>
      <c r="L351" s="96"/>
      <c r="M351" s="96"/>
      <c r="N351" s="42"/>
      <c r="O351" s="42"/>
      <c r="P351" s="83"/>
      <c r="Q351" s="83"/>
      <c r="R351" s="42"/>
      <c r="S351" s="87"/>
      <c r="T351" s="83"/>
      <c r="U351" s="83"/>
      <c r="V351" s="83"/>
      <c r="W351" s="42"/>
      <c r="X351" s="42"/>
      <c r="Y351" s="42"/>
      <c r="Z351" s="42"/>
      <c r="AA351" s="42"/>
      <c r="AB351" s="42"/>
      <c r="AC351" s="42"/>
      <c r="AD351" s="42"/>
      <c r="AE351" s="42"/>
    </row>
    <row r="352">
      <c r="A352" s="95"/>
      <c r="B352" s="95"/>
      <c r="C352" s="54"/>
      <c r="D352" s="83"/>
      <c r="E352" s="96"/>
      <c r="F352" s="42"/>
      <c r="G352" s="97"/>
      <c r="H352" s="96"/>
      <c r="I352" s="96"/>
      <c r="J352" s="96"/>
      <c r="K352" s="99"/>
      <c r="L352" s="96"/>
      <c r="M352" s="96"/>
      <c r="N352" s="42"/>
      <c r="O352" s="42"/>
      <c r="P352" s="83"/>
      <c r="Q352" s="83"/>
      <c r="R352" s="42"/>
      <c r="S352" s="87"/>
      <c r="T352" s="83"/>
      <c r="U352" s="83"/>
      <c r="V352" s="83"/>
      <c r="W352" s="42"/>
      <c r="X352" s="42"/>
      <c r="Y352" s="42"/>
      <c r="Z352" s="42"/>
      <c r="AA352" s="42"/>
      <c r="AB352" s="42"/>
      <c r="AC352" s="42"/>
      <c r="AD352" s="42"/>
      <c r="AE352" s="42"/>
    </row>
    <row r="353">
      <c r="A353" s="95"/>
      <c r="B353" s="95"/>
      <c r="C353" s="54"/>
      <c r="D353" s="83"/>
      <c r="E353" s="96"/>
      <c r="F353" s="42"/>
      <c r="G353" s="97"/>
      <c r="H353" s="96"/>
      <c r="I353" s="96"/>
      <c r="J353" s="96"/>
      <c r="K353" s="99"/>
      <c r="L353" s="96"/>
      <c r="M353" s="96"/>
      <c r="N353" s="42"/>
      <c r="O353" s="42"/>
      <c r="P353" s="83"/>
      <c r="Q353" s="83"/>
      <c r="R353" s="42"/>
      <c r="S353" s="87"/>
      <c r="T353" s="83"/>
      <c r="U353" s="83"/>
      <c r="V353" s="83"/>
      <c r="W353" s="42"/>
      <c r="X353" s="42"/>
      <c r="Y353" s="42"/>
      <c r="Z353" s="42"/>
      <c r="AA353" s="42"/>
      <c r="AB353" s="42"/>
      <c r="AC353" s="42"/>
      <c r="AD353" s="42"/>
      <c r="AE353" s="42"/>
    </row>
    <row r="354">
      <c r="A354" s="95"/>
      <c r="B354" s="95"/>
      <c r="C354" s="54"/>
      <c r="D354" s="83"/>
      <c r="E354" s="96"/>
      <c r="F354" s="42"/>
      <c r="G354" s="97"/>
      <c r="H354" s="96"/>
      <c r="I354" s="96"/>
      <c r="J354" s="96"/>
      <c r="K354" s="99"/>
      <c r="L354" s="96"/>
      <c r="M354" s="96"/>
      <c r="N354" s="42"/>
      <c r="O354" s="42"/>
      <c r="P354" s="83"/>
      <c r="Q354" s="83"/>
      <c r="R354" s="42"/>
      <c r="S354" s="87"/>
      <c r="T354" s="83"/>
      <c r="U354" s="83"/>
      <c r="V354" s="83"/>
      <c r="W354" s="42"/>
      <c r="X354" s="42"/>
      <c r="Y354" s="42"/>
      <c r="Z354" s="42"/>
      <c r="AA354" s="42"/>
      <c r="AB354" s="42"/>
      <c r="AC354" s="42"/>
      <c r="AD354" s="42"/>
      <c r="AE354" s="42"/>
    </row>
    <row r="355">
      <c r="A355" s="95"/>
      <c r="B355" s="95"/>
      <c r="C355" s="54"/>
      <c r="D355" s="83"/>
      <c r="E355" s="96"/>
      <c r="F355" s="42"/>
      <c r="G355" s="97"/>
      <c r="H355" s="96"/>
      <c r="I355" s="96"/>
      <c r="J355" s="96"/>
      <c r="K355" s="99"/>
      <c r="L355" s="96"/>
      <c r="M355" s="96"/>
      <c r="N355" s="42"/>
      <c r="O355" s="42"/>
      <c r="P355" s="83"/>
      <c r="Q355" s="83"/>
      <c r="R355" s="42"/>
      <c r="S355" s="87"/>
      <c r="T355" s="83"/>
      <c r="U355" s="83"/>
      <c r="V355" s="83"/>
      <c r="W355" s="42"/>
      <c r="X355" s="42"/>
      <c r="Y355" s="42"/>
      <c r="Z355" s="42"/>
      <c r="AA355" s="42"/>
      <c r="AB355" s="42"/>
      <c r="AC355" s="42"/>
      <c r="AD355" s="42"/>
      <c r="AE355" s="42"/>
    </row>
    <row r="356">
      <c r="A356" s="95"/>
      <c r="B356" s="95"/>
      <c r="C356" s="54"/>
      <c r="D356" s="83"/>
      <c r="E356" s="96"/>
      <c r="F356" s="42"/>
      <c r="G356" s="97"/>
      <c r="H356" s="96"/>
      <c r="I356" s="96"/>
      <c r="J356" s="96"/>
      <c r="K356" s="99"/>
      <c r="L356" s="96"/>
      <c r="M356" s="96"/>
      <c r="N356" s="42"/>
      <c r="O356" s="42"/>
      <c r="P356" s="83"/>
      <c r="Q356" s="83"/>
      <c r="R356" s="42"/>
      <c r="S356" s="87"/>
      <c r="T356" s="83"/>
      <c r="U356" s="83"/>
      <c r="V356" s="83"/>
      <c r="W356" s="42"/>
      <c r="X356" s="42"/>
      <c r="Y356" s="42"/>
      <c r="Z356" s="42"/>
      <c r="AA356" s="42"/>
      <c r="AB356" s="42"/>
      <c r="AC356" s="42"/>
      <c r="AD356" s="42"/>
      <c r="AE356" s="42"/>
    </row>
    <row r="357">
      <c r="A357" s="95"/>
      <c r="B357" s="95"/>
      <c r="C357" s="54"/>
      <c r="D357" s="83"/>
      <c r="E357" s="96"/>
      <c r="F357" s="42"/>
      <c r="G357" s="97"/>
      <c r="H357" s="96"/>
      <c r="I357" s="96"/>
      <c r="J357" s="96"/>
      <c r="K357" s="99"/>
      <c r="L357" s="96"/>
      <c r="M357" s="96"/>
      <c r="N357" s="42"/>
      <c r="O357" s="42"/>
      <c r="P357" s="83"/>
      <c r="Q357" s="83"/>
      <c r="R357" s="42"/>
      <c r="S357" s="87"/>
      <c r="T357" s="83"/>
      <c r="U357" s="83"/>
      <c r="V357" s="83"/>
      <c r="W357" s="42"/>
      <c r="X357" s="42"/>
      <c r="Y357" s="42"/>
      <c r="Z357" s="42"/>
      <c r="AA357" s="42"/>
      <c r="AB357" s="42"/>
      <c r="AC357" s="42"/>
      <c r="AD357" s="42"/>
      <c r="AE357" s="42"/>
    </row>
    <row r="358">
      <c r="A358" s="95"/>
      <c r="B358" s="95"/>
      <c r="C358" s="54"/>
      <c r="D358" s="83"/>
      <c r="E358" s="96"/>
      <c r="F358" s="42"/>
      <c r="G358" s="97"/>
      <c r="H358" s="96"/>
      <c r="I358" s="96"/>
      <c r="J358" s="96"/>
      <c r="K358" s="99"/>
      <c r="L358" s="96"/>
      <c r="M358" s="96"/>
      <c r="N358" s="42"/>
      <c r="O358" s="42"/>
      <c r="P358" s="83"/>
      <c r="Q358" s="83"/>
      <c r="R358" s="42"/>
      <c r="S358" s="87"/>
      <c r="T358" s="83"/>
      <c r="U358" s="83"/>
      <c r="V358" s="83"/>
      <c r="W358" s="42"/>
      <c r="X358" s="42"/>
      <c r="Y358" s="42"/>
      <c r="Z358" s="42"/>
      <c r="AA358" s="42"/>
      <c r="AB358" s="42"/>
      <c r="AC358" s="42"/>
      <c r="AD358" s="42"/>
      <c r="AE358" s="42"/>
    </row>
    <row r="359">
      <c r="A359" s="95"/>
      <c r="B359" s="95"/>
      <c r="C359" s="54"/>
      <c r="D359" s="83"/>
      <c r="E359" s="96"/>
      <c r="F359" s="42"/>
      <c r="G359" s="97"/>
      <c r="H359" s="96"/>
      <c r="I359" s="96"/>
      <c r="J359" s="96"/>
      <c r="K359" s="99"/>
      <c r="L359" s="96"/>
      <c r="M359" s="96"/>
      <c r="N359" s="42"/>
      <c r="O359" s="42"/>
      <c r="P359" s="83"/>
      <c r="Q359" s="83"/>
      <c r="R359" s="42"/>
      <c r="S359" s="87"/>
      <c r="T359" s="83"/>
      <c r="U359" s="83"/>
      <c r="V359" s="83"/>
      <c r="W359" s="42"/>
      <c r="X359" s="42"/>
      <c r="Y359" s="42"/>
      <c r="Z359" s="42"/>
      <c r="AA359" s="42"/>
      <c r="AB359" s="42"/>
      <c r="AC359" s="42"/>
      <c r="AD359" s="42"/>
      <c r="AE359" s="42"/>
    </row>
    <row r="360">
      <c r="A360" s="95"/>
      <c r="B360" s="95"/>
      <c r="C360" s="54"/>
      <c r="D360" s="83"/>
      <c r="E360" s="96"/>
      <c r="F360" s="42"/>
      <c r="G360" s="97"/>
      <c r="H360" s="96"/>
      <c r="I360" s="96"/>
      <c r="J360" s="96"/>
      <c r="K360" s="99"/>
      <c r="L360" s="96"/>
      <c r="M360" s="96"/>
      <c r="N360" s="42"/>
      <c r="O360" s="42"/>
      <c r="P360" s="83"/>
      <c r="Q360" s="83"/>
      <c r="R360" s="42"/>
      <c r="S360" s="87"/>
      <c r="T360" s="83"/>
      <c r="U360" s="83"/>
      <c r="V360" s="83"/>
      <c r="W360" s="42"/>
      <c r="X360" s="42"/>
      <c r="Y360" s="42"/>
      <c r="Z360" s="42"/>
      <c r="AA360" s="42"/>
      <c r="AB360" s="42"/>
      <c r="AC360" s="42"/>
      <c r="AD360" s="42"/>
      <c r="AE360" s="42"/>
    </row>
    <row r="361">
      <c r="A361" s="95"/>
      <c r="B361" s="95"/>
      <c r="C361" s="54"/>
      <c r="D361" s="83"/>
      <c r="E361" s="96"/>
      <c r="F361" s="42"/>
      <c r="G361" s="97"/>
      <c r="H361" s="96"/>
      <c r="I361" s="96"/>
      <c r="J361" s="96"/>
      <c r="K361" s="99"/>
      <c r="L361" s="96"/>
      <c r="M361" s="96"/>
      <c r="N361" s="42"/>
      <c r="O361" s="42"/>
      <c r="P361" s="83"/>
      <c r="Q361" s="83"/>
      <c r="R361" s="42"/>
      <c r="S361" s="87"/>
      <c r="T361" s="83"/>
      <c r="U361" s="83"/>
      <c r="V361" s="83"/>
      <c r="W361" s="42"/>
      <c r="X361" s="42"/>
      <c r="Y361" s="42"/>
      <c r="Z361" s="42"/>
      <c r="AA361" s="42"/>
      <c r="AB361" s="42"/>
      <c r="AC361" s="42"/>
      <c r="AD361" s="42"/>
      <c r="AE361" s="42"/>
    </row>
    <row r="362">
      <c r="A362" s="95"/>
      <c r="B362" s="95"/>
      <c r="C362" s="54"/>
      <c r="D362" s="83"/>
      <c r="E362" s="96"/>
      <c r="F362" s="42"/>
      <c r="G362" s="97"/>
      <c r="H362" s="96"/>
      <c r="I362" s="96"/>
      <c r="J362" s="96"/>
      <c r="K362" s="99"/>
      <c r="L362" s="96"/>
      <c r="M362" s="96"/>
      <c r="N362" s="42"/>
      <c r="O362" s="42"/>
      <c r="P362" s="83"/>
      <c r="Q362" s="83"/>
      <c r="R362" s="42"/>
      <c r="S362" s="87"/>
      <c r="T362" s="83"/>
      <c r="U362" s="83"/>
      <c r="V362" s="83"/>
      <c r="W362" s="42"/>
      <c r="X362" s="42"/>
      <c r="Y362" s="42"/>
      <c r="Z362" s="42"/>
      <c r="AA362" s="42"/>
      <c r="AB362" s="42"/>
      <c r="AC362" s="42"/>
      <c r="AD362" s="42"/>
      <c r="AE362" s="42"/>
    </row>
    <row r="363">
      <c r="A363" s="95"/>
      <c r="B363" s="95"/>
      <c r="C363" s="54"/>
      <c r="D363" s="83"/>
      <c r="E363" s="96"/>
      <c r="F363" s="42"/>
      <c r="G363" s="97"/>
      <c r="H363" s="96"/>
      <c r="I363" s="96"/>
      <c r="J363" s="96"/>
      <c r="K363" s="99"/>
      <c r="L363" s="96"/>
      <c r="M363" s="96"/>
      <c r="N363" s="42"/>
      <c r="O363" s="42"/>
      <c r="P363" s="83"/>
      <c r="Q363" s="83"/>
      <c r="R363" s="42"/>
      <c r="S363" s="87"/>
      <c r="T363" s="83"/>
      <c r="U363" s="83"/>
      <c r="V363" s="83"/>
      <c r="W363" s="42"/>
      <c r="X363" s="42"/>
      <c r="Y363" s="42"/>
      <c r="Z363" s="42"/>
      <c r="AA363" s="42"/>
      <c r="AB363" s="42"/>
      <c r="AC363" s="42"/>
      <c r="AD363" s="42"/>
      <c r="AE363" s="42"/>
    </row>
    <row r="364">
      <c r="A364" s="95"/>
      <c r="B364" s="95"/>
      <c r="C364" s="54"/>
      <c r="D364" s="83"/>
      <c r="E364" s="96"/>
      <c r="F364" s="42"/>
      <c r="G364" s="97"/>
      <c r="H364" s="96"/>
      <c r="I364" s="96"/>
      <c r="J364" s="96"/>
      <c r="K364" s="99"/>
      <c r="L364" s="96"/>
      <c r="M364" s="96"/>
      <c r="N364" s="42"/>
      <c r="O364" s="42"/>
      <c r="P364" s="83"/>
      <c r="Q364" s="83"/>
      <c r="R364" s="42"/>
      <c r="S364" s="87"/>
      <c r="T364" s="83"/>
      <c r="U364" s="83"/>
      <c r="V364" s="83"/>
      <c r="W364" s="42"/>
      <c r="X364" s="42"/>
      <c r="Y364" s="42"/>
      <c r="Z364" s="42"/>
      <c r="AA364" s="42"/>
      <c r="AB364" s="42"/>
      <c r="AC364" s="42"/>
      <c r="AD364" s="42"/>
      <c r="AE364" s="42"/>
    </row>
    <row r="365">
      <c r="A365" s="95"/>
      <c r="B365" s="95"/>
      <c r="C365" s="54"/>
      <c r="D365" s="83"/>
      <c r="E365" s="96"/>
      <c r="F365" s="42"/>
      <c r="G365" s="97"/>
      <c r="H365" s="96"/>
      <c r="I365" s="96"/>
      <c r="J365" s="96"/>
      <c r="K365" s="99"/>
      <c r="L365" s="96"/>
      <c r="M365" s="96"/>
      <c r="N365" s="42"/>
      <c r="O365" s="42"/>
      <c r="P365" s="83"/>
      <c r="Q365" s="83"/>
      <c r="R365" s="42"/>
      <c r="S365" s="87"/>
      <c r="T365" s="83"/>
      <c r="U365" s="83"/>
      <c r="V365" s="83"/>
      <c r="W365" s="42"/>
      <c r="X365" s="42"/>
      <c r="Y365" s="42"/>
      <c r="Z365" s="42"/>
      <c r="AA365" s="42"/>
      <c r="AB365" s="42"/>
      <c r="AC365" s="42"/>
      <c r="AD365" s="42"/>
      <c r="AE365" s="42"/>
    </row>
    <row r="366">
      <c r="A366" s="95"/>
      <c r="B366" s="95"/>
      <c r="C366" s="54"/>
      <c r="D366" s="83"/>
      <c r="E366" s="96"/>
      <c r="F366" s="42"/>
      <c r="G366" s="97"/>
      <c r="H366" s="96"/>
      <c r="I366" s="96"/>
      <c r="J366" s="96"/>
      <c r="K366" s="99"/>
      <c r="L366" s="96"/>
      <c r="M366" s="96"/>
      <c r="N366" s="42"/>
      <c r="O366" s="42"/>
      <c r="P366" s="83"/>
      <c r="Q366" s="83"/>
      <c r="R366" s="42"/>
      <c r="S366" s="87"/>
      <c r="T366" s="83"/>
      <c r="U366" s="83"/>
      <c r="V366" s="83"/>
      <c r="W366" s="42"/>
      <c r="X366" s="42"/>
      <c r="Y366" s="42"/>
      <c r="Z366" s="42"/>
      <c r="AA366" s="42"/>
      <c r="AB366" s="42"/>
      <c r="AC366" s="42"/>
      <c r="AD366" s="42"/>
      <c r="AE366" s="42"/>
    </row>
    <row r="367">
      <c r="A367" s="95"/>
      <c r="B367" s="95"/>
      <c r="C367" s="54"/>
      <c r="D367" s="83"/>
      <c r="E367" s="96"/>
      <c r="F367" s="42"/>
      <c r="G367" s="97"/>
      <c r="H367" s="96"/>
      <c r="I367" s="96"/>
      <c r="J367" s="96"/>
      <c r="K367" s="99"/>
      <c r="L367" s="96"/>
      <c r="M367" s="96"/>
      <c r="N367" s="42"/>
      <c r="O367" s="42"/>
      <c r="P367" s="83"/>
      <c r="Q367" s="83"/>
      <c r="R367" s="42"/>
      <c r="S367" s="87"/>
      <c r="T367" s="83"/>
      <c r="U367" s="83"/>
      <c r="V367" s="83"/>
      <c r="W367" s="42"/>
      <c r="X367" s="42"/>
      <c r="Y367" s="42"/>
      <c r="Z367" s="42"/>
      <c r="AA367" s="42"/>
      <c r="AB367" s="42"/>
      <c r="AC367" s="42"/>
      <c r="AD367" s="42"/>
      <c r="AE367" s="42"/>
    </row>
    <row r="368">
      <c r="A368" s="95"/>
      <c r="B368" s="95"/>
      <c r="C368" s="54"/>
      <c r="D368" s="83"/>
      <c r="E368" s="96"/>
      <c r="F368" s="42"/>
      <c r="G368" s="97"/>
      <c r="H368" s="96"/>
      <c r="I368" s="96"/>
      <c r="J368" s="96"/>
      <c r="K368" s="99"/>
      <c r="L368" s="96"/>
      <c r="M368" s="96"/>
      <c r="N368" s="42"/>
      <c r="O368" s="42"/>
      <c r="P368" s="83"/>
      <c r="Q368" s="83"/>
      <c r="R368" s="42"/>
      <c r="S368" s="87"/>
      <c r="T368" s="83"/>
      <c r="U368" s="83"/>
      <c r="V368" s="83"/>
      <c r="W368" s="42"/>
      <c r="X368" s="42"/>
      <c r="Y368" s="42"/>
      <c r="Z368" s="42"/>
      <c r="AA368" s="42"/>
      <c r="AB368" s="42"/>
      <c r="AC368" s="42"/>
      <c r="AD368" s="42"/>
      <c r="AE368" s="42"/>
    </row>
    <row r="369">
      <c r="A369" s="95"/>
      <c r="B369" s="95"/>
      <c r="C369" s="54"/>
      <c r="D369" s="83"/>
      <c r="E369" s="96"/>
      <c r="F369" s="42"/>
      <c r="G369" s="97"/>
      <c r="H369" s="96"/>
      <c r="I369" s="96"/>
      <c r="J369" s="96"/>
      <c r="K369" s="99"/>
      <c r="L369" s="96"/>
      <c r="M369" s="96"/>
      <c r="N369" s="42"/>
      <c r="O369" s="42"/>
      <c r="P369" s="83"/>
      <c r="Q369" s="83"/>
      <c r="R369" s="42"/>
      <c r="S369" s="87"/>
      <c r="T369" s="83"/>
      <c r="U369" s="83"/>
      <c r="V369" s="83"/>
      <c r="W369" s="42"/>
      <c r="X369" s="42"/>
      <c r="Y369" s="42"/>
      <c r="Z369" s="42"/>
      <c r="AA369" s="42"/>
      <c r="AB369" s="42"/>
      <c r="AC369" s="42"/>
      <c r="AD369" s="42"/>
      <c r="AE369" s="42"/>
    </row>
    <row r="370">
      <c r="A370" s="95"/>
      <c r="B370" s="95"/>
      <c r="C370" s="54"/>
      <c r="D370" s="83"/>
      <c r="E370" s="96"/>
      <c r="F370" s="42"/>
      <c r="G370" s="97"/>
      <c r="H370" s="96"/>
      <c r="I370" s="96"/>
      <c r="J370" s="96"/>
      <c r="K370" s="99"/>
      <c r="L370" s="96"/>
      <c r="M370" s="96"/>
      <c r="N370" s="42"/>
      <c r="O370" s="42"/>
      <c r="P370" s="83"/>
      <c r="Q370" s="83"/>
      <c r="R370" s="42"/>
      <c r="S370" s="87"/>
      <c r="T370" s="83"/>
      <c r="U370" s="83"/>
      <c r="V370" s="83"/>
      <c r="W370" s="42"/>
      <c r="X370" s="42"/>
      <c r="Y370" s="42"/>
      <c r="Z370" s="42"/>
      <c r="AA370" s="42"/>
      <c r="AB370" s="42"/>
      <c r="AC370" s="42"/>
      <c r="AD370" s="42"/>
      <c r="AE370" s="42"/>
    </row>
    <row r="371">
      <c r="A371" s="95"/>
      <c r="B371" s="95"/>
      <c r="C371" s="54"/>
      <c r="D371" s="83"/>
      <c r="E371" s="96"/>
      <c r="F371" s="42"/>
      <c r="G371" s="97"/>
      <c r="H371" s="96"/>
      <c r="I371" s="96"/>
      <c r="J371" s="96"/>
      <c r="K371" s="99"/>
      <c r="L371" s="96"/>
      <c r="M371" s="96"/>
      <c r="N371" s="42"/>
      <c r="O371" s="42"/>
      <c r="P371" s="83"/>
      <c r="Q371" s="83"/>
      <c r="R371" s="42"/>
      <c r="S371" s="87"/>
      <c r="T371" s="83"/>
      <c r="U371" s="83"/>
      <c r="V371" s="83"/>
      <c r="W371" s="42"/>
      <c r="X371" s="42"/>
      <c r="Y371" s="42"/>
      <c r="Z371" s="42"/>
      <c r="AA371" s="42"/>
      <c r="AB371" s="42"/>
      <c r="AC371" s="42"/>
      <c r="AD371" s="42"/>
      <c r="AE371" s="42"/>
    </row>
    <row r="372">
      <c r="A372" s="95"/>
      <c r="B372" s="95"/>
      <c r="C372" s="54"/>
      <c r="D372" s="83"/>
      <c r="E372" s="96"/>
      <c r="F372" s="42"/>
      <c r="G372" s="97"/>
      <c r="H372" s="96"/>
      <c r="I372" s="96"/>
      <c r="J372" s="96"/>
      <c r="K372" s="99"/>
      <c r="L372" s="96"/>
      <c r="M372" s="96"/>
      <c r="N372" s="42"/>
      <c r="O372" s="42"/>
      <c r="P372" s="83"/>
      <c r="Q372" s="83"/>
      <c r="R372" s="42"/>
      <c r="S372" s="87"/>
      <c r="T372" s="83"/>
      <c r="U372" s="83"/>
      <c r="V372" s="83"/>
      <c r="W372" s="42"/>
      <c r="X372" s="42"/>
      <c r="Y372" s="42"/>
      <c r="Z372" s="42"/>
      <c r="AA372" s="42"/>
      <c r="AB372" s="42"/>
      <c r="AC372" s="42"/>
      <c r="AD372" s="42"/>
      <c r="AE372" s="42"/>
    </row>
    <row r="373">
      <c r="A373" s="95"/>
      <c r="B373" s="95"/>
      <c r="C373" s="54"/>
      <c r="D373" s="83"/>
      <c r="E373" s="96"/>
      <c r="F373" s="42"/>
      <c r="G373" s="97"/>
      <c r="H373" s="96"/>
      <c r="I373" s="96"/>
      <c r="J373" s="96"/>
      <c r="K373" s="99"/>
      <c r="L373" s="96"/>
      <c r="M373" s="96"/>
      <c r="N373" s="42"/>
      <c r="O373" s="42"/>
      <c r="P373" s="83"/>
      <c r="Q373" s="83"/>
      <c r="R373" s="42"/>
      <c r="S373" s="87"/>
      <c r="T373" s="83"/>
      <c r="U373" s="83"/>
      <c r="V373" s="83"/>
      <c r="W373" s="42"/>
      <c r="X373" s="42"/>
      <c r="Y373" s="42"/>
      <c r="Z373" s="42"/>
      <c r="AA373" s="42"/>
      <c r="AB373" s="42"/>
      <c r="AC373" s="42"/>
      <c r="AD373" s="42"/>
      <c r="AE373" s="42"/>
    </row>
    <row r="374">
      <c r="A374" s="95"/>
      <c r="B374" s="95"/>
      <c r="C374" s="54"/>
      <c r="D374" s="83"/>
      <c r="E374" s="96"/>
      <c r="F374" s="42"/>
      <c r="G374" s="97"/>
      <c r="H374" s="96"/>
      <c r="I374" s="96"/>
      <c r="J374" s="96"/>
      <c r="K374" s="99"/>
      <c r="L374" s="96"/>
      <c r="M374" s="96"/>
      <c r="N374" s="42"/>
      <c r="O374" s="42"/>
      <c r="P374" s="83"/>
      <c r="Q374" s="83"/>
      <c r="R374" s="42"/>
      <c r="S374" s="87"/>
      <c r="T374" s="83"/>
      <c r="U374" s="83"/>
      <c r="V374" s="83"/>
      <c r="W374" s="42"/>
      <c r="X374" s="42"/>
      <c r="Y374" s="42"/>
      <c r="Z374" s="42"/>
      <c r="AA374" s="42"/>
      <c r="AB374" s="42"/>
      <c r="AC374" s="42"/>
      <c r="AD374" s="42"/>
      <c r="AE374" s="42"/>
    </row>
    <row r="375">
      <c r="A375" s="95"/>
      <c r="B375" s="95"/>
      <c r="C375" s="54"/>
      <c r="D375" s="83"/>
      <c r="E375" s="96"/>
      <c r="F375" s="42"/>
      <c r="G375" s="97"/>
      <c r="H375" s="96"/>
      <c r="I375" s="96"/>
      <c r="J375" s="96"/>
      <c r="K375" s="99"/>
      <c r="L375" s="96"/>
      <c r="M375" s="96"/>
      <c r="N375" s="42"/>
      <c r="O375" s="42"/>
      <c r="P375" s="83"/>
      <c r="Q375" s="83"/>
      <c r="R375" s="42"/>
      <c r="S375" s="87"/>
      <c r="T375" s="83"/>
      <c r="U375" s="83"/>
      <c r="V375" s="83"/>
      <c r="W375" s="42"/>
      <c r="X375" s="42"/>
      <c r="Y375" s="42"/>
      <c r="Z375" s="42"/>
      <c r="AA375" s="42"/>
      <c r="AB375" s="42"/>
      <c r="AC375" s="42"/>
      <c r="AD375" s="42"/>
      <c r="AE375" s="42"/>
    </row>
    <row r="376">
      <c r="A376" s="95"/>
      <c r="B376" s="95"/>
      <c r="C376" s="54"/>
      <c r="D376" s="83"/>
      <c r="E376" s="96"/>
      <c r="F376" s="42"/>
      <c r="G376" s="97"/>
      <c r="H376" s="96"/>
      <c r="I376" s="96"/>
      <c r="J376" s="96"/>
      <c r="K376" s="99"/>
      <c r="L376" s="96"/>
      <c r="M376" s="96"/>
      <c r="N376" s="42"/>
      <c r="O376" s="42"/>
      <c r="P376" s="83"/>
      <c r="Q376" s="83"/>
      <c r="R376" s="42"/>
      <c r="S376" s="87"/>
      <c r="T376" s="83"/>
      <c r="U376" s="83"/>
      <c r="V376" s="83"/>
      <c r="W376" s="42"/>
      <c r="X376" s="42"/>
      <c r="Y376" s="42"/>
      <c r="Z376" s="42"/>
      <c r="AA376" s="42"/>
      <c r="AB376" s="42"/>
      <c r="AC376" s="42"/>
      <c r="AD376" s="42"/>
      <c r="AE376" s="42"/>
    </row>
    <row r="377">
      <c r="A377" s="95"/>
      <c r="B377" s="95"/>
      <c r="C377" s="54"/>
      <c r="D377" s="83"/>
      <c r="E377" s="96"/>
      <c r="F377" s="42"/>
      <c r="G377" s="97"/>
      <c r="H377" s="96"/>
      <c r="I377" s="96"/>
      <c r="J377" s="96"/>
      <c r="K377" s="99"/>
      <c r="L377" s="96"/>
      <c r="M377" s="96"/>
      <c r="N377" s="42"/>
      <c r="O377" s="42"/>
      <c r="P377" s="83"/>
      <c r="Q377" s="83"/>
      <c r="R377" s="42"/>
      <c r="S377" s="87"/>
      <c r="T377" s="83"/>
      <c r="U377" s="83"/>
      <c r="V377" s="83"/>
      <c r="W377" s="42"/>
      <c r="X377" s="42"/>
      <c r="Y377" s="42"/>
      <c r="Z377" s="42"/>
      <c r="AA377" s="42"/>
      <c r="AB377" s="42"/>
      <c r="AC377" s="42"/>
      <c r="AD377" s="42"/>
      <c r="AE377" s="42"/>
    </row>
    <row r="378">
      <c r="A378" s="95"/>
      <c r="B378" s="95"/>
      <c r="C378" s="54"/>
      <c r="D378" s="83"/>
      <c r="E378" s="96"/>
      <c r="F378" s="42"/>
      <c r="G378" s="97"/>
      <c r="H378" s="96"/>
      <c r="I378" s="96"/>
      <c r="J378" s="96"/>
      <c r="K378" s="99"/>
      <c r="L378" s="96"/>
      <c r="M378" s="96"/>
      <c r="N378" s="42"/>
      <c r="O378" s="42"/>
      <c r="P378" s="83"/>
      <c r="Q378" s="83"/>
      <c r="R378" s="42"/>
      <c r="S378" s="87"/>
      <c r="T378" s="83"/>
      <c r="U378" s="83"/>
      <c r="V378" s="83"/>
      <c r="W378" s="42"/>
      <c r="X378" s="42"/>
      <c r="Y378" s="42"/>
      <c r="Z378" s="42"/>
      <c r="AA378" s="42"/>
      <c r="AB378" s="42"/>
      <c r="AC378" s="42"/>
      <c r="AD378" s="42"/>
      <c r="AE378" s="42"/>
    </row>
    <row r="379">
      <c r="A379" s="95"/>
      <c r="B379" s="95"/>
      <c r="C379" s="54"/>
      <c r="D379" s="83"/>
      <c r="E379" s="96"/>
      <c r="F379" s="42"/>
      <c r="G379" s="97"/>
      <c r="H379" s="96"/>
      <c r="I379" s="96"/>
      <c r="J379" s="96"/>
      <c r="K379" s="99"/>
      <c r="L379" s="96"/>
      <c r="M379" s="96"/>
      <c r="N379" s="42"/>
      <c r="O379" s="42"/>
      <c r="P379" s="83"/>
      <c r="Q379" s="83"/>
      <c r="R379" s="42"/>
      <c r="S379" s="87"/>
      <c r="T379" s="83"/>
      <c r="U379" s="83"/>
      <c r="V379" s="83"/>
      <c r="W379" s="42"/>
      <c r="X379" s="42"/>
      <c r="Y379" s="42"/>
      <c r="Z379" s="42"/>
      <c r="AA379" s="42"/>
      <c r="AB379" s="42"/>
      <c r="AC379" s="42"/>
      <c r="AD379" s="42"/>
      <c r="AE379" s="42"/>
    </row>
    <row r="380">
      <c r="A380" s="95"/>
      <c r="B380" s="95"/>
      <c r="C380" s="54"/>
      <c r="D380" s="83"/>
      <c r="E380" s="96"/>
      <c r="F380" s="42"/>
      <c r="G380" s="97"/>
      <c r="H380" s="96"/>
      <c r="I380" s="96"/>
      <c r="J380" s="96"/>
      <c r="K380" s="99"/>
      <c r="L380" s="96"/>
      <c r="M380" s="96"/>
      <c r="N380" s="42"/>
      <c r="O380" s="42"/>
      <c r="P380" s="83"/>
      <c r="Q380" s="83"/>
      <c r="R380" s="42"/>
      <c r="S380" s="87"/>
      <c r="T380" s="83"/>
      <c r="U380" s="83"/>
      <c r="V380" s="83"/>
      <c r="W380" s="42"/>
      <c r="X380" s="42"/>
      <c r="Y380" s="42"/>
      <c r="Z380" s="42"/>
      <c r="AA380" s="42"/>
      <c r="AB380" s="42"/>
      <c r="AC380" s="42"/>
      <c r="AD380" s="42"/>
      <c r="AE380" s="42"/>
    </row>
    <row r="381">
      <c r="A381" s="95"/>
      <c r="B381" s="95"/>
      <c r="C381" s="54"/>
      <c r="D381" s="83"/>
      <c r="E381" s="96"/>
      <c r="F381" s="42"/>
      <c r="G381" s="97"/>
      <c r="H381" s="96"/>
      <c r="I381" s="96"/>
      <c r="J381" s="96"/>
      <c r="K381" s="99"/>
      <c r="L381" s="96"/>
      <c r="M381" s="96"/>
      <c r="N381" s="42"/>
      <c r="O381" s="42"/>
      <c r="P381" s="83"/>
      <c r="Q381" s="83"/>
      <c r="R381" s="42"/>
      <c r="S381" s="87"/>
      <c r="T381" s="83"/>
      <c r="U381" s="83"/>
      <c r="V381" s="83"/>
      <c r="W381" s="42"/>
      <c r="X381" s="42"/>
      <c r="Y381" s="42"/>
      <c r="Z381" s="42"/>
      <c r="AA381" s="42"/>
      <c r="AB381" s="42"/>
      <c r="AC381" s="42"/>
      <c r="AD381" s="42"/>
      <c r="AE381" s="42"/>
    </row>
    <row r="382">
      <c r="A382" s="95"/>
      <c r="B382" s="95"/>
      <c r="C382" s="54"/>
      <c r="D382" s="83"/>
      <c r="E382" s="96"/>
      <c r="F382" s="42"/>
      <c r="G382" s="97"/>
      <c r="H382" s="96"/>
      <c r="I382" s="96"/>
      <c r="J382" s="96"/>
      <c r="K382" s="99"/>
      <c r="L382" s="96"/>
      <c r="M382" s="96"/>
      <c r="N382" s="42"/>
      <c r="O382" s="42"/>
      <c r="P382" s="83"/>
      <c r="Q382" s="83"/>
      <c r="R382" s="42"/>
      <c r="S382" s="87"/>
      <c r="T382" s="83"/>
      <c r="U382" s="83"/>
      <c r="V382" s="83"/>
      <c r="W382" s="42"/>
      <c r="X382" s="42"/>
      <c r="Y382" s="42"/>
      <c r="Z382" s="42"/>
      <c r="AA382" s="42"/>
      <c r="AB382" s="42"/>
      <c r="AC382" s="42"/>
      <c r="AD382" s="42"/>
      <c r="AE382" s="42"/>
    </row>
    <row r="383">
      <c r="A383" s="95"/>
      <c r="B383" s="95"/>
      <c r="C383" s="54"/>
      <c r="D383" s="83"/>
      <c r="E383" s="96"/>
      <c r="F383" s="42"/>
      <c r="G383" s="97"/>
      <c r="H383" s="96"/>
      <c r="I383" s="96"/>
      <c r="J383" s="96"/>
      <c r="K383" s="99"/>
      <c r="L383" s="96"/>
      <c r="M383" s="96"/>
      <c r="N383" s="42"/>
      <c r="O383" s="42"/>
      <c r="P383" s="83"/>
      <c r="Q383" s="83"/>
      <c r="R383" s="42"/>
      <c r="S383" s="87"/>
      <c r="T383" s="83"/>
      <c r="U383" s="83"/>
      <c r="V383" s="83"/>
      <c r="W383" s="42"/>
      <c r="X383" s="42"/>
      <c r="Y383" s="42"/>
      <c r="Z383" s="42"/>
      <c r="AA383" s="42"/>
      <c r="AB383" s="42"/>
      <c r="AC383" s="42"/>
      <c r="AD383" s="42"/>
      <c r="AE383" s="42"/>
    </row>
    <row r="384">
      <c r="A384" s="95"/>
      <c r="B384" s="95"/>
      <c r="C384" s="54"/>
      <c r="D384" s="83"/>
      <c r="E384" s="96"/>
      <c r="F384" s="42"/>
      <c r="G384" s="97"/>
      <c r="H384" s="96"/>
      <c r="I384" s="96"/>
      <c r="J384" s="96"/>
      <c r="K384" s="99"/>
      <c r="L384" s="96"/>
      <c r="M384" s="96"/>
      <c r="N384" s="42"/>
      <c r="O384" s="42"/>
      <c r="P384" s="83"/>
      <c r="Q384" s="83"/>
      <c r="R384" s="42"/>
      <c r="S384" s="87"/>
      <c r="T384" s="83"/>
      <c r="U384" s="83"/>
      <c r="V384" s="83"/>
      <c r="W384" s="42"/>
      <c r="X384" s="42"/>
      <c r="Y384" s="42"/>
      <c r="Z384" s="42"/>
      <c r="AA384" s="42"/>
      <c r="AB384" s="42"/>
      <c r="AC384" s="42"/>
      <c r="AD384" s="42"/>
      <c r="AE384" s="42"/>
    </row>
    <row r="385">
      <c r="A385" s="95"/>
      <c r="B385" s="95"/>
      <c r="C385" s="54"/>
      <c r="D385" s="83"/>
      <c r="E385" s="96"/>
      <c r="F385" s="42"/>
      <c r="G385" s="97"/>
      <c r="H385" s="96"/>
      <c r="I385" s="96"/>
      <c r="J385" s="96"/>
      <c r="K385" s="99"/>
      <c r="L385" s="96"/>
      <c r="M385" s="96"/>
      <c r="N385" s="42"/>
      <c r="O385" s="42"/>
      <c r="P385" s="83"/>
      <c r="Q385" s="83"/>
      <c r="R385" s="42"/>
      <c r="S385" s="87"/>
      <c r="T385" s="83"/>
      <c r="U385" s="83"/>
      <c r="V385" s="83"/>
      <c r="W385" s="42"/>
      <c r="X385" s="42"/>
      <c r="Y385" s="42"/>
      <c r="Z385" s="42"/>
      <c r="AA385" s="42"/>
      <c r="AB385" s="42"/>
      <c r="AC385" s="42"/>
      <c r="AD385" s="42"/>
      <c r="AE385" s="42"/>
    </row>
    <row r="386">
      <c r="A386" s="95"/>
      <c r="B386" s="95"/>
      <c r="C386" s="54"/>
      <c r="D386" s="83"/>
      <c r="E386" s="96"/>
      <c r="F386" s="42"/>
      <c r="G386" s="97"/>
      <c r="H386" s="96"/>
      <c r="I386" s="96"/>
      <c r="J386" s="96"/>
      <c r="K386" s="99"/>
      <c r="L386" s="96"/>
      <c r="M386" s="96"/>
      <c r="N386" s="42"/>
      <c r="O386" s="42"/>
      <c r="P386" s="83"/>
      <c r="Q386" s="83"/>
      <c r="R386" s="42"/>
      <c r="S386" s="87"/>
      <c r="T386" s="83"/>
      <c r="U386" s="83"/>
      <c r="V386" s="83"/>
      <c r="W386" s="42"/>
      <c r="X386" s="42"/>
      <c r="Y386" s="42"/>
      <c r="Z386" s="42"/>
      <c r="AA386" s="42"/>
      <c r="AB386" s="42"/>
      <c r="AC386" s="42"/>
      <c r="AD386" s="42"/>
      <c r="AE386" s="42"/>
    </row>
    <row r="387">
      <c r="A387" s="95"/>
      <c r="B387" s="95"/>
      <c r="C387" s="54"/>
      <c r="D387" s="83"/>
      <c r="E387" s="96"/>
      <c r="F387" s="42"/>
      <c r="G387" s="97"/>
      <c r="H387" s="96"/>
      <c r="I387" s="96"/>
      <c r="J387" s="96"/>
      <c r="K387" s="99"/>
      <c r="L387" s="96"/>
      <c r="M387" s="96"/>
      <c r="N387" s="42"/>
      <c r="O387" s="42"/>
      <c r="P387" s="83"/>
      <c r="Q387" s="83"/>
      <c r="R387" s="42"/>
      <c r="S387" s="87"/>
      <c r="T387" s="83"/>
      <c r="U387" s="83"/>
      <c r="V387" s="83"/>
      <c r="W387" s="42"/>
      <c r="X387" s="42"/>
      <c r="Y387" s="42"/>
      <c r="Z387" s="42"/>
      <c r="AA387" s="42"/>
      <c r="AB387" s="42"/>
      <c r="AC387" s="42"/>
      <c r="AD387" s="42"/>
      <c r="AE387" s="42"/>
    </row>
    <row r="388">
      <c r="A388" s="95"/>
      <c r="B388" s="95"/>
      <c r="C388" s="54"/>
      <c r="D388" s="83"/>
      <c r="E388" s="96"/>
      <c r="F388" s="42"/>
      <c r="G388" s="97"/>
      <c r="H388" s="96"/>
      <c r="I388" s="96"/>
      <c r="J388" s="96"/>
      <c r="K388" s="99"/>
      <c r="L388" s="96"/>
      <c r="M388" s="96"/>
      <c r="N388" s="42"/>
      <c r="O388" s="42"/>
      <c r="P388" s="83"/>
      <c r="Q388" s="83"/>
      <c r="R388" s="42"/>
      <c r="S388" s="87"/>
      <c r="T388" s="83"/>
      <c r="U388" s="83"/>
      <c r="V388" s="83"/>
      <c r="W388" s="42"/>
      <c r="X388" s="42"/>
      <c r="Y388" s="42"/>
      <c r="Z388" s="42"/>
      <c r="AA388" s="42"/>
      <c r="AB388" s="42"/>
      <c r="AC388" s="42"/>
      <c r="AD388" s="42"/>
      <c r="AE388" s="42"/>
    </row>
    <row r="389">
      <c r="A389" s="95"/>
      <c r="B389" s="95"/>
      <c r="C389" s="54"/>
      <c r="D389" s="83"/>
      <c r="E389" s="96"/>
      <c r="F389" s="42"/>
      <c r="G389" s="97"/>
      <c r="H389" s="96"/>
      <c r="I389" s="96"/>
      <c r="J389" s="96"/>
      <c r="K389" s="99"/>
      <c r="L389" s="96"/>
      <c r="M389" s="96"/>
      <c r="N389" s="42"/>
      <c r="O389" s="42"/>
      <c r="P389" s="83"/>
      <c r="Q389" s="83"/>
      <c r="R389" s="42"/>
      <c r="S389" s="87"/>
      <c r="T389" s="83"/>
      <c r="U389" s="83"/>
      <c r="V389" s="83"/>
      <c r="W389" s="42"/>
      <c r="X389" s="42"/>
      <c r="Y389" s="42"/>
      <c r="Z389" s="42"/>
      <c r="AA389" s="42"/>
      <c r="AB389" s="42"/>
      <c r="AC389" s="42"/>
      <c r="AD389" s="42"/>
      <c r="AE389" s="42"/>
    </row>
    <row r="390">
      <c r="A390" s="95"/>
      <c r="B390" s="95"/>
      <c r="C390" s="54"/>
      <c r="D390" s="83"/>
      <c r="E390" s="96"/>
      <c r="F390" s="42"/>
      <c r="G390" s="97"/>
      <c r="H390" s="96"/>
      <c r="I390" s="96"/>
      <c r="J390" s="96"/>
      <c r="K390" s="99"/>
      <c r="L390" s="96"/>
      <c r="M390" s="96"/>
      <c r="N390" s="42"/>
      <c r="O390" s="42"/>
      <c r="P390" s="83"/>
      <c r="Q390" s="83"/>
      <c r="R390" s="42"/>
      <c r="S390" s="87"/>
      <c r="T390" s="83"/>
      <c r="U390" s="83"/>
      <c r="V390" s="83"/>
      <c r="W390" s="42"/>
      <c r="X390" s="42"/>
      <c r="Y390" s="42"/>
      <c r="Z390" s="42"/>
      <c r="AA390" s="42"/>
      <c r="AB390" s="42"/>
      <c r="AC390" s="42"/>
      <c r="AD390" s="42"/>
      <c r="AE390" s="42"/>
    </row>
    <row r="391">
      <c r="A391" s="95"/>
      <c r="B391" s="95"/>
      <c r="C391" s="54"/>
      <c r="D391" s="83"/>
      <c r="E391" s="96"/>
      <c r="F391" s="42"/>
      <c r="G391" s="97"/>
      <c r="H391" s="96"/>
      <c r="I391" s="96"/>
      <c r="J391" s="96"/>
      <c r="K391" s="99"/>
      <c r="L391" s="96"/>
      <c r="M391" s="96"/>
      <c r="N391" s="42"/>
      <c r="O391" s="42"/>
      <c r="P391" s="83"/>
      <c r="Q391" s="83"/>
      <c r="R391" s="42"/>
      <c r="S391" s="87"/>
      <c r="T391" s="83"/>
      <c r="U391" s="83"/>
      <c r="V391" s="83"/>
      <c r="W391" s="42"/>
      <c r="X391" s="42"/>
      <c r="Y391" s="42"/>
      <c r="Z391" s="42"/>
      <c r="AA391" s="42"/>
      <c r="AB391" s="42"/>
      <c r="AC391" s="42"/>
      <c r="AD391" s="42"/>
      <c r="AE391" s="42"/>
    </row>
    <row r="392">
      <c r="A392" s="95"/>
      <c r="B392" s="95"/>
      <c r="C392" s="54"/>
      <c r="D392" s="83"/>
      <c r="E392" s="96"/>
      <c r="F392" s="42"/>
      <c r="G392" s="97"/>
      <c r="H392" s="96"/>
      <c r="I392" s="96"/>
      <c r="J392" s="96"/>
      <c r="K392" s="99"/>
      <c r="L392" s="96"/>
      <c r="M392" s="96"/>
      <c r="N392" s="42"/>
      <c r="O392" s="42"/>
      <c r="P392" s="83"/>
      <c r="Q392" s="83"/>
      <c r="R392" s="42"/>
      <c r="S392" s="87"/>
      <c r="T392" s="83"/>
      <c r="U392" s="83"/>
      <c r="V392" s="83"/>
      <c r="W392" s="42"/>
      <c r="X392" s="42"/>
      <c r="Y392" s="42"/>
      <c r="Z392" s="42"/>
      <c r="AA392" s="42"/>
      <c r="AB392" s="42"/>
      <c r="AC392" s="42"/>
      <c r="AD392" s="42"/>
      <c r="AE392" s="42"/>
    </row>
    <row r="393">
      <c r="A393" s="95"/>
      <c r="B393" s="95"/>
      <c r="C393" s="54"/>
      <c r="D393" s="83"/>
      <c r="E393" s="96"/>
      <c r="F393" s="42"/>
      <c r="G393" s="97"/>
      <c r="H393" s="96"/>
      <c r="I393" s="96"/>
      <c r="J393" s="96"/>
      <c r="K393" s="99"/>
      <c r="L393" s="96"/>
      <c r="M393" s="96"/>
      <c r="N393" s="42"/>
      <c r="O393" s="42"/>
      <c r="P393" s="83"/>
      <c r="Q393" s="83"/>
      <c r="R393" s="42"/>
      <c r="S393" s="87"/>
      <c r="T393" s="83"/>
      <c r="U393" s="83"/>
      <c r="V393" s="83"/>
      <c r="W393" s="42"/>
      <c r="X393" s="42"/>
      <c r="Y393" s="42"/>
      <c r="Z393" s="42"/>
      <c r="AA393" s="42"/>
      <c r="AB393" s="42"/>
      <c r="AC393" s="42"/>
      <c r="AD393" s="42"/>
      <c r="AE393" s="42"/>
    </row>
    <row r="394">
      <c r="A394" s="95"/>
      <c r="B394" s="95"/>
      <c r="C394" s="54"/>
      <c r="D394" s="83"/>
      <c r="E394" s="96"/>
      <c r="F394" s="42"/>
      <c r="G394" s="97"/>
      <c r="H394" s="96"/>
      <c r="I394" s="96"/>
      <c r="J394" s="96"/>
      <c r="K394" s="99"/>
      <c r="L394" s="96"/>
      <c r="M394" s="96"/>
      <c r="N394" s="42"/>
      <c r="O394" s="42"/>
      <c r="P394" s="83"/>
      <c r="Q394" s="83"/>
      <c r="R394" s="42"/>
      <c r="S394" s="87"/>
      <c r="T394" s="83"/>
      <c r="U394" s="83"/>
      <c r="V394" s="83"/>
      <c r="W394" s="42"/>
      <c r="X394" s="42"/>
      <c r="Y394" s="42"/>
      <c r="Z394" s="42"/>
      <c r="AA394" s="42"/>
      <c r="AB394" s="42"/>
      <c r="AC394" s="42"/>
      <c r="AD394" s="42"/>
      <c r="AE394" s="42"/>
    </row>
    <row r="395">
      <c r="A395" s="95"/>
      <c r="B395" s="95"/>
      <c r="C395" s="54"/>
      <c r="D395" s="83"/>
      <c r="E395" s="96"/>
      <c r="F395" s="42"/>
      <c r="G395" s="97"/>
      <c r="H395" s="96"/>
      <c r="I395" s="96"/>
      <c r="J395" s="96"/>
      <c r="K395" s="99"/>
      <c r="L395" s="96"/>
      <c r="M395" s="96"/>
      <c r="N395" s="42"/>
      <c r="O395" s="42"/>
      <c r="P395" s="83"/>
      <c r="Q395" s="83"/>
      <c r="R395" s="42"/>
      <c r="S395" s="87"/>
      <c r="T395" s="83"/>
      <c r="U395" s="83"/>
      <c r="V395" s="83"/>
      <c r="W395" s="42"/>
      <c r="X395" s="42"/>
      <c r="Y395" s="42"/>
      <c r="Z395" s="42"/>
      <c r="AA395" s="42"/>
      <c r="AB395" s="42"/>
      <c r="AC395" s="42"/>
      <c r="AD395" s="42"/>
      <c r="AE395" s="42"/>
    </row>
    <row r="396">
      <c r="A396" s="95"/>
      <c r="B396" s="95"/>
      <c r="C396" s="54"/>
      <c r="D396" s="83"/>
      <c r="E396" s="96"/>
      <c r="F396" s="42"/>
      <c r="G396" s="97"/>
      <c r="H396" s="96"/>
      <c r="I396" s="96"/>
      <c r="J396" s="96"/>
      <c r="K396" s="99"/>
      <c r="L396" s="96"/>
      <c r="M396" s="96"/>
      <c r="N396" s="42"/>
      <c r="O396" s="42"/>
      <c r="P396" s="83"/>
      <c r="Q396" s="83"/>
      <c r="R396" s="42"/>
      <c r="S396" s="87"/>
      <c r="T396" s="83"/>
      <c r="U396" s="83"/>
      <c r="V396" s="83"/>
      <c r="W396" s="42"/>
      <c r="X396" s="42"/>
      <c r="Y396" s="42"/>
      <c r="Z396" s="42"/>
      <c r="AA396" s="42"/>
      <c r="AB396" s="42"/>
      <c r="AC396" s="42"/>
      <c r="AD396" s="42"/>
      <c r="AE396" s="42"/>
    </row>
    <row r="397">
      <c r="A397" s="95"/>
      <c r="B397" s="95"/>
      <c r="C397" s="54"/>
      <c r="D397" s="83"/>
      <c r="E397" s="96"/>
      <c r="F397" s="42"/>
      <c r="G397" s="97"/>
      <c r="H397" s="96"/>
      <c r="I397" s="96"/>
      <c r="J397" s="96"/>
      <c r="K397" s="99"/>
      <c r="L397" s="96"/>
      <c r="M397" s="96"/>
      <c r="N397" s="42"/>
      <c r="O397" s="42"/>
      <c r="P397" s="83"/>
      <c r="Q397" s="83"/>
      <c r="R397" s="42"/>
      <c r="S397" s="87"/>
      <c r="T397" s="83"/>
      <c r="U397" s="83"/>
      <c r="V397" s="83"/>
      <c r="W397" s="42"/>
      <c r="X397" s="42"/>
      <c r="Y397" s="42"/>
      <c r="Z397" s="42"/>
      <c r="AA397" s="42"/>
      <c r="AB397" s="42"/>
      <c r="AC397" s="42"/>
      <c r="AD397" s="42"/>
      <c r="AE397" s="42"/>
    </row>
    <row r="398">
      <c r="A398" s="95"/>
      <c r="B398" s="95"/>
      <c r="C398" s="54"/>
      <c r="D398" s="83"/>
      <c r="E398" s="96"/>
      <c r="F398" s="42"/>
      <c r="G398" s="97"/>
      <c r="H398" s="96"/>
      <c r="I398" s="96"/>
      <c r="J398" s="96"/>
      <c r="K398" s="99"/>
      <c r="L398" s="96"/>
      <c r="M398" s="96"/>
      <c r="N398" s="42"/>
      <c r="O398" s="42"/>
      <c r="P398" s="83"/>
      <c r="Q398" s="83"/>
      <c r="R398" s="42"/>
      <c r="S398" s="87"/>
      <c r="T398" s="83"/>
      <c r="U398" s="83"/>
      <c r="V398" s="83"/>
      <c r="W398" s="42"/>
      <c r="X398" s="42"/>
      <c r="Y398" s="42"/>
      <c r="Z398" s="42"/>
      <c r="AA398" s="42"/>
      <c r="AB398" s="42"/>
      <c r="AC398" s="42"/>
      <c r="AD398" s="42"/>
      <c r="AE398" s="42"/>
    </row>
    <row r="399">
      <c r="A399" s="95"/>
      <c r="B399" s="95"/>
      <c r="C399" s="54"/>
      <c r="D399" s="83"/>
      <c r="E399" s="96"/>
      <c r="F399" s="42"/>
      <c r="G399" s="97"/>
      <c r="H399" s="96"/>
      <c r="I399" s="96"/>
      <c r="J399" s="96"/>
      <c r="K399" s="99"/>
      <c r="L399" s="96"/>
      <c r="M399" s="96"/>
      <c r="N399" s="42"/>
      <c r="O399" s="42"/>
      <c r="P399" s="83"/>
      <c r="Q399" s="83"/>
      <c r="R399" s="42"/>
      <c r="S399" s="87"/>
      <c r="T399" s="83"/>
      <c r="U399" s="83"/>
      <c r="V399" s="83"/>
      <c r="W399" s="42"/>
      <c r="X399" s="42"/>
      <c r="Y399" s="42"/>
      <c r="Z399" s="42"/>
      <c r="AA399" s="42"/>
      <c r="AB399" s="42"/>
      <c r="AC399" s="42"/>
      <c r="AD399" s="42"/>
      <c r="AE399" s="42"/>
    </row>
    <row r="400">
      <c r="A400" s="95"/>
      <c r="B400" s="95"/>
      <c r="C400" s="54"/>
      <c r="D400" s="83"/>
      <c r="E400" s="96"/>
      <c r="F400" s="42"/>
      <c r="G400" s="97"/>
      <c r="H400" s="96"/>
      <c r="I400" s="96"/>
      <c r="J400" s="96"/>
      <c r="K400" s="99"/>
      <c r="L400" s="96"/>
      <c r="M400" s="96"/>
      <c r="N400" s="42"/>
      <c r="O400" s="42"/>
      <c r="P400" s="83"/>
      <c r="Q400" s="83"/>
      <c r="R400" s="42"/>
      <c r="S400" s="87"/>
      <c r="T400" s="83"/>
      <c r="U400" s="83"/>
      <c r="V400" s="83"/>
      <c r="W400" s="42"/>
      <c r="X400" s="42"/>
      <c r="Y400" s="42"/>
      <c r="Z400" s="42"/>
      <c r="AA400" s="42"/>
      <c r="AB400" s="42"/>
      <c r="AC400" s="42"/>
      <c r="AD400" s="42"/>
      <c r="AE400" s="42"/>
    </row>
    <row r="401">
      <c r="A401" s="95"/>
      <c r="B401" s="95"/>
      <c r="C401" s="54"/>
      <c r="D401" s="83"/>
      <c r="E401" s="96"/>
      <c r="F401" s="42"/>
      <c r="G401" s="97"/>
      <c r="H401" s="96"/>
      <c r="I401" s="96"/>
      <c r="J401" s="96"/>
      <c r="K401" s="99"/>
      <c r="L401" s="96"/>
      <c r="M401" s="96"/>
      <c r="N401" s="42"/>
      <c r="O401" s="42"/>
      <c r="P401" s="83"/>
      <c r="Q401" s="83"/>
      <c r="R401" s="42"/>
      <c r="S401" s="87"/>
      <c r="T401" s="83"/>
      <c r="U401" s="83"/>
      <c r="V401" s="83"/>
      <c r="W401" s="42"/>
      <c r="X401" s="42"/>
      <c r="Y401" s="42"/>
      <c r="Z401" s="42"/>
      <c r="AA401" s="42"/>
      <c r="AB401" s="42"/>
      <c r="AC401" s="42"/>
      <c r="AD401" s="42"/>
      <c r="AE401" s="42"/>
    </row>
    <row r="402">
      <c r="A402" s="95"/>
      <c r="B402" s="95"/>
      <c r="C402" s="54"/>
      <c r="D402" s="83"/>
      <c r="E402" s="96"/>
      <c r="F402" s="42"/>
      <c r="G402" s="97"/>
      <c r="H402" s="96"/>
      <c r="I402" s="96"/>
      <c r="J402" s="96"/>
      <c r="K402" s="99"/>
      <c r="L402" s="96"/>
      <c r="M402" s="96"/>
      <c r="N402" s="42"/>
      <c r="O402" s="42"/>
      <c r="P402" s="83"/>
      <c r="Q402" s="83"/>
      <c r="R402" s="42"/>
      <c r="S402" s="87"/>
      <c r="T402" s="83"/>
      <c r="U402" s="83"/>
      <c r="V402" s="83"/>
      <c r="W402" s="42"/>
      <c r="X402" s="42"/>
      <c r="Y402" s="42"/>
      <c r="Z402" s="42"/>
      <c r="AA402" s="42"/>
      <c r="AB402" s="42"/>
      <c r="AC402" s="42"/>
      <c r="AD402" s="42"/>
      <c r="AE402" s="42"/>
    </row>
    <row r="403">
      <c r="A403" s="95"/>
      <c r="B403" s="95"/>
      <c r="C403" s="54"/>
      <c r="D403" s="83"/>
      <c r="E403" s="96"/>
      <c r="F403" s="42"/>
      <c r="G403" s="97"/>
      <c r="H403" s="96"/>
      <c r="I403" s="96"/>
      <c r="J403" s="96"/>
      <c r="K403" s="99"/>
      <c r="L403" s="96"/>
      <c r="M403" s="96"/>
      <c r="N403" s="42"/>
      <c r="O403" s="42"/>
      <c r="P403" s="83"/>
      <c r="Q403" s="83"/>
      <c r="R403" s="42"/>
      <c r="S403" s="87"/>
      <c r="T403" s="83"/>
      <c r="U403" s="83"/>
      <c r="V403" s="83"/>
      <c r="W403" s="42"/>
      <c r="X403" s="42"/>
      <c r="Y403" s="42"/>
      <c r="Z403" s="42"/>
      <c r="AA403" s="42"/>
      <c r="AB403" s="42"/>
      <c r="AC403" s="42"/>
      <c r="AD403" s="42"/>
      <c r="AE403" s="42"/>
    </row>
    <row r="404">
      <c r="A404" s="95"/>
      <c r="B404" s="95"/>
      <c r="C404" s="54"/>
      <c r="D404" s="83"/>
      <c r="E404" s="96"/>
      <c r="F404" s="42"/>
      <c r="G404" s="97"/>
      <c r="H404" s="96"/>
      <c r="I404" s="96"/>
      <c r="J404" s="96"/>
      <c r="K404" s="99"/>
      <c r="L404" s="96"/>
      <c r="M404" s="96"/>
      <c r="N404" s="42"/>
      <c r="O404" s="42"/>
      <c r="P404" s="83"/>
      <c r="Q404" s="83"/>
      <c r="R404" s="42"/>
      <c r="S404" s="87"/>
      <c r="T404" s="83"/>
      <c r="U404" s="83"/>
      <c r="V404" s="83"/>
      <c r="W404" s="42"/>
      <c r="X404" s="42"/>
      <c r="Y404" s="42"/>
      <c r="Z404" s="42"/>
      <c r="AA404" s="42"/>
      <c r="AB404" s="42"/>
      <c r="AC404" s="42"/>
      <c r="AD404" s="42"/>
      <c r="AE404" s="42"/>
    </row>
    <row r="405">
      <c r="A405" s="95"/>
      <c r="B405" s="95"/>
      <c r="C405" s="54"/>
      <c r="D405" s="83"/>
      <c r="E405" s="96"/>
      <c r="F405" s="42"/>
      <c r="G405" s="97"/>
      <c r="H405" s="96"/>
      <c r="I405" s="96"/>
      <c r="J405" s="96"/>
      <c r="K405" s="99"/>
      <c r="L405" s="96"/>
      <c r="M405" s="96"/>
      <c r="N405" s="42"/>
      <c r="O405" s="42"/>
      <c r="P405" s="83"/>
      <c r="Q405" s="83"/>
      <c r="R405" s="42"/>
      <c r="S405" s="87"/>
      <c r="T405" s="83"/>
      <c r="U405" s="83"/>
      <c r="V405" s="83"/>
      <c r="W405" s="42"/>
      <c r="X405" s="42"/>
      <c r="Y405" s="42"/>
      <c r="Z405" s="42"/>
      <c r="AA405" s="42"/>
      <c r="AB405" s="42"/>
      <c r="AC405" s="42"/>
      <c r="AD405" s="42"/>
      <c r="AE405" s="42"/>
    </row>
    <row r="406">
      <c r="A406" s="95"/>
      <c r="B406" s="95"/>
      <c r="C406" s="54"/>
      <c r="D406" s="83"/>
      <c r="E406" s="96"/>
      <c r="F406" s="42"/>
      <c r="G406" s="97"/>
      <c r="H406" s="96"/>
      <c r="I406" s="96"/>
      <c r="J406" s="96"/>
      <c r="K406" s="99"/>
      <c r="L406" s="96"/>
      <c r="M406" s="96"/>
      <c r="N406" s="42"/>
      <c r="O406" s="42"/>
      <c r="P406" s="83"/>
      <c r="Q406" s="83"/>
      <c r="R406" s="42"/>
      <c r="S406" s="87"/>
      <c r="T406" s="83"/>
      <c r="U406" s="83"/>
      <c r="V406" s="83"/>
      <c r="W406" s="42"/>
      <c r="X406" s="42"/>
      <c r="Y406" s="42"/>
      <c r="Z406" s="42"/>
      <c r="AA406" s="42"/>
      <c r="AB406" s="42"/>
      <c r="AC406" s="42"/>
      <c r="AD406" s="42"/>
      <c r="AE406" s="42"/>
    </row>
    <row r="407">
      <c r="A407" s="95"/>
      <c r="B407" s="95"/>
      <c r="C407" s="54"/>
      <c r="D407" s="83"/>
      <c r="E407" s="96"/>
      <c r="F407" s="42"/>
      <c r="G407" s="97"/>
      <c r="H407" s="96"/>
      <c r="I407" s="96"/>
      <c r="J407" s="96"/>
      <c r="K407" s="99"/>
      <c r="L407" s="96"/>
      <c r="M407" s="96"/>
      <c r="N407" s="42"/>
      <c r="O407" s="42"/>
      <c r="P407" s="83"/>
      <c r="Q407" s="83"/>
      <c r="R407" s="42"/>
      <c r="S407" s="87"/>
      <c r="T407" s="83"/>
      <c r="U407" s="83"/>
      <c r="V407" s="83"/>
      <c r="W407" s="42"/>
      <c r="X407" s="42"/>
      <c r="Y407" s="42"/>
      <c r="Z407" s="42"/>
      <c r="AA407" s="42"/>
      <c r="AB407" s="42"/>
      <c r="AC407" s="42"/>
      <c r="AD407" s="42"/>
      <c r="AE407" s="42"/>
    </row>
    <row r="408">
      <c r="A408" s="95"/>
      <c r="B408" s="95"/>
      <c r="C408" s="54"/>
      <c r="D408" s="83"/>
      <c r="E408" s="96"/>
      <c r="F408" s="42"/>
      <c r="G408" s="97"/>
      <c r="H408" s="96"/>
      <c r="I408" s="96"/>
      <c r="J408" s="96"/>
      <c r="K408" s="99"/>
      <c r="L408" s="96"/>
      <c r="M408" s="96"/>
      <c r="N408" s="42"/>
      <c r="O408" s="42"/>
      <c r="P408" s="83"/>
      <c r="Q408" s="83"/>
      <c r="R408" s="42"/>
      <c r="S408" s="87"/>
      <c r="T408" s="83"/>
      <c r="U408" s="83"/>
      <c r="V408" s="83"/>
      <c r="W408" s="42"/>
      <c r="X408" s="42"/>
      <c r="Y408" s="42"/>
      <c r="Z408" s="42"/>
      <c r="AA408" s="42"/>
      <c r="AB408" s="42"/>
      <c r="AC408" s="42"/>
      <c r="AD408" s="42"/>
      <c r="AE408" s="42"/>
    </row>
    <row r="409">
      <c r="A409" s="95"/>
      <c r="B409" s="95"/>
      <c r="C409" s="54"/>
      <c r="D409" s="83"/>
      <c r="E409" s="96"/>
      <c r="F409" s="42"/>
      <c r="G409" s="97"/>
      <c r="H409" s="96"/>
      <c r="I409" s="96"/>
      <c r="J409" s="96"/>
      <c r="K409" s="99"/>
      <c r="L409" s="96"/>
      <c r="M409" s="96"/>
      <c r="N409" s="42"/>
      <c r="O409" s="42"/>
      <c r="P409" s="83"/>
      <c r="Q409" s="83"/>
      <c r="R409" s="42"/>
      <c r="S409" s="87"/>
      <c r="T409" s="83"/>
      <c r="U409" s="83"/>
      <c r="V409" s="83"/>
      <c r="W409" s="42"/>
      <c r="X409" s="42"/>
      <c r="Y409" s="42"/>
      <c r="Z409" s="42"/>
      <c r="AA409" s="42"/>
      <c r="AB409" s="42"/>
      <c r="AC409" s="42"/>
      <c r="AD409" s="42"/>
      <c r="AE409" s="42"/>
    </row>
    <row r="410">
      <c r="A410" s="95"/>
      <c r="B410" s="95"/>
      <c r="C410" s="54"/>
      <c r="D410" s="83"/>
      <c r="E410" s="96"/>
      <c r="F410" s="42"/>
      <c r="G410" s="97"/>
      <c r="H410" s="96"/>
      <c r="I410" s="96"/>
      <c r="J410" s="96"/>
      <c r="K410" s="99"/>
      <c r="L410" s="96"/>
      <c r="M410" s="96"/>
      <c r="N410" s="42"/>
      <c r="O410" s="42"/>
      <c r="P410" s="83"/>
      <c r="Q410" s="83"/>
      <c r="R410" s="42"/>
      <c r="S410" s="87"/>
      <c r="T410" s="83"/>
      <c r="U410" s="83"/>
      <c r="V410" s="83"/>
      <c r="W410" s="42"/>
      <c r="X410" s="42"/>
      <c r="Y410" s="42"/>
      <c r="Z410" s="42"/>
      <c r="AA410" s="42"/>
      <c r="AB410" s="42"/>
      <c r="AC410" s="42"/>
      <c r="AD410" s="42"/>
      <c r="AE410" s="42"/>
    </row>
    <row r="411">
      <c r="A411" s="95"/>
      <c r="B411" s="95"/>
      <c r="C411" s="54"/>
      <c r="D411" s="83"/>
      <c r="E411" s="96"/>
      <c r="F411" s="42"/>
      <c r="G411" s="97"/>
      <c r="H411" s="96"/>
      <c r="I411" s="96"/>
      <c r="J411" s="96"/>
      <c r="K411" s="99"/>
      <c r="L411" s="96"/>
      <c r="M411" s="96"/>
      <c r="N411" s="42"/>
      <c r="O411" s="42"/>
      <c r="P411" s="83"/>
      <c r="Q411" s="83"/>
      <c r="R411" s="42"/>
      <c r="S411" s="87"/>
      <c r="T411" s="83"/>
      <c r="U411" s="83"/>
      <c r="V411" s="83"/>
      <c r="W411" s="42"/>
      <c r="X411" s="42"/>
      <c r="Y411" s="42"/>
      <c r="Z411" s="42"/>
      <c r="AA411" s="42"/>
      <c r="AB411" s="42"/>
      <c r="AC411" s="42"/>
      <c r="AD411" s="42"/>
      <c r="AE411" s="42"/>
    </row>
    <row r="412">
      <c r="A412" s="95"/>
      <c r="B412" s="95"/>
      <c r="C412" s="54"/>
      <c r="D412" s="83"/>
      <c r="E412" s="96"/>
      <c r="F412" s="42"/>
      <c r="G412" s="97"/>
      <c r="H412" s="96"/>
      <c r="I412" s="96"/>
      <c r="J412" s="96"/>
      <c r="K412" s="99"/>
      <c r="L412" s="96"/>
      <c r="M412" s="96"/>
      <c r="N412" s="42"/>
      <c r="O412" s="42"/>
      <c r="P412" s="83"/>
      <c r="Q412" s="83"/>
      <c r="R412" s="42"/>
      <c r="S412" s="87"/>
      <c r="T412" s="83"/>
      <c r="U412" s="83"/>
      <c r="V412" s="83"/>
      <c r="W412" s="42"/>
      <c r="X412" s="42"/>
      <c r="Y412" s="42"/>
      <c r="Z412" s="42"/>
      <c r="AA412" s="42"/>
      <c r="AB412" s="42"/>
      <c r="AC412" s="42"/>
      <c r="AD412" s="42"/>
      <c r="AE412" s="42"/>
    </row>
    <row r="413">
      <c r="A413" s="95"/>
      <c r="B413" s="95"/>
      <c r="C413" s="54"/>
      <c r="D413" s="83"/>
      <c r="E413" s="96"/>
      <c r="F413" s="42"/>
      <c r="G413" s="97"/>
      <c r="H413" s="96"/>
      <c r="I413" s="96"/>
      <c r="J413" s="96"/>
      <c r="K413" s="99"/>
      <c r="L413" s="96"/>
      <c r="M413" s="96"/>
      <c r="N413" s="42"/>
      <c r="O413" s="42"/>
      <c r="P413" s="83"/>
      <c r="Q413" s="83"/>
      <c r="R413" s="42"/>
      <c r="S413" s="87"/>
      <c r="T413" s="83"/>
      <c r="U413" s="83"/>
      <c r="V413" s="83"/>
      <c r="W413" s="42"/>
      <c r="X413" s="42"/>
      <c r="Y413" s="42"/>
      <c r="Z413" s="42"/>
      <c r="AA413" s="42"/>
      <c r="AB413" s="42"/>
      <c r="AC413" s="42"/>
      <c r="AD413" s="42"/>
      <c r="AE413" s="42"/>
    </row>
    <row r="414">
      <c r="A414" s="95"/>
      <c r="B414" s="95"/>
      <c r="C414" s="54"/>
      <c r="D414" s="83"/>
      <c r="E414" s="96"/>
      <c r="F414" s="42"/>
      <c r="G414" s="97"/>
      <c r="H414" s="96"/>
      <c r="I414" s="96"/>
      <c r="J414" s="96"/>
      <c r="K414" s="99"/>
      <c r="L414" s="96"/>
      <c r="M414" s="96"/>
      <c r="N414" s="42"/>
      <c r="O414" s="42"/>
      <c r="P414" s="83"/>
      <c r="Q414" s="83"/>
      <c r="R414" s="42"/>
      <c r="S414" s="87"/>
      <c r="T414" s="83"/>
      <c r="U414" s="83"/>
      <c r="V414" s="83"/>
      <c r="W414" s="42"/>
      <c r="X414" s="42"/>
      <c r="Y414" s="42"/>
      <c r="Z414" s="42"/>
      <c r="AA414" s="42"/>
      <c r="AB414" s="42"/>
      <c r="AC414" s="42"/>
      <c r="AD414" s="42"/>
      <c r="AE414" s="42"/>
    </row>
    <row r="415">
      <c r="A415" s="95"/>
      <c r="B415" s="95"/>
      <c r="C415" s="54"/>
      <c r="D415" s="83"/>
      <c r="E415" s="96"/>
      <c r="F415" s="42"/>
      <c r="G415" s="97"/>
      <c r="H415" s="96"/>
      <c r="I415" s="96"/>
      <c r="J415" s="96"/>
      <c r="K415" s="99"/>
      <c r="L415" s="96"/>
      <c r="M415" s="96"/>
      <c r="N415" s="42"/>
      <c r="O415" s="42"/>
      <c r="P415" s="83"/>
      <c r="Q415" s="83"/>
      <c r="R415" s="42"/>
      <c r="S415" s="87"/>
      <c r="T415" s="83"/>
      <c r="U415" s="83"/>
      <c r="V415" s="83"/>
      <c r="W415" s="42"/>
      <c r="X415" s="42"/>
      <c r="Y415" s="42"/>
      <c r="Z415" s="42"/>
      <c r="AA415" s="42"/>
      <c r="AB415" s="42"/>
      <c r="AC415" s="42"/>
      <c r="AD415" s="42"/>
      <c r="AE415" s="42"/>
    </row>
    <row r="416">
      <c r="A416" s="95"/>
      <c r="B416" s="95"/>
      <c r="C416" s="54"/>
      <c r="D416" s="83"/>
      <c r="E416" s="96"/>
      <c r="F416" s="42"/>
      <c r="G416" s="97"/>
      <c r="H416" s="96"/>
      <c r="I416" s="96"/>
      <c r="J416" s="96"/>
      <c r="K416" s="99"/>
      <c r="L416" s="96"/>
      <c r="M416" s="96"/>
      <c r="N416" s="42"/>
      <c r="O416" s="42"/>
      <c r="P416" s="83"/>
      <c r="Q416" s="83"/>
      <c r="R416" s="42"/>
      <c r="S416" s="87"/>
      <c r="T416" s="83"/>
      <c r="U416" s="83"/>
      <c r="V416" s="83"/>
      <c r="W416" s="42"/>
      <c r="X416" s="42"/>
      <c r="Y416" s="42"/>
      <c r="Z416" s="42"/>
      <c r="AA416" s="42"/>
      <c r="AB416" s="42"/>
      <c r="AC416" s="42"/>
      <c r="AD416" s="42"/>
      <c r="AE416" s="42"/>
    </row>
    <row r="417">
      <c r="A417" s="95"/>
      <c r="B417" s="95"/>
      <c r="C417" s="54"/>
      <c r="D417" s="83"/>
      <c r="E417" s="96"/>
      <c r="F417" s="42"/>
      <c r="G417" s="97"/>
      <c r="H417" s="96"/>
      <c r="I417" s="96"/>
      <c r="J417" s="96"/>
      <c r="K417" s="99"/>
      <c r="L417" s="96"/>
      <c r="M417" s="96"/>
      <c r="N417" s="42"/>
      <c r="O417" s="42"/>
      <c r="P417" s="83"/>
      <c r="Q417" s="83"/>
      <c r="R417" s="42"/>
      <c r="S417" s="87"/>
      <c r="T417" s="83"/>
      <c r="U417" s="83"/>
      <c r="V417" s="83"/>
      <c r="W417" s="42"/>
      <c r="X417" s="42"/>
      <c r="Y417" s="42"/>
      <c r="Z417" s="42"/>
      <c r="AA417" s="42"/>
      <c r="AB417" s="42"/>
      <c r="AC417" s="42"/>
      <c r="AD417" s="42"/>
      <c r="AE417" s="42"/>
    </row>
    <row r="418">
      <c r="A418" s="95"/>
      <c r="B418" s="95"/>
      <c r="C418" s="54"/>
      <c r="D418" s="83"/>
      <c r="E418" s="96"/>
      <c r="F418" s="42"/>
      <c r="G418" s="97"/>
      <c r="H418" s="96"/>
      <c r="I418" s="96"/>
      <c r="J418" s="96"/>
      <c r="K418" s="99"/>
      <c r="L418" s="96"/>
      <c r="M418" s="96"/>
      <c r="N418" s="42"/>
      <c r="O418" s="42"/>
      <c r="P418" s="83"/>
      <c r="Q418" s="83"/>
      <c r="R418" s="42"/>
      <c r="S418" s="87"/>
      <c r="T418" s="83"/>
      <c r="U418" s="83"/>
      <c r="V418" s="83"/>
      <c r="W418" s="42"/>
      <c r="X418" s="42"/>
      <c r="Y418" s="42"/>
      <c r="Z418" s="42"/>
      <c r="AA418" s="42"/>
      <c r="AB418" s="42"/>
      <c r="AC418" s="42"/>
      <c r="AD418" s="42"/>
      <c r="AE418" s="42"/>
    </row>
    <row r="419">
      <c r="A419" s="95"/>
      <c r="B419" s="95"/>
      <c r="C419" s="54"/>
      <c r="D419" s="83"/>
      <c r="E419" s="96"/>
      <c r="F419" s="42"/>
      <c r="G419" s="97"/>
      <c r="H419" s="96"/>
      <c r="I419" s="96"/>
      <c r="J419" s="96"/>
      <c r="K419" s="99"/>
      <c r="L419" s="96"/>
      <c r="M419" s="96"/>
      <c r="N419" s="42"/>
      <c r="O419" s="42"/>
      <c r="P419" s="83"/>
      <c r="Q419" s="83"/>
      <c r="R419" s="42"/>
      <c r="S419" s="87"/>
      <c r="T419" s="83"/>
      <c r="U419" s="83"/>
      <c r="V419" s="83"/>
      <c r="W419" s="42"/>
      <c r="X419" s="42"/>
      <c r="Y419" s="42"/>
      <c r="Z419" s="42"/>
      <c r="AA419" s="42"/>
      <c r="AB419" s="42"/>
      <c r="AC419" s="42"/>
      <c r="AD419" s="42"/>
      <c r="AE419" s="42"/>
    </row>
    <row r="420">
      <c r="A420" s="95"/>
      <c r="B420" s="95"/>
      <c r="C420" s="54"/>
      <c r="D420" s="83"/>
      <c r="E420" s="96"/>
      <c r="F420" s="42"/>
      <c r="G420" s="97"/>
      <c r="H420" s="96"/>
      <c r="I420" s="96"/>
      <c r="J420" s="96"/>
      <c r="K420" s="99"/>
      <c r="L420" s="96"/>
      <c r="M420" s="96"/>
      <c r="N420" s="42"/>
      <c r="O420" s="42"/>
      <c r="P420" s="83"/>
      <c r="Q420" s="83"/>
      <c r="R420" s="42"/>
      <c r="S420" s="87"/>
      <c r="T420" s="83"/>
      <c r="U420" s="83"/>
      <c r="V420" s="83"/>
      <c r="W420" s="42"/>
      <c r="X420" s="42"/>
      <c r="Y420" s="42"/>
      <c r="Z420" s="42"/>
      <c r="AA420" s="42"/>
      <c r="AB420" s="42"/>
      <c r="AC420" s="42"/>
      <c r="AD420" s="42"/>
      <c r="AE420" s="42"/>
    </row>
    <row r="421">
      <c r="A421" s="95"/>
      <c r="B421" s="95"/>
      <c r="C421" s="54"/>
      <c r="D421" s="83"/>
      <c r="E421" s="96"/>
      <c r="F421" s="42"/>
      <c r="G421" s="97"/>
      <c r="H421" s="96"/>
      <c r="I421" s="96"/>
      <c r="J421" s="96"/>
      <c r="K421" s="99"/>
      <c r="L421" s="96"/>
      <c r="M421" s="96"/>
      <c r="N421" s="42"/>
      <c r="O421" s="42"/>
      <c r="P421" s="83"/>
      <c r="Q421" s="83"/>
      <c r="R421" s="42"/>
      <c r="S421" s="87"/>
      <c r="T421" s="83"/>
      <c r="U421" s="83"/>
      <c r="V421" s="83"/>
      <c r="W421" s="42"/>
      <c r="X421" s="42"/>
      <c r="Y421" s="42"/>
      <c r="Z421" s="42"/>
      <c r="AA421" s="42"/>
      <c r="AB421" s="42"/>
      <c r="AC421" s="42"/>
      <c r="AD421" s="42"/>
      <c r="AE421" s="42"/>
    </row>
    <row r="422">
      <c r="A422" s="95"/>
      <c r="B422" s="95"/>
      <c r="C422" s="54"/>
      <c r="D422" s="83"/>
      <c r="E422" s="96"/>
      <c r="F422" s="42"/>
      <c r="G422" s="97"/>
      <c r="H422" s="96"/>
      <c r="I422" s="96"/>
      <c r="J422" s="96"/>
      <c r="K422" s="99"/>
      <c r="L422" s="96"/>
      <c r="M422" s="96"/>
      <c r="N422" s="42"/>
      <c r="O422" s="42"/>
      <c r="P422" s="83"/>
      <c r="Q422" s="83"/>
      <c r="R422" s="42"/>
      <c r="S422" s="87"/>
      <c r="T422" s="83"/>
      <c r="U422" s="83"/>
      <c r="V422" s="83"/>
      <c r="W422" s="42"/>
      <c r="X422" s="42"/>
      <c r="Y422" s="42"/>
      <c r="Z422" s="42"/>
      <c r="AA422" s="42"/>
      <c r="AB422" s="42"/>
      <c r="AC422" s="42"/>
      <c r="AD422" s="42"/>
      <c r="AE422" s="42"/>
    </row>
    <row r="423">
      <c r="A423" s="95"/>
      <c r="B423" s="95"/>
      <c r="C423" s="54"/>
      <c r="D423" s="83"/>
      <c r="E423" s="96"/>
      <c r="F423" s="42"/>
      <c r="G423" s="97"/>
      <c r="H423" s="96"/>
      <c r="I423" s="96"/>
      <c r="J423" s="96"/>
      <c r="K423" s="99"/>
      <c r="L423" s="96"/>
      <c r="M423" s="96"/>
      <c r="N423" s="42"/>
      <c r="O423" s="42"/>
      <c r="P423" s="83"/>
      <c r="Q423" s="83"/>
      <c r="R423" s="42"/>
      <c r="S423" s="87"/>
      <c r="T423" s="83"/>
      <c r="U423" s="83"/>
      <c r="V423" s="83"/>
      <c r="W423" s="42"/>
      <c r="X423" s="42"/>
      <c r="Y423" s="42"/>
      <c r="Z423" s="42"/>
      <c r="AA423" s="42"/>
      <c r="AB423" s="42"/>
      <c r="AC423" s="42"/>
      <c r="AD423" s="42"/>
      <c r="AE423" s="42"/>
    </row>
    <row r="424">
      <c r="A424" s="95"/>
      <c r="B424" s="95"/>
      <c r="C424" s="54"/>
      <c r="D424" s="83"/>
      <c r="E424" s="96"/>
      <c r="F424" s="42"/>
      <c r="G424" s="97"/>
      <c r="H424" s="96"/>
      <c r="I424" s="96"/>
      <c r="J424" s="96"/>
      <c r="K424" s="99"/>
      <c r="L424" s="96"/>
      <c r="M424" s="96"/>
      <c r="N424" s="42"/>
      <c r="O424" s="42"/>
      <c r="P424" s="83"/>
      <c r="Q424" s="83"/>
      <c r="R424" s="42"/>
      <c r="S424" s="87"/>
      <c r="T424" s="83"/>
      <c r="U424" s="83"/>
      <c r="V424" s="83"/>
      <c r="W424" s="42"/>
      <c r="X424" s="42"/>
      <c r="Y424" s="42"/>
      <c r="Z424" s="42"/>
      <c r="AA424" s="42"/>
      <c r="AB424" s="42"/>
      <c r="AC424" s="42"/>
      <c r="AD424" s="42"/>
      <c r="AE424" s="42"/>
    </row>
    <row r="425">
      <c r="A425" s="95"/>
      <c r="B425" s="95"/>
      <c r="C425" s="54"/>
      <c r="D425" s="83"/>
      <c r="E425" s="96"/>
      <c r="F425" s="42"/>
      <c r="G425" s="97"/>
      <c r="H425" s="96"/>
      <c r="I425" s="96"/>
      <c r="J425" s="96"/>
      <c r="K425" s="99"/>
      <c r="L425" s="96"/>
      <c r="M425" s="96"/>
      <c r="N425" s="42"/>
      <c r="O425" s="42"/>
      <c r="P425" s="83"/>
      <c r="Q425" s="83"/>
      <c r="R425" s="42"/>
      <c r="S425" s="87"/>
      <c r="T425" s="83"/>
      <c r="U425" s="83"/>
      <c r="V425" s="83"/>
      <c r="W425" s="42"/>
      <c r="X425" s="42"/>
      <c r="Y425" s="42"/>
      <c r="Z425" s="42"/>
      <c r="AA425" s="42"/>
      <c r="AB425" s="42"/>
      <c r="AC425" s="42"/>
      <c r="AD425" s="42"/>
      <c r="AE425" s="42"/>
    </row>
    <row r="426">
      <c r="A426" s="95"/>
      <c r="B426" s="95"/>
      <c r="C426" s="54"/>
      <c r="D426" s="83"/>
      <c r="E426" s="96"/>
      <c r="F426" s="42"/>
      <c r="G426" s="97"/>
      <c r="H426" s="96"/>
      <c r="I426" s="96"/>
      <c r="J426" s="96"/>
      <c r="K426" s="99"/>
      <c r="L426" s="96"/>
      <c r="M426" s="96"/>
      <c r="N426" s="42"/>
      <c r="O426" s="42"/>
      <c r="P426" s="83"/>
      <c r="Q426" s="83"/>
      <c r="R426" s="42"/>
      <c r="S426" s="87"/>
      <c r="T426" s="83"/>
      <c r="U426" s="83"/>
      <c r="V426" s="83"/>
      <c r="W426" s="42"/>
      <c r="X426" s="42"/>
      <c r="Y426" s="42"/>
      <c r="Z426" s="42"/>
      <c r="AA426" s="42"/>
      <c r="AB426" s="42"/>
      <c r="AC426" s="42"/>
      <c r="AD426" s="42"/>
      <c r="AE426" s="42"/>
    </row>
    <row r="427">
      <c r="A427" s="95"/>
      <c r="B427" s="95"/>
      <c r="C427" s="54"/>
      <c r="D427" s="83"/>
      <c r="E427" s="96"/>
      <c r="F427" s="42"/>
      <c r="G427" s="97"/>
      <c r="H427" s="96"/>
      <c r="I427" s="96"/>
      <c r="J427" s="96"/>
      <c r="K427" s="99"/>
      <c r="L427" s="96"/>
      <c r="M427" s="96"/>
      <c r="N427" s="42"/>
      <c r="O427" s="42"/>
      <c r="P427" s="83"/>
      <c r="Q427" s="83"/>
      <c r="R427" s="42"/>
      <c r="S427" s="87"/>
      <c r="T427" s="83"/>
      <c r="U427" s="83"/>
      <c r="V427" s="83"/>
      <c r="W427" s="42"/>
      <c r="X427" s="42"/>
      <c r="Y427" s="42"/>
      <c r="Z427" s="42"/>
      <c r="AA427" s="42"/>
      <c r="AB427" s="42"/>
      <c r="AC427" s="42"/>
      <c r="AD427" s="42"/>
      <c r="AE427" s="42"/>
    </row>
    <row r="428">
      <c r="A428" s="95"/>
      <c r="B428" s="95"/>
      <c r="C428" s="54"/>
      <c r="D428" s="83"/>
      <c r="E428" s="96"/>
      <c r="F428" s="42"/>
      <c r="G428" s="97"/>
      <c r="H428" s="96"/>
      <c r="I428" s="96"/>
      <c r="J428" s="96"/>
      <c r="K428" s="99"/>
      <c r="L428" s="96"/>
      <c r="M428" s="96"/>
      <c r="N428" s="42"/>
      <c r="O428" s="42"/>
      <c r="P428" s="83"/>
      <c r="Q428" s="83"/>
      <c r="R428" s="42"/>
      <c r="S428" s="87"/>
      <c r="T428" s="83"/>
      <c r="U428" s="83"/>
      <c r="V428" s="83"/>
      <c r="W428" s="42"/>
      <c r="X428" s="42"/>
      <c r="Y428" s="42"/>
      <c r="Z428" s="42"/>
      <c r="AA428" s="42"/>
      <c r="AB428" s="42"/>
      <c r="AC428" s="42"/>
      <c r="AD428" s="42"/>
      <c r="AE428" s="42"/>
    </row>
    <row r="429">
      <c r="A429" s="95"/>
      <c r="B429" s="95"/>
      <c r="C429" s="54"/>
      <c r="D429" s="83"/>
      <c r="E429" s="96"/>
      <c r="F429" s="42"/>
      <c r="G429" s="97"/>
      <c r="H429" s="96"/>
      <c r="I429" s="96"/>
      <c r="J429" s="96"/>
      <c r="K429" s="99"/>
      <c r="L429" s="96"/>
      <c r="M429" s="96"/>
      <c r="N429" s="42"/>
      <c r="O429" s="42"/>
      <c r="P429" s="83"/>
      <c r="Q429" s="83"/>
      <c r="R429" s="42"/>
      <c r="S429" s="87"/>
      <c r="T429" s="83"/>
      <c r="U429" s="83"/>
      <c r="V429" s="83"/>
      <c r="W429" s="42"/>
      <c r="X429" s="42"/>
      <c r="Y429" s="42"/>
      <c r="Z429" s="42"/>
      <c r="AA429" s="42"/>
      <c r="AB429" s="42"/>
      <c r="AC429" s="42"/>
      <c r="AD429" s="42"/>
      <c r="AE429" s="42"/>
    </row>
    <row r="430">
      <c r="A430" s="95"/>
      <c r="B430" s="95"/>
      <c r="C430" s="54"/>
      <c r="D430" s="83"/>
      <c r="E430" s="96"/>
      <c r="F430" s="42"/>
      <c r="G430" s="97"/>
      <c r="H430" s="96"/>
      <c r="I430" s="96"/>
      <c r="J430" s="96"/>
      <c r="K430" s="99"/>
      <c r="L430" s="96"/>
      <c r="M430" s="96"/>
      <c r="N430" s="42"/>
      <c r="O430" s="42"/>
      <c r="P430" s="83"/>
      <c r="Q430" s="83"/>
      <c r="R430" s="42"/>
      <c r="S430" s="87"/>
      <c r="T430" s="83"/>
      <c r="U430" s="83"/>
      <c r="V430" s="83"/>
      <c r="W430" s="42"/>
      <c r="X430" s="42"/>
      <c r="Y430" s="42"/>
      <c r="Z430" s="42"/>
      <c r="AA430" s="42"/>
      <c r="AB430" s="42"/>
      <c r="AC430" s="42"/>
      <c r="AD430" s="42"/>
      <c r="AE430" s="42"/>
    </row>
    <row r="431">
      <c r="A431" s="95"/>
      <c r="B431" s="95"/>
      <c r="C431" s="54"/>
      <c r="D431" s="83"/>
      <c r="E431" s="96"/>
      <c r="F431" s="42"/>
      <c r="G431" s="97"/>
      <c r="H431" s="96"/>
      <c r="I431" s="96"/>
      <c r="J431" s="96"/>
      <c r="K431" s="99"/>
      <c r="L431" s="96"/>
      <c r="M431" s="96"/>
      <c r="N431" s="42"/>
      <c r="O431" s="42"/>
      <c r="P431" s="83"/>
      <c r="Q431" s="83"/>
      <c r="R431" s="42"/>
      <c r="S431" s="87"/>
      <c r="T431" s="83"/>
      <c r="U431" s="83"/>
      <c r="V431" s="83"/>
      <c r="W431" s="42"/>
      <c r="X431" s="42"/>
      <c r="Y431" s="42"/>
      <c r="Z431" s="42"/>
      <c r="AA431" s="42"/>
      <c r="AB431" s="42"/>
      <c r="AC431" s="42"/>
      <c r="AD431" s="42"/>
      <c r="AE431" s="42"/>
    </row>
    <row r="432">
      <c r="A432" s="95"/>
      <c r="B432" s="95"/>
      <c r="C432" s="54"/>
      <c r="D432" s="83"/>
      <c r="E432" s="96"/>
      <c r="F432" s="42"/>
      <c r="G432" s="97"/>
      <c r="H432" s="96"/>
      <c r="I432" s="96"/>
      <c r="J432" s="96"/>
      <c r="K432" s="99"/>
      <c r="L432" s="96"/>
      <c r="M432" s="96"/>
      <c r="N432" s="42"/>
      <c r="O432" s="42"/>
      <c r="P432" s="83"/>
      <c r="Q432" s="83"/>
      <c r="R432" s="42"/>
      <c r="S432" s="87"/>
      <c r="T432" s="83"/>
      <c r="U432" s="83"/>
      <c r="V432" s="83"/>
      <c r="W432" s="42"/>
      <c r="X432" s="42"/>
      <c r="Y432" s="42"/>
      <c r="Z432" s="42"/>
      <c r="AA432" s="42"/>
      <c r="AB432" s="42"/>
      <c r="AC432" s="42"/>
      <c r="AD432" s="42"/>
      <c r="AE432" s="42"/>
    </row>
    <row r="433">
      <c r="A433" s="95"/>
      <c r="B433" s="95"/>
      <c r="C433" s="54"/>
      <c r="D433" s="83"/>
      <c r="E433" s="96"/>
      <c r="F433" s="42"/>
      <c r="G433" s="97"/>
      <c r="H433" s="96"/>
      <c r="I433" s="96"/>
      <c r="J433" s="96"/>
      <c r="K433" s="99"/>
      <c r="L433" s="96"/>
      <c r="M433" s="96"/>
      <c r="N433" s="42"/>
      <c r="O433" s="42"/>
      <c r="P433" s="83"/>
      <c r="Q433" s="83"/>
      <c r="R433" s="42"/>
      <c r="S433" s="87"/>
      <c r="T433" s="83"/>
      <c r="U433" s="83"/>
      <c r="V433" s="83"/>
      <c r="W433" s="42"/>
      <c r="X433" s="42"/>
      <c r="Y433" s="42"/>
      <c r="Z433" s="42"/>
      <c r="AA433" s="42"/>
      <c r="AB433" s="42"/>
      <c r="AC433" s="42"/>
      <c r="AD433" s="42"/>
      <c r="AE433" s="42"/>
    </row>
    <row r="434">
      <c r="A434" s="95"/>
      <c r="B434" s="95"/>
      <c r="C434" s="54"/>
      <c r="D434" s="83"/>
      <c r="E434" s="96"/>
      <c r="F434" s="42"/>
      <c r="G434" s="97"/>
      <c r="H434" s="96"/>
      <c r="I434" s="96"/>
      <c r="J434" s="96"/>
      <c r="K434" s="99"/>
      <c r="L434" s="96"/>
      <c r="M434" s="96"/>
      <c r="N434" s="42"/>
      <c r="O434" s="42"/>
      <c r="P434" s="83"/>
      <c r="Q434" s="83"/>
      <c r="R434" s="42"/>
      <c r="S434" s="87"/>
      <c r="T434" s="83"/>
      <c r="U434" s="83"/>
      <c r="V434" s="83"/>
      <c r="W434" s="42"/>
      <c r="X434" s="42"/>
      <c r="Y434" s="42"/>
      <c r="Z434" s="42"/>
      <c r="AA434" s="42"/>
      <c r="AB434" s="42"/>
      <c r="AC434" s="42"/>
      <c r="AD434" s="42"/>
      <c r="AE434" s="42"/>
    </row>
    <row r="435">
      <c r="A435" s="95"/>
      <c r="B435" s="95"/>
      <c r="C435" s="54"/>
      <c r="D435" s="83"/>
      <c r="E435" s="96"/>
      <c r="F435" s="42"/>
      <c r="G435" s="97"/>
      <c r="H435" s="96"/>
      <c r="I435" s="96"/>
      <c r="J435" s="96"/>
      <c r="K435" s="99"/>
      <c r="L435" s="96"/>
      <c r="M435" s="96"/>
      <c r="N435" s="42"/>
      <c r="O435" s="42"/>
      <c r="P435" s="83"/>
      <c r="Q435" s="83"/>
      <c r="R435" s="42"/>
      <c r="S435" s="87"/>
      <c r="T435" s="83"/>
      <c r="U435" s="83"/>
      <c r="V435" s="83"/>
      <c r="W435" s="42"/>
      <c r="X435" s="42"/>
      <c r="Y435" s="42"/>
      <c r="Z435" s="42"/>
      <c r="AA435" s="42"/>
      <c r="AB435" s="42"/>
      <c r="AC435" s="42"/>
      <c r="AD435" s="42"/>
      <c r="AE435" s="42"/>
    </row>
    <row r="436">
      <c r="A436" s="95"/>
      <c r="B436" s="95"/>
      <c r="C436" s="54"/>
      <c r="D436" s="83"/>
      <c r="E436" s="96"/>
      <c r="F436" s="42"/>
      <c r="G436" s="97"/>
      <c r="H436" s="96"/>
      <c r="I436" s="96"/>
      <c r="J436" s="96"/>
      <c r="K436" s="99"/>
      <c r="L436" s="96"/>
      <c r="M436" s="96"/>
      <c r="N436" s="42"/>
      <c r="O436" s="42"/>
      <c r="P436" s="83"/>
      <c r="Q436" s="83"/>
      <c r="R436" s="42"/>
      <c r="S436" s="87"/>
      <c r="T436" s="83"/>
      <c r="U436" s="83"/>
      <c r="V436" s="83"/>
      <c r="W436" s="42"/>
      <c r="X436" s="42"/>
      <c r="Y436" s="42"/>
      <c r="Z436" s="42"/>
      <c r="AA436" s="42"/>
      <c r="AB436" s="42"/>
      <c r="AC436" s="42"/>
      <c r="AD436" s="42"/>
      <c r="AE436" s="42"/>
    </row>
    <row r="437">
      <c r="A437" s="95"/>
      <c r="B437" s="95"/>
      <c r="C437" s="54"/>
      <c r="D437" s="83"/>
      <c r="E437" s="96"/>
      <c r="F437" s="42"/>
      <c r="G437" s="97"/>
      <c r="H437" s="96"/>
      <c r="I437" s="96"/>
      <c r="J437" s="96"/>
      <c r="K437" s="99"/>
      <c r="L437" s="96"/>
      <c r="M437" s="96"/>
      <c r="N437" s="42"/>
      <c r="O437" s="42"/>
      <c r="P437" s="83"/>
      <c r="Q437" s="83"/>
      <c r="R437" s="42"/>
      <c r="S437" s="87"/>
      <c r="T437" s="83"/>
      <c r="U437" s="83"/>
      <c r="V437" s="83"/>
      <c r="W437" s="42"/>
      <c r="X437" s="42"/>
      <c r="Y437" s="42"/>
      <c r="Z437" s="42"/>
      <c r="AA437" s="42"/>
      <c r="AB437" s="42"/>
      <c r="AC437" s="42"/>
      <c r="AD437" s="42"/>
      <c r="AE437" s="42"/>
    </row>
    <row r="438">
      <c r="A438" s="95"/>
      <c r="B438" s="95"/>
      <c r="C438" s="54"/>
      <c r="D438" s="83"/>
      <c r="E438" s="96"/>
      <c r="F438" s="42"/>
      <c r="G438" s="97"/>
      <c r="H438" s="96"/>
      <c r="I438" s="96"/>
      <c r="J438" s="96"/>
      <c r="K438" s="99"/>
      <c r="L438" s="96"/>
      <c r="M438" s="96"/>
      <c r="N438" s="42"/>
      <c r="O438" s="42"/>
      <c r="P438" s="83"/>
      <c r="Q438" s="83"/>
      <c r="R438" s="42"/>
      <c r="S438" s="87"/>
      <c r="T438" s="83"/>
      <c r="U438" s="83"/>
      <c r="V438" s="83"/>
      <c r="W438" s="42"/>
      <c r="X438" s="42"/>
      <c r="Y438" s="42"/>
      <c r="Z438" s="42"/>
      <c r="AA438" s="42"/>
      <c r="AB438" s="42"/>
      <c r="AC438" s="42"/>
      <c r="AD438" s="42"/>
      <c r="AE438" s="42"/>
    </row>
    <row r="439">
      <c r="A439" s="95"/>
      <c r="B439" s="95"/>
      <c r="C439" s="54"/>
      <c r="D439" s="83"/>
      <c r="E439" s="96"/>
      <c r="F439" s="42"/>
      <c r="G439" s="97"/>
      <c r="H439" s="96"/>
      <c r="I439" s="96"/>
      <c r="J439" s="96"/>
      <c r="K439" s="99"/>
      <c r="L439" s="96"/>
      <c r="M439" s="96"/>
      <c r="N439" s="42"/>
      <c r="O439" s="42"/>
      <c r="P439" s="83"/>
      <c r="Q439" s="83"/>
      <c r="R439" s="42"/>
      <c r="S439" s="87"/>
      <c r="T439" s="83"/>
      <c r="U439" s="83"/>
      <c r="V439" s="83"/>
      <c r="W439" s="42"/>
      <c r="X439" s="42"/>
      <c r="Y439" s="42"/>
      <c r="Z439" s="42"/>
      <c r="AA439" s="42"/>
      <c r="AB439" s="42"/>
      <c r="AC439" s="42"/>
      <c r="AD439" s="42"/>
      <c r="AE439" s="42"/>
    </row>
    <row r="440">
      <c r="A440" s="95"/>
      <c r="B440" s="95"/>
      <c r="C440" s="54"/>
      <c r="D440" s="83"/>
      <c r="E440" s="96"/>
      <c r="F440" s="42"/>
      <c r="G440" s="97"/>
      <c r="H440" s="96"/>
      <c r="I440" s="96"/>
      <c r="J440" s="96"/>
      <c r="K440" s="99"/>
      <c r="L440" s="96"/>
      <c r="M440" s="96"/>
      <c r="N440" s="42"/>
      <c r="O440" s="42"/>
      <c r="P440" s="83"/>
      <c r="Q440" s="83"/>
      <c r="R440" s="42"/>
      <c r="S440" s="87"/>
      <c r="T440" s="83"/>
      <c r="U440" s="83"/>
      <c r="V440" s="83"/>
      <c r="W440" s="42"/>
      <c r="X440" s="42"/>
      <c r="Y440" s="42"/>
      <c r="Z440" s="42"/>
      <c r="AA440" s="42"/>
      <c r="AB440" s="42"/>
      <c r="AC440" s="42"/>
      <c r="AD440" s="42"/>
      <c r="AE440" s="42"/>
    </row>
    <row r="441">
      <c r="A441" s="95"/>
      <c r="B441" s="95"/>
      <c r="C441" s="54"/>
      <c r="D441" s="83"/>
      <c r="E441" s="96"/>
      <c r="F441" s="42"/>
      <c r="G441" s="97"/>
      <c r="H441" s="96"/>
      <c r="I441" s="96"/>
      <c r="J441" s="96"/>
      <c r="K441" s="99"/>
      <c r="L441" s="96"/>
      <c r="M441" s="96"/>
      <c r="N441" s="42"/>
      <c r="O441" s="42"/>
      <c r="P441" s="83"/>
      <c r="Q441" s="83"/>
      <c r="R441" s="42"/>
      <c r="S441" s="87"/>
      <c r="T441" s="83"/>
      <c r="U441" s="83"/>
      <c r="V441" s="83"/>
      <c r="W441" s="42"/>
      <c r="X441" s="42"/>
      <c r="Y441" s="42"/>
      <c r="Z441" s="42"/>
      <c r="AA441" s="42"/>
      <c r="AB441" s="42"/>
      <c r="AC441" s="42"/>
      <c r="AD441" s="42"/>
      <c r="AE441" s="42"/>
    </row>
    <row r="442">
      <c r="A442" s="95"/>
      <c r="B442" s="95"/>
      <c r="C442" s="54"/>
      <c r="D442" s="83"/>
      <c r="E442" s="96"/>
      <c r="F442" s="42"/>
      <c r="G442" s="97"/>
      <c r="H442" s="96"/>
      <c r="I442" s="96"/>
      <c r="J442" s="96"/>
      <c r="K442" s="99"/>
      <c r="L442" s="96"/>
      <c r="M442" s="96"/>
      <c r="N442" s="42"/>
      <c r="O442" s="42"/>
      <c r="P442" s="83"/>
      <c r="Q442" s="83"/>
      <c r="R442" s="42"/>
      <c r="S442" s="87"/>
      <c r="T442" s="83"/>
      <c r="U442" s="83"/>
      <c r="V442" s="83"/>
      <c r="W442" s="42"/>
      <c r="X442" s="42"/>
      <c r="Y442" s="42"/>
      <c r="Z442" s="42"/>
      <c r="AA442" s="42"/>
      <c r="AB442" s="42"/>
      <c r="AC442" s="42"/>
      <c r="AD442" s="42"/>
      <c r="AE442" s="42"/>
    </row>
    <row r="443">
      <c r="A443" s="95"/>
      <c r="B443" s="95"/>
      <c r="C443" s="54"/>
      <c r="D443" s="83"/>
      <c r="E443" s="96"/>
      <c r="F443" s="42"/>
      <c r="G443" s="97"/>
      <c r="H443" s="96"/>
      <c r="I443" s="96"/>
      <c r="J443" s="96"/>
      <c r="K443" s="99"/>
      <c r="L443" s="96"/>
      <c r="M443" s="96"/>
      <c r="N443" s="42"/>
      <c r="O443" s="42"/>
      <c r="P443" s="83"/>
      <c r="Q443" s="83"/>
      <c r="R443" s="42"/>
      <c r="S443" s="87"/>
      <c r="T443" s="83"/>
      <c r="U443" s="83"/>
      <c r="V443" s="83"/>
      <c r="W443" s="42"/>
      <c r="X443" s="42"/>
      <c r="Y443" s="42"/>
      <c r="Z443" s="42"/>
      <c r="AA443" s="42"/>
      <c r="AB443" s="42"/>
      <c r="AC443" s="42"/>
      <c r="AD443" s="42"/>
      <c r="AE443" s="42"/>
    </row>
    <row r="444">
      <c r="A444" s="95"/>
      <c r="B444" s="95"/>
      <c r="C444" s="54"/>
      <c r="D444" s="83"/>
      <c r="E444" s="96"/>
      <c r="F444" s="42"/>
      <c r="G444" s="97"/>
      <c r="H444" s="96"/>
      <c r="I444" s="96"/>
      <c r="J444" s="96"/>
      <c r="K444" s="99"/>
      <c r="L444" s="96"/>
      <c r="M444" s="96"/>
      <c r="N444" s="42"/>
      <c r="O444" s="42"/>
      <c r="P444" s="83"/>
      <c r="Q444" s="83"/>
      <c r="R444" s="42"/>
      <c r="S444" s="87"/>
      <c r="T444" s="83"/>
      <c r="U444" s="83"/>
      <c r="V444" s="83"/>
      <c r="W444" s="42"/>
      <c r="X444" s="42"/>
      <c r="Y444" s="42"/>
      <c r="Z444" s="42"/>
      <c r="AA444" s="42"/>
      <c r="AB444" s="42"/>
      <c r="AC444" s="42"/>
      <c r="AD444" s="42"/>
      <c r="AE444" s="42"/>
    </row>
    <row r="445">
      <c r="A445" s="95"/>
      <c r="B445" s="95"/>
      <c r="C445" s="54"/>
      <c r="D445" s="83"/>
      <c r="E445" s="96"/>
      <c r="F445" s="42"/>
      <c r="G445" s="97"/>
      <c r="H445" s="96"/>
      <c r="I445" s="96"/>
      <c r="J445" s="96"/>
      <c r="K445" s="99"/>
      <c r="L445" s="96"/>
      <c r="M445" s="96"/>
      <c r="N445" s="42"/>
      <c r="O445" s="42"/>
      <c r="P445" s="83"/>
      <c r="Q445" s="83"/>
      <c r="R445" s="42"/>
      <c r="S445" s="87"/>
      <c r="T445" s="83"/>
      <c r="U445" s="83"/>
      <c r="V445" s="83"/>
      <c r="W445" s="42"/>
      <c r="X445" s="42"/>
      <c r="Y445" s="42"/>
      <c r="Z445" s="42"/>
      <c r="AA445" s="42"/>
      <c r="AB445" s="42"/>
      <c r="AC445" s="42"/>
      <c r="AD445" s="42"/>
      <c r="AE445" s="42"/>
    </row>
    <row r="446">
      <c r="A446" s="95"/>
      <c r="B446" s="95"/>
      <c r="C446" s="54"/>
      <c r="D446" s="83"/>
      <c r="E446" s="96"/>
      <c r="F446" s="42"/>
      <c r="G446" s="97"/>
      <c r="H446" s="96"/>
      <c r="I446" s="96"/>
      <c r="J446" s="96"/>
      <c r="K446" s="99"/>
      <c r="L446" s="96"/>
      <c r="M446" s="96"/>
      <c r="N446" s="42"/>
      <c r="O446" s="42"/>
      <c r="P446" s="83"/>
      <c r="Q446" s="83"/>
      <c r="R446" s="42"/>
      <c r="S446" s="87"/>
      <c r="T446" s="83"/>
      <c r="U446" s="83"/>
      <c r="V446" s="83"/>
      <c r="W446" s="42"/>
      <c r="X446" s="42"/>
      <c r="Y446" s="42"/>
      <c r="Z446" s="42"/>
      <c r="AA446" s="42"/>
      <c r="AB446" s="42"/>
      <c r="AC446" s="42"/>
      <c r="AD446" s="42"/>
      <c r="AE446" s="42"/>
    </row>
    <row r="447">
      <c r="A447" s="95"/>
      <c r="B447" s="95"/>
      <c r="C447" s="54"/>
      <c r="D447" s="83"/>
      <c r="E447" s="96"/>
      <c r="F447" s="42"/>
      <c r="G447" s="97"/>
      <c r="H447" s="96"/>
      <c r="I447" s="96"/>
      <c r="J447" s="96"/>
      <c r="K447" s="99"/>
      <c r="L447" s="96"/>
      <c r="M447" s="96"/>
      <c r="N447" s="42"/>
      <c r="O447" s="42"/>
      <c r="P447" s="83"/>
      <c r="Q447" s="83"/>
      <c r="R447" s="42"/>
      <c r="S447" s="87"/>
      <c r="T447" s="83"/>
      <c r="U447" s="83"/>
      <c r="V447" s="83"/>
      <c r="W447" s="42"/>
      <c r="X447" s="42"/>
      <c r="Y447" s="42"/>
      <c r="Z447" s="42"/>
      <c r="AA447" s="42"/>
      <c r="AB447" s="42"/>
      <c r="AC447" s="42"/>
      <c r="AD447" s="42"/>
      <c r="AE447" s="42"/>
    </row>
    <row r="448">
      <c r="A448" s="95"/>
      <c r="B448" s="95"/>
      <c r="C448" s="54"/>
      <c r="D448" s="83"/>
      <c r="E448" s="96"/>
      <c r="F448" s="42"/>
      <c r="G448" s="97"/>
      <c r="H448" s="96"/>
      <c r="I448" s="96"/>
      <c r="J448" s="96"/>
      <c r="K448" s="99"/>
      <c r="L448" s="96"/>
      <c r="M448" s="96"/>
      <c r="N448" s="42"/>
      <c r="O448" s="42"/>
      <c r="P448" s="83"/>
      <c r="Q448" s="83"/>
      <c r="R448" s="42"/>
      <c r="S448" s="87"/>
      <c r="T448" s="83"/>
      <c r="U448" s="83"/>
      <c r="V448" s="83"/>
      <c r="W448" s="42"/>
      <c r="X448" s="42"/>
      <c r="Y448" s="42"/>
      <c r="Z448" s="42"/>
      <c r="AA448" s="42"/>
      <c r="AB448" s="42"/>
      <c r="AC448" s="42"/>
      <c r="AD448" s="42"/>
      <c r="AE448" s="42"/>
    </row>
    <row r="449">
      <c r="A449" s="95"/>
      <c r="B449" s="95"/>
      <c r="C449" s="54"/>
      <c r="D449" s="83"/>
      <c r="E449" s="96"/>
      <c r="F449" s="42"/>
      <c r="G449" s="97"/>
      <c r="H449" s="96"/>
      <c r="I449" s="96"/>
      <c r="J449" s="96"/>
      <c r="K449" s="99"/>
      <c r="L449" s="96"/>
      <c r="M449" s="96"/>
      <c r="N449" s="42"/>
      <c r="O449" s="42"/>
      <c r="P449" s="83"/>
      <c r="Q449" s="83"/>
      <c r="R449" s="42"/>
      <c r="S449" s="87"/>
      <c r="T449" s="83"/>
      <c r="U449" s="83"/>
      <c r="V449" s="83"/>
      <c r="W449" s="42"/>
      <c r="X449" s="42"/>
      <c r="Y449" s="42"/>
      <c r="Z449" s="42"/>
      <c r="AA449" s="42"/>
      <c r="AB449" s="42"/>
      <c r="AC449" s="42"/>
      <c r="AD449" s="42"/>
      <c r="AE449" s="42"/>
    </row>
    <row r="450">
      <c r="A450" s="95"/>
      <c r="B450" s="95"/>
      <c r="C450" s="54"/>
      <c r="D450" s="83"/>
      <c r="E450" s="96"/>
      <c r="F450" s="42"/>
      <c r="G450" s="97"/>
      <c r="H450" s="96"/>
      <c r="I450" s="96"/>
      <c r="J450" s="96"/>
      <c r="K450" s="99"/>
      <c r="L450" s="96"/>
      <c r="M450" s="96"/>
      <c r="N450" s="42"/>
      <c r="O450" s="42"/>
      <c r="P450" s="83"/>
      <c r="Q450" s="83"/>
      <c r="R450" s="42"/>
      <c r="S450" s="87"/>
      <c r="T450" s="83"/>
      <c r="U450" s="83"/>
      <c r="V450" s="83"/>
      <c r="W450" s="42"/>
      <c r="X450" s="42"/>
      <c r="Y450" s="42"/>
      <c r="Z450" s="42"/>
      <c r="AA450" s="42"/>
      <c r="AB450" s="42"/>
      <c r="AC450" s="42"/>
      <c r="AD450" s="42"/>
      <c r="AE450" s="42"/>
    </row>
    <row r="451">
      <c r="A451" s="95"/>
      <c r="B451" s="95"/>
      <c r="C451" s="54"/>
      <c r="D451" s="83"/>
      <c r="E451" s="96"/>
      <c r="F451" s="42"/>
      <c r="G451" s="97"/>
      <c r="H451" s="96"/>
      <c r="I451" s="96"/>
      <c r="J451" s="96"/>
      <c r="K451" s="99"/>
      <c r="L451" s="96"/>
      <c r="M451" s="96"/>
      <c r="N451" s="42"/>
      <c r="O451" s="42"/>
      <c r="P451" s="83"/>
      <c r="Q451" s="83"/>
      <c r="R451" s="42"/>
      <c r="S451" s="87"/>
      <c r="T451" s="83"/>
      <c r="U451" s="83"/>
      <c r="V451" s="83"/>
      <c r="W451" s="42"/>
      <c r="X451" s="42"/>
      <c r="Y451" s="42"/>
      <c r="Z451" s="42"/>
      <c r="AA451" s="42"/>
      <c r="AB451" s="42"/>
      <c r="AC451" s="42"/>
      <c r="AD451" s="42"/>
      <c r="AE451" s="42"/>
    </row>
    <row r="452">
      <c r="A452" s="95"/>
      <c r="B452" s="95"/>
      <c r="C452" s="54"/>
      <c r="D452" s="83"/>
      <c r="E452" s="96"/>
      <c r="F452" s="42"/>
      <c r="G452" s="97"/>
      <c r="H452" s="96"/>
      <c r="I452" s="96"/>
      <c r="J452" s="96"/>
      <c r="K452" s="99"/>
      <c r="L452" s="96"/>
      <c r="M452" s="96"/>
      <c r="N452" s="42"/>
      <c r="O452" s="42"/>
      <c r="P452" s="83"/>
      <c r="Q452" s="83"/>
      <c r="R452" s="42"/>
      <c r="S452" s="87"/>
      <c r="T452" s="83"/>
      <c r="U452" s="83"/>
      <c r="V452" s="83"/>
      <c r="W452" s="42"/>
      <c r="X452" s="42"/>
      <c r="Y452" s="42"/>
      <c r="Z452" s="42"/>
      <c r="AA452" s="42"/>
      <c r="AB452" s="42"/>
      <c r="AC452" s="42"/>
      <c r="AD452" s="42"/>
      <c r="AE452" s="42"/>
    </row>
    <row r="453">
      <c r="A453" s="95"/>
      <c r="B453" s="95"/>
      <c r="C453" s="54"/>
      <c r="D453" s="83"/>
      <c r="E453" s="96"/>
      <c r="F453" s="42"/>
      <c r="G453" s="97"/>
      <c r="H453" s="96"/>
      <c r="I453" s="96"/>
      <c r="J453" s="96"/>
      <c r="K453" s="99"/>
      <c r="L453" s="96"/>
      <c r="M453" s="96"/>
      <c r="N453" s="42"/>
      <c r="O453" s="42"/>
      <c r="P453" s="83"/>
      <c r="Q453" s="83"/>
      <c r="R453" s="42"/>
      <c r="S453" s="87"/>
      <c r="T453" s="83"/>
      <c r="U453" s="83"/>
      <c r="V453" s="83"/>
      <c r="W453" s="42"/>
      <c r="X453" s="42"/>
      <c r="Y453" s="42"/>
      <c r="Z453" s="42"/>
      <c r="AA453" s="42"/>
      <c r="AB453" s="42"/>
      <c r="AC453" s="42"/>
      <c r="AD453" s="42"/>
      <c r="AE453" s="42"/>
    </row>
    <row r="454">
      <c r="A454" s="95"/>
      <c r="B454" s="95"/>
      <c r="C454" s="54"/>
      <c r="D454" s="83"/>
      <c r="E454" s="96"/>
      <c r="F454" s="42"/>
      <c r="G454" s="97"/>
      <c r="H454" s="96"/>
      <c r="I454" s="96"/>
      <c r="J454" s="96"/>
      <c r="K454" s="99"/>
      <c r="L454" s="96"/>
      <c r="M454" s="96"/>
      <c r="N454" s="42"/>
      <c r="O454" s="42"/>
      <c r="P454" s="83"/>
      <c r="Q454" s="83"/>
      <c r="R454" s="42"/>
      <c r="S454" s="87"/>
      <c r="T454" s="83"/>
      <c r="U454" s="83"/>
      <c r="V454" s="83"/>
      <c r="W454" s="42"/>
      <c r="X454" s="42"/>
      <c r="Y454" s="42"/>
      <c r="Z454" s="42"/>
      <c r="AA454" s="42"/>
      <c r="AB454" s="42"/>
      <c r="AC454" s="42"/>
      <c r="AD454" s="42"/>
      <c r="AE454" s="42"/>
    </row>
    <row r="455">
      <c r="A455" s="95"/>
      <c r="B455" s="95"/>
      <c r="C455" s="54"/>
      <c r="D455" s="83"/>
      <c r="E455" s="96"/>
      <c r="F455" s="42"/>
      <c r="G455" s="97"/>
      <c r="H455" s="96"/>
      <c r="I455" s="96"/>
      <c r="J455" s="96"/>
      <c r="K455" s="99"/>
      <c r="L455" s="96"/>
      <c r="M455" s="96"/>
      <c r="N455" s="42"/>
      <c r="O455" s="42"/>
      <c r="P455" s="83"/>
      <c r="Q455" s="83"/>
      <c r="R455" s="42"/>
      <c r="S455" s="87"/>
      <c r="T455" s="83"/>
      <c r="U455" s="83"/>
      <c r="V455" s="83"/>
      <c r="W455" s="42"/>
      <c r="X455" s="42"/>
      <c r="Y455" s="42"/>
      <c r="Z455" s="42"/>
      <c r="AA455" s="42"/>
      <c r="AB455" s="42"/>
      <c r="AC455" s="42"/>
      <c r="AD455" s="42"/>
      <c r="AE455" s="42"/>
    </row>
    <row r="456">
      <c r="A456" s="95"/>
      <c r="B456" s="95"/>
      <c r="C456" s="54"/>
      <c r="D456" s="83"/>
      <c r="E456" s="96"/>
      <c r="F456" s="42"/>
      <c r="G456" s="97"/>
      <c r="H456" s="96"/>
      <c r="I456" s="96"/>
      <c r="J456" s="96"/>
      <c r="K456" s="99"/>
      <c r="L456" s="96"/>
      <c r="M456" s="96"/>
      <c r="N456" s="42"/>
      <c r="O456" s="42"/>
      <c r="P456" s="83"/>
      <c r="Q456" s="83"/>
      <c r="R456" s="42"/>
      <c r="S456" s="87"/>
      <c r="T456" s="83"/>
      <c r="U456" s="83"/>
      <c r="V456" s="83"/>
      <c r="W456" s="42"/>
      <c r="X456" s="42"/>
      <c r="Y456" s="42"/>
      <c r="Z456" s="42"/>
      <c r="AA456" s="42"/>
      <c r="AB456" s="42"/>
      <c r="AC456" s="42"/>
      <c r="AD456" s="42"/>
      <c r="AE456" s="42"/>
    </row>
    <row r="457">
      <c r="A457" s="95"/>
      <c r="B457" s="95"/>
      <c r="C457" s="54"/>
      <c r="D457" s="83"/>
      <c r="E457" s="96"/>
      <c r="F457" s="42"/>
      <c r="G457" s="97"/>
      <c r="H457" s="96"/>
      <c r="I457" s="96"/>
      <c r="J457" s="96"/>
      <c r="K457" s="99"/>
      <c r="L457" s="96"/>
      <c r="M457" s="96"/>
      <c r="N457" s="42"/>
      <c r="O457" s="42"/>
      <c r="P457" s="83"/>
      <c r="Q457" s="83"/>
      <c r="R457" s="42"/>
      <c r="S457" s="87"/>
      <c r="T457" s="83"/>
      <c r="U457" s="83"/>
      <c r="V457" s="83"/>
      <c r="W457" s="42"/>
      <c r="X457" s="42"/>
      <c r="Y457" s="42"/>
      <c r="Z457" s="42"/>
      <c r="AA457" s="42"/>
      <c r="AB457" s="42"/>
      <c r="AC457" s="42"/>
      <c r="AD457" s="42"/>
      <c r="AE457" s="42"/>
    </row>
    <row r="458">
      <c r="A458" s="95"/>
      <c r="B458" s="95"/>
      <c r="C458" s="54"/>
      <c r="D458" s="83"/>
      <c r="E458" s="96"/>
      <c r="F458" s="42"/>
      <c r="G458" s="97"/>
      <c r="H458" s="96"/>
      <c r="I458" s="96"/>
      <c r="J458" s="96"/>
      <c r="K458" s="99"/>
      <c r="L458" s="96"/>
      <c r="M458" s="96"/>
      <c r="N458" s="42"/>
      <c r="O458" s="42"/>
      <c r="P458" s="83"/>
      <c r="Q458" s="83"/>
      <c r="R458" s="42"/>
      <c r="S458" s="87"/>
      <c r="T458" s="83"/>
      <c r="U458" s="83"/>
      <c r="V458" s="83"/>
      <c r="W458" s="42"/>
      <c r="X458" s="42"/>
      <c r="Y458" s="42"/>
      <c r="Z458" s="42"/>
      <c r="AA458" s="42"/>
      <c r="AB458" s="42"/>
      <c r="AC458" s="42"/>
      <c r="AD458" s="42"/>
      <c r="AE458" s="42"/>
    </row>
    <row r="459">
      <c r="A459" s="95"/>
      <c r="B459" s="95"/>
      <c r="C459" s="54"/>
      <c r="D459" s="83"/>
      <c r="E459" s="96"/>
      <c r="F459" s="42"/>
      <c r="G459" s="97"/>
      <c r="H459" s="96"/>
      <c r="I459" s="96"/>
      <c r="J459" s="96"/>
      <c r="K459" s="99"/>
      <c r="L459" s="96"/>
      <c r="M459" s="96"/>
      <c r="N459" s="42"/>
      <c r="O459" s="42"/>
      <c r="P459" s="83"/>
      <c r="Q459" s="83"/>
      <c r="R459" s="42"/>
      <c r="S459" s="87"/>
      <c r="T459" s="83"/>
      <c r="U459" s="83"/>
      <c r="V459" s="83"/>
      <c r="W459" s="42"/>
      <c r="X459" s="42"/>
      <c r="Y459" s="42"/>
      <c r="Z459" s="42"/>
      <c r="AA459" s="42"/>
      <c r="AB459" s="42"/>
      <c r="AC459" s="42"/>
      <c r="AD459" s="42"/>
      <c r="AE459" s="42"/>
    </row>
    <row r="460">
      <c r="A460" s="95"/>
      <c r="B460" s="95"/>
      <c r="C460" s="54"/>
      <c r="D460" s="83"/>
      <c r="E460" s="96"/>
      <c r="F460" s="42"/>
      <c r="G460" s="97"/>
      <c r="H460" s="96"/>
      <c r="I460" s="96"/>
      <c r="J460" s="96"/>
      <c r="K460" s="99"/>
      <c r="L460" s="96"/>
      <c r="M460" s="96"/>
      <c r="N460" s="42"/>
      <c r="O460" s="42"/>
      <c r="P460" s="83"/>
      <c r="Q460" s="83"/>
      <c r="R460" s="42"/>
      <c r="S460" s="87"/>
      <c r="T460" s="83"/>
      <c r="U460" s="83"/>
      <c r="V460" s="83"/>
      <c r="W460" s="42"/>
      <c r="X460" s="42"/>
      <c r="Y460" s="42"/>
      <c r="Z460" s="42"/>
      <c r="AA460" s="42"/>
      <c r="AB460" s="42"/>
      <c r="AC460" s="42"/>
      <c r="AD460" s="42"/>
      <c r="AE460" s="42"/>
    </row>
    <row r="461">
      <c r="A461" s="95"/>
      <c r="B461" s="95"/>
      <c r="C461" s="54"/>
      <c r="D461" s="83"/>
      <c r="E461" s="96"/>
      <c r="F461" s="42"/>
      <c r="G461" s="97"/>
      <c r="H461" s="96"/>
      <c r="I461" s="96"/>
      <c r="J461" s="96"/>
      <c r="K461" s="99"/>
      <c r="L461" s="96"/>
      <c r="M461" s="96"/>
      <c r="N461" s="42"/>
      <c r="O461" s="42"/>
      <c r="P461" s="83"/>
      <c r="Q461" s="83"/>
      <c r="R461" s="42"/>
      <c r="S461" s="87"/>
      <c r="T461" s="83"/>
      <c r="U461" s="83"/>
      <c r="V461" s="83"/>
      <c r="W461" s="42"/>
      <c r="X461" s="42"/>
      <c r="Y461" s="42"/>
      <c r="Z461" s="42"/>
      <c r="AA461" s="42"/>
      <c r="AB461" s="42"/>
      <c r="AC461" s="42"/>
      <c r="AD461" s="42"/>
      <c r="AE461" s="42"/>
    </row>
    <row r="462">
      <c r="A462" s="95"/>
      <c r="B462" s="95"/>
      <c r="C462" s="54"/>
      <c r="D462" s="83"/>
      <c r="E462" s="96"/>
      <c r="F462" s="42"/>
      <c r="G462" s="97"/>
      <c r="H462" s="96"/>
      <c r="I462" s="96"/>
      <c r="J462" s="96"/>
      <c r="K462" s="99"/>
      <c r="L462" s="96"/>
      <c r="M462" s="96"/>
      <c r="N462" s="42"/>
      <c r="O462" s="42"/>
      <c r="P462" s="83"/>
      <c r="Q462" s="83"/>
      <c r="R462" s="42"/>
      <c r="S462" s="87"/>
      <c r="T462" s="83"/>
      <c r="U462" s="83"/>
      <c r="V462" s="83"/>
      <c r="W462" s="42"/>
      <c r="X462" s="42"/>
      <c r="Y462" s="42"/>
      <c r="Z462" s="42"/>
      <c r="AA462" s="42"/>
      <c r="AB462" s="42"/>
      <c r="AC462" s="42"/>
      <c r="AD462" s="42"/>
      <c r="AE462" s="42"/>
    </row>
    <row r="463">
      <c r="A463" s="95"/>
      <c r="B463" s="95"/>
      <c r="C463" s="54"/>
      <c r="D463" s="83"/>
      <c r="E463" s="96"/>
      <c r="F463" s="42"/>
      <c r="G463" s="97"/>
      <c r="H463" s="96"/>
      <c r="I463" s="96"/>
      <c r="J463" s="96"/>
      <c r="K463" s="99"/>
      <c r="L463" s="96"/>
      <c r="M463" s="96"/>
      <c r="N463" s="42"/>
      <c r="O463" s="42"/>
      <c r="P463" s="83"/>
      <c r="Q463" s="83"/>
      <c r="R463" s="42"/>
      <c r="S463" s="87"/>
      <c r="T463" s="83"/>
      <c r="U463" s="83"/>
      <c r="V463" s="83"/>
      <c r="W463" s="42"/>
      <c r="X463" s="42"/>
      <c r="Y463" s="42"/>
      <c r="Z463" s="42"/>
      <c r="AA463" s="42"/>
      <c r="AB463" s="42"/>
      <c r="AC463" s="42"/>
      <c r="AD463" s="42"/>
      <c r="AE463" s="42"/>
    </row>
    <row r="464">
      <c r="A464" s="95"/>
      <c r="B464" s="95"/>
      <c r="C464" s="54"/>
      <c r="D464" s="83"/>
      <c r="E464" s="96"/>
      <c r="F464" s="42"/>
      <c r="G464" s="97"/>
      <c r="H464" s="96"/>
      <c r="I464" s="96"/>
      <c r="J464" s="96"/>
      <c r="K464" s="99"/>
      <c r="L464" s="96"/>
      <c r="M464" s="96"/>
      <c r="N464" s="42"/>
      <c r="O464" s="42"/>
      <c r="P464" s="83"/>
      <c r="Q464" s="83"/>
      <c r="R464" s="42"/>
      <c r="S464" s="87"/>
      <c r="T464" s="83"/>
      <c r="U464" s="83"/>
      <c r="V464" s="83"/>
      <c r="W464" s="42"/>
      <c r="X464" s="42"/>
      <c r="Y464" s="42"/>
      <c r="Z464" s="42"/>
      <c r="AA464" s="42"/>
      <c r="AB464" s="42"/>
      <c r="AC464" s="42"/>
      <c r="AD464" s="42"/>
      <c r="AE464" s="42"/>
    </row>
    <row r="465">
      <c r="A465" s="95"/>
      <c r="B465" s="95"/>
      <c r="C465" s="54"/>
      <c r="D465" s="83"/>
      <c r="E465" s="96"/>
      <c r="F465" s="42"/>
      <c r="G465" s="97"/>
      <c r="H465" s="96"/>
      <c r="I465" s="96"/>
      <c r="J465" s="96"/>
      <c r="K465" s="99"/>
      <c r="L465" s="96"/>
      <c r="M465" s="96"/>
      <c r="N465" s="42"/>
      <c r="O465" s="42"/>
      <c r="P465" s="83"/>
      <c r="Q465" s="83"/>
      <c r="R465" s="42"/>
      <c r="S465" s="87"/>
      <c r="T465" s="83"/>
      <c r="U465" s="83"/>
      <c r="V465" s="83"/>
      <c r="W465" s="42"/>
      <c r="X465" s="42"/>
      <c r="Y465" s="42"/>
      <c r="Z465" s="42"/>
      <c r="AA465" s="42"/>
      <c r="AB465" s="42"/>
      <c r="AC465" s="42"/>
      <c r="AD465" s="42"/>
      <c r="AE465" s="42"/>
    </row>
    <row r="466">
      <c r="A466" s="95"/>
      <c r="B466" s="95"/>
      <c r="C466" s="54"/>
      <c r="D466" s="83"/>
      <c r="E466" s="96"/>
      <c r="F466" s="42"/>
      <c r="G466" s="97"/>
      <c r="H466" s="96"/>
      <c r="I466" s="96"/>
      <c r="J466" s="96"/>
      <c r="K466" s="99"/>
      <c r="L466" s="96"/>
      <c r="M466" s="96"/>
      <c r="N466" s="42"/>
      <c r="O466" s="42"/>
      <c r="P466" s="83"/>
      <c r="Q466" s="83"/>
      <c r="R466" s="42"/>
      <c r="S466" s="87"/>
      <c r="T466" s="83"/>
      <c r="U466" s="83"/>
      <c r="V466" s="83"/>
      <c r="W466" s="42"/>
      <c r="X466" s="42"/>
      <c r="Y466" s="42"/>
      <c r="Z466" s="42"/>
      <c r="AA466" s="42"/>
      <c r="AB466" s="42"/>
      <c r="AC466" s="42"/>
      <c r="AD466" s="42"/>
      <c r="AE466" s="42"/>
    </row>
    <row r="467">
      <c r="A467" s="95"/>
      <c r="B467" s="95"/>
      <c r="C467" s="54"/>
      <c r="D467" s="83"/>
      <c r="E467" s="96"/>
      <c r="F467" s="42"/>
      <c r="G467" s="97"/>
      <c r="H467" s="96"/>
      <c r="I467" s="96"/>
      <c r="J467" s="96"/>
      <c r="K467" s="99"/>
      <c r="L467" s="96"/>
      <c r="M467" s="96"/>
      <c r="N467" s="42"/>
      <c r="O467" s="42"/>
      <c r="P467" s="83"/>
      <c r="Q467" s="83"/>
      <c r="R467" s="42"/>
      <c r="S467" s="87"/>
      <c r="T467" s="83"/>
      <c r="U467" s="83"/>
      <c r="V467" s="83"/>
      <c r="W467" s="42"/>
      <c r="X467" s="42"/>
      <c r="Y467" s="42"/>
      <c r="Z467" s="42"/>
      <c r="AA467" s="42"/>
      <c r="AB467" s="42"/>
      <c r="AC467" s="42"/>
      <c r="AD467" s="42"/>
      <c r="AE467" s="42"/>
    </row>
    <row r="468">
      <c r="A468" s="95"/>
      <c r="B468" s="95"/>
      <c r="C468" s="54"/>
      <c r="D468" s="83"/>
      <c r="E468" s="96"/>
      <c r="F468" s="42"/>
      <c r="G468" s="97"/>
      <c r="H468" s="96"/>
      <c r="I468" s="96"/>
      <c r="J468" s="96"/>
      <c r="K468" s="99"/>
      <c r="L468" s="96"/>
      <c r="M468" s="96"/>
      <c r="N468" s="42"/>
      <c r="O468" s="42"/>
      <c r="P468" s="83"/>
      <c r="Q468" s="83"/>
      <c r="R468" s="42"/>
      <c r="S468" s="87"/>
      <c r="T468" s="83"/>
      <c r="U468" s="83"/>
      <c r="V468" s="83"/>
      <c r="W468" s="42"/>
      <c r="X468" s="42"/>
      <c r="Y468" s="42"/>
      <c r="Z468" s="42"/>
      <c r="AA468" s="42"/>
      <c r="AB468" s="42"/>
      <c r="AC468" s="42"/>
      <c r="AD468" s="42"/>
      <c r="AE468" s="42"/>
    </row>
    <row r="469">
      <c r="A469" s="95"/>
      <c r="B469" s="95"/>
      <c r="C469" s="54"/>
      <c r="D469" s="83"/>
      <c r="E469" s="96"/>
      <c r="F469" s="42"/>
      <c r="G469" s="97"/>
      <c r="H469" s="96"/>
      <c r="I469" s="96"/>
      <c r="J469" s="96"/>
      <c r="K469" s="99"/>
      <c r="L469" s="96"/>
      <c r="M469" s="96"/>
      <c r="N469" s="42"/>
      <c r="O469" s="42"/>
      <c r="P469" s="83"/>
      <c r="Q469" s="83"/>
      <c r="R469" s="42"/>
      <c r="S469" s="87"/>
      <c r="T469" s="83"/>
      <c r="U469" s="83"/>
      <c r="V469" s="83"/>
      <c r="W469" s="42"/>
      <c r="X469" s="42"/>
      <c r="Y469" s="42"/>
      <c r="Z469" s="42"/>
      <c r="AA469" s="42"/>
      <c r="AB469" s="42"/>
      <c r="AC469" s="42"/>
      <c r="AD469" s="42"/>
      <c r="AE469" s="42"/>
    </row>
    <row r="470">
      <c r="A470" s="95"/>
      <c r="B470" s="95"/>
      <c r="C470" s="54"/>
      <c r="D470" s="83"/>
      <c r="E470" s="96"/>
      <c r="F470" s="42"/>
      <c r="G470" s="97"/>
      <c r="H470" s="96"/>
      <c r="I470" s="96"/>
      <c r="J470" s="96"/>
      <c r="K470" s="99"/>
      <c r="L470" s="96"/>
      <c r="M470" s="96"/>
      <c r="N470" s="42"/>
      <c r="O470" s="42"/>
      <c r="P470" s="83"/>
      <c r="Q470" s="83"/>
      <c r="R470" s="42"/>
      <c r="S470" s="87"/>
      <c r="T470" s="83"/>
      <c r="U470" s="83"/>
      <c r="V470" s="83"/>
      <c r="W470" s="42"/>
      <c r="X470" s="42"/>
      <c r="Y470" s="42"/>
      <c r="Z470" s="42"/>
      <c r="AA470" s="42"/>
      <c r="AB470" s="42"/>
      <c r="AC470" s="42"/>
      <c r="AD470" s="42"/>
      <c r="AE470" s="42"/>
    </row>
    <row r="471">
      <c r="A471" s="95"/>
      <c r="B471" s="95"/>
      <c r="C471" s="54"/>
      <c r="D471" s="83"/>
      <c r="E471" s="96"/>
      <c r="F471" s="42"/>
      <c r="G471" s="97"/>
      <c r="H471" s="96"/>
      <c r="I471" s="96"/>
      <c r="J471" s="96"/>
      <c r="K471" s="99"/>
      <c r="L471" s="96"/>
      <c r="M471" s="96"/>
      <c r="N471" s="42"/>
      <c r="O471" s="42"/>
      <c r="P471" s="83"/>
      <c r="Q471" s="83"/>
      <c r="R471" s="42"/>
      <c r="S471" s="87"/>
      <c r="T471" s="83"/>
      <c r="U471" s="83"/>
      <c r="V471" s="83"/>
      <c r="W471" s="42"/>
      <c r="X471" s="42"/>
      <c r="Y471" s="42"/>
      <c r="Z471" s="42"/>
      <c r="AA471" s="42"/>
      <c r="AB471" s="42"/>
      <c r="AC471" s="42"/>
      <c r="AD471" s="42"/>
      <c r="AE471" s="42"/>
    </row>
    <row r="472">
      <c r="A472" s="95"/>
      <c r="B472" s="95"/>
      <c r="C472" s="54"/>
      <c r="D472" s="83"/>
      <c r="E472" s="96"/>
      <c r="F472" s="42"/>
      <c r="G472" s="97"/>
      <c r="H472" s="96"/>
      <c r="I472" s="96"/>
      <c r="J472" s="96"/>
      <c r="K472" s="99"/>
      <c r="L472" s="96"/>
      <c r="M472" s="96"/>
      <c r="N472" s="42"/>
      <c r="O472" s="42"/>
      <c r="P472" s="83"/>
      <c r="Q472" s="83"/>
      <c r="R472" s="42"/>
      <c r="S472" s="87"/>
      <c r="T472" s="83"/>
      <c r="U472" s="83"/>
      <c r="V472" s="83"/>
      <c r="W472" s="42"/>
      <c r="X472" s="42"/>
      <c r="Y472" s="42"/>
      <c r="Z472" s="42"/>
      <c r="AA472" s="42"/>
      <c r="AB472" s="42"/>
      <c r="AC472" s="42"/>
      <c r="AD472" s="42"/>
      <c r="AE472" s="42"/>
    </row>
    <row r="473">
      <c r="A473" s="95"/>
      <c r="B473" s="95"/>
      <c r="C473" s="54"/>
      <c r="D473" s="83"/>
      <c r="E473" s="96"/>
      <c r="F473" s="42"/>
      <c r="G473" s="97"/>
      <c r="H473" s="96"/>
      <c r="I473" s="96"/>
      <c r="J473" s="96"/>
      <c r="K473" s="99"/>
      <c r="L473" s="96"/>
      <c r="M473" s="96"/>
      <c r="N473" s="42"/>
      <c r="O473" s="42"/>
      <c r="P473" s="83"/>
      <c r="Q473" s="83"/>
      <c r="R473" s="42"/>
      <c r="S473" s="87"/>
      <c r="T473" s="83"/>
      <c r="U473" s="83"/>
      <c r="V473" s="83"/>
      <c r="W473" s="42"/>
      <c r="X473" s="42"/>
      <c r="Y473" s="42"/>
      <c r="Z473" s="42"/>
      <c r="AA473" s="42"/>
      <c r="AB473" s="42"/>
      <c r="AC473" s="42"/>
      <c r="AD473" s="42"/>
      <c r="AE473" s="42"/>
    </row>
    <row r="474">
      <c r="A474" s="95"/>
      <c r="B474" s="95"/>
      <c r="C474" s="54"/>
      <c r="D474" s="83"/>
      <c r="E474" s="96"/>
      <c r="F474" s="42"/>
      <c r="G474" s="97"/>
      <c r="H474" s="96"/>
      <c r="I474" s="96"/>
      <c r="J474" s="96"/>
      <c r="K474" s="99"/>
      <c r="L474" s="96"/>
      <c r="M474" s="96"/>
      <c r="N474" s="42"/>
      <c r="O474" s="42"/>
      <c r="P474" s="83"/>
      <c r="Q474" s="83"/>
      <c r="R474" s="42"/>
      <c r="S474" s="87"/>
      <c r="T474" s="83"/>
      <c r="U474" s="83"/>
      <c r="V474" s="83"/>
      <c r="W474" s="42"/>
      <c r="X474" s="42"/>
      <c r="Y474" s="42"/>
      <c r="Z474" s="42"/>
      <c r="AA474" s="42"/>
      <c r="AB474" s="42"/>
      <c r="AC474" s="42"/>
      <c r="AD474" s="42"/>
      <c r="AE474" s="42"/>
    </row>
    <row r="475">
      <c r="A475" s="95"/>
      <c r="B475" s="95"/>
      <c r="C475" s="54"/>
      <c r="D475" s="83"/>
      <c r="E475" s="96"/>
      <c r="F475" s="42"/>
      <c r="G475" s="97"/>
      <c r="H475" s="96"/>
      <c r="I475" s="96"/>
      <c r="J475" s="96"/>
      <c r="K475" s="99"/>
      <c r="L475" s="96"/>
      <c r="M475" s="96"/>
      <c r="N475" s="42"/>
      <c r="O475" s="42"/>
      <c r="P475" s="83"/>
      <c r="Q475" s="83"/>
      <c r="R475" s="42"/>
      <c r="S475" s="87"/>
      <c r="T475" s="83"/>
      <c r="U475" s="83"/>
      <c r="V475" s="83"/>
      <c r="W475" s="42"/>
      <c r="X475" s="42"/>
      <c r="Y475" s="42"/>
      <c r="Z475" s="42"/>
      <c r="AA475" s="42"/>
      <c r="AB475" s="42"/>
      <c r="AC475" s="42"/>
      <c r="AD475" s="42"/>
      <c r="AE475" s="42"/>
    </row>
    <row r="476">
      <c r="A476" s="95"/>
      <c r="B476" s="95"/>
      <c r="C476" s="54"/>
      <c r="D476" s="83"/>
      <c r="E476" s="96"/>
      <c r="F476" s="42"/>
      <c r="G476" s="97"/>
      <c r="H476" s="96"/>
      <c r="I476" s="96"/>
      <c r="J476" s="96"/>
      <c r="K476" s="99"/>
      <c r="L476" s="96"/>
      <c r="M476" s="96"/>
      <c r="N476" s="42"/>
      <c r="O476" s="42"/>
      <c r="P476" s="83"/>
      <c r="Q476" s="83"/>
      <c r="R476" s="42"/>
      <c r="S476" s="87"/>
      <c r="T476" s="83"/>
      <c r="U476" s="83"/>
      <c r="V476" s="83"/>
      <c r="W476" s="42"/>
      <c r="X476" s="42"/>
      <c r="Y476" s="42"/>
      <c r="Z476" s="42"/>
      <c r="AA476" s="42"/>
      <c r="AB476" s="42"/>
      <c r="AC476" s="42"/>
      <c r="AD476" s="42"/>
      <c r="AE476" s="42"/>
    </row>
    <row r="477">
      <c r="A477" s="95"/>
      <c r="B477" s="95"/>
      <c r="C477" s="54"/>
      <c r="D477" s="83"/>
      <c r="E477" s="96"/>
      <c r="F477" s="42"/>
      <c r="G477" s="97"/>
      <c r="H477" s="96"/>
      <c r="I477" s="96"/>
      <c r="J477" s="96"/>
      <c r="K477" s="99"/>
      <c r="L477" s="96"/>
      <c r="M477" s="96"/>
      <c r="N477" s="42"/>
      <c r="O477" s="42"/>
      <c r="P477" s="83"/>
      <c r="Q477" s="83"/>
      <c r="R477" s="42"/>
      <c r="S477" s="87"/>
      <c r="T477" s="83"/>
      <c r="U477" s="83"/>
      <c r="V477" s="83"/>
      <c r="W477" s="42"/>
      <c r="X477" s="42"/>
      <c r="Y477" s="42"/>
      <c r="Z477" s="42"/>
      <c r="AA477" s="42"/>
      <c r="AB477" s="42"/>
      <c r="AC477" s="42"/>
      <c r="AD477" s="42"/>
      <c r="AE477" s="42"/>
    </row>
    <row r="478">
      <c r="A478" s="95"/>
      <c r="B478" s="95"/>
      <c r="C478" s="54"/>
      <c r="D478" s="83"/>
      <c r="E478" s="96"/>
      <c r="F478" s="42"/>
      <c r="G478" s="97"/>
      <c r="H478" s="96"/>
      <c r="I478" s="96"/>
      <c r="J478" s="96"/>
      <c r="K478" s="99"/>
      <c r="L478" s="96"/>
      <c r="M478" s="96"/>
      <c r="N478" s="42"/>
      <c r="O478" s="42"/>
      <c r="P478" s="83"/>
      <c r="Q478" s="83"/>
      <c r="R478" s="42"/>
      <c r="S478" s="87"/>
      <c r="T478" s="83"/>
      <c r="U478" s="83"/>
      <c r="V478" s="83"/>
      <c r="W478" s="42"/>
      <c r="X478" s="42"/>
      <c r="Y478" s="42"/>
      <c r="Z478" s="42"/>
      <c r="AA478" s="42"/>
      <c r="AB478" s="42"/>
      <c r="AC478" s="42"/>
      <c r="AD478" s="42"/>
      <c r="AE478" s="42"/>
    </row>
    <row r="479">
      <c r="A479" s="95"/>
      <c r="B479" s="95"/>
      <c r="C479" s="54"/>
      <c r="D479" s="83"/>
      <c r="E479" s="96"/>
      <c r="F479" s="42"/>
      <c r="G479" s="97"/>
      <c r="H479" s="96"/>
      <c r="I479" s="96"/>
      <c r="J479" s="96"/>
      <c r="K479" s="99"/>
      <c r="L479" s="96"/>
      <c r="M479" s="96"/>
      <c r="N479" s="42"/>
      <c r="O479" s="42"/>
      <c r="P479" s="83"/>
      <c r="Q479" s="83"/>
      <c r="R479" s="42"/>
      <c r="S479" s="87"/>
      <c r="T479" s="83"/>
      <c r="U479" s="83"/>
      <c r="V479" s="83"/>
      <c r="W479" s="42"/>
      <c r="X479" s="42"/>
      <c r="Y479" s="42"/>
      <c r="Z479" s="42"/>
      <c r="AA479" s="42"/>
      <c r="AB479" s="42"/>
      <c r="AC479" s="42"/>
      <c r="AD479" s="42"/>
      <c r="AE479" s="42"/>
    </row>
    <row r="480">
      <c r="A480" s="95"/>
      <c r="B480" s="95"/>
      <c r="C480" s="54"/>
      <c r="D480" s="83"/>
      <c r="E480" s="96"/>
      <c r="F480" s="42"/>
      <c r="G480" s="97"/>
      <c r="H480" s="96"/>
      <c r="I480" s="96"/>
      <c r="J480" s="96"/>
      <c r="K480" s="99"/>
      <c r="L480" s="96"/>
      <c r="M480" s="96"/>
      <c r="N480" s="42"/>
      <c r="O480" s="42"/>
      <c r="P480" s="83"/>
      <c r="Q480" s="83"/>
      <c r="R480" s="42"/>
      <c r="S480" s="87"/>
      <c r="T480" s="83"/>
      <c r="U480" s="83"/>
      <c r="V480" s="83"/>
      <c r="W480" s="42"/>
      <c r="X480" s="42"/>
      <c r="Y480" s="42"/>
      <c r="Z480" s="42"/>
      <c r="AA480" s="42"/>
      <c r="AB480" s="42"/>
      <c r="AC480" s="42"/>
      <c r="AD480" s="42"/>
      <c r="AE480" s="42"/>
    </row>
    <row r="481">
      <c r="A481" s="95"/>
      <c r="B481" s="95"/>
      <c r="C481" s="54"/>
      <c r="D481" s="83"/>
      <c r="E481" s="96"/>
      <c r="F481" s="42"/>
      <c r="G481" s="97"/>
      <c r="H481" s="96"/>
      <c r="I481" s="96"/>
      <c r="J481" s="96"/>
      <c r="K481" s="99"/>
      <c r="L481" s="96"/>
      <c r="M481" s="96"/>
      <c r="N481" s="42"/>
      <c r="O481" s="42"/>
      <c r="P481" s="83"/>
      <c r="Q481" s="83"/>
      <c r="R481" s="42"/>
      <c r="S481" s="87"/>
      <c r="T481" s="83"/>
      <c r="U481" s="83"/>
      <c r="V481" s="83"/>
      <c r="W481" s="42"/>
      <c r="X481" s="42"/>
      <c r="Y481" s="42"/>
      <c r="Z481" s="42"/>
      <c r="AA481" s="42"/>
      <c r="AB481" s="42"/>
      <c r="AC481" s="42"/>
      <c r="AD481" s="42"/>
      <c r="AE481" s="42"/>
    </row>
    <row r="482">
      <c r="A482" s="95"/>
      <c r="B482" s="95"/>
      <c r="C482" s="54"/>
      <c r="D482" s="83"/>
      <c r="E482" s="96"/>
      <c r="F482" s="42"/>
      <c r="G482" s="97"/>
      <c r="H482" s="96"/>
      <c r="I482" s="96"/>
      <c r="J482" s="96"/>
      <c r="K482" s="99"/>
      <c r="L482" s="96"/>
      <c r="M482" s="96"/>
      <c r="N482" s="42"/>
      <c r="O482" s="42"/>
      <c r="P482" s="83"/>
      <c r="Q482" s="83"/>
      <c r="R482" s="42"/>
      <c r="S482" s="87"/>
      <c r="T482" s="83"/>
      <c r="U482" s="83"/>
      <c r="V482" s="83"/>
      <c r="W482" s="42"/>
      <c r="X482" s="42"/>
      <c r="Y482" s="42"/>
      <c r="Z482" s="42"/>
      <c r="AA482" s="42"/>
      <c r="AB482" s="42"/>
      <c r="AC482" s="42"/>
      <c r="AD482" s="42"/>
      <c r="AE482" s="42"/>
    </row>
    <row r="483">
      <c r="A483" s="95"/>
      <c r="B483" s="95"/>
      <c r="C483" s="54"/>
      <c r="D483" s="83"/>
      <c r="E483" s="96"/>
      <c r="F483" s="42"/>
      <c r="G483" s="97"/>
      <c r="H483" s="96"/>
      <c r="I483" s="96"/>
      <c r="J483" s="96"/>
      <c r="K483" s="99"/>
      <c r="L483" s="96"/>
      <c r="M483" s="96"/>
      <c r="N483" s="42"/>
      <c r="O483" s="42"/>
      <c r="P483" s="83"/>
      <c r="Q483" s="83"/>
      <c r="R483" s="42"/>
      <c r="S483" s="87"/>
      <c r="T483" s="83"/>
      <c r="U483" s="83"/>
      <c r="V483" s="83"/>
      <c r="W483" s="42"/>
      <c r="X483" s="42"/>
      <c r="Y483" s="42"/>
      <c r="Z483" s="42"/>
      <c r="AA483" s="42"/>
      <c r="AB483" s="42"/>
      <c r="AC483" s="42"/>
      <c r="AD483" s="42"/>
      <c r="AE483" s="42"/>
    </row>
    <row r="484">
      <c r="A484" s="95"/>
      <c r="B484" s="95"/>
      <c r="C484" s="54"/>
      <c r="D484" s="83"/>
      <c r="E484" s="96"/>
      <c r="F484" s="42"/>
      <c r="G484" s="97"/>
      <c r="H484" s="96"/>
      <c r="I484" s="96"/>
      <c r="J484" s="96"/>
      <c r="K484" s="99"/>
      <c r="L484" s="96"/>
      <c r="M484" s="96"/>
      <c r="N484" s="42"/>
      <c r="O484" s="42"/>
      <c r="P484" s="83"/>
      <c r="Q484" s="83"/>
      <c r="R484" s="42"/>
      <c r="S484" s="87"/>
      <c r="T484" s="83"/>
      <c r="U484" s="83"/>
      <c r="V484" s="83"/>
      <c r="W484" s="42"/>
      <c r="X484" s="42"/>
      <c r="Y484" s="42"/>
      <c r="Z484" s="42"/>
      <c r="AA484" s="42"/>
      <c r="AB484" s="42"/>
      <c r="AC484" s="42"/>
      <c r="AD484" s="42"/>
      <c r="AE484" s="42"/>
    </row>
    <row r="485">
      <c r="A485" s="95"/>
      <c r="B485" s="95"/>
      <c r="C485" s="54"/>
      <c r="D485" s="83"/>
      <c r="E485" s="96"/>
      <c r="F485" s="42"/>
      <c r="G485" s="97"/>
      <c r="H485" s="96"/>
      <c r="I485" s="96"/>
      <c r="J485" s="96"/>
      <c r="K485" s="99"/>
      <c r="L485" s="96"/>
      <c r="M485" s="96"/>
      <c r="N485" s="42"/>
      <c r="O485" s="42"/>
      <c r="P485" s="83"/>
      <c r="Q485" s="83"/>
      <c r="R485" s="42"/>
      <c r="S485" s="87"/>
      <c r="T485" s="83"/>
      <c r="U485" s="83"/>
      <c r="V485" s="83"/>
      <c r="W485" s="42"/>
      <c r="X485" s="42"/>
      <c r="Y485" s="42"/>
      <c r="Z485" s="42"/>
      <c r="AA485" s="42"/>
      <c r="AB485" s="42"/>
      <c r="AC485" s="42"/>
      <c r="AD485" s="42"/>
      <c r="AE485" s="42"/>
    </row>
    <row r="486">
      <c r="A486" s="95"/>
      <c r="B486" s="95"/>
      <c r="C486" s="54"/>
      <c r="D486" s="83"/>
      <c r="E486" s="96"/>
      <c r="F486" s="42"/>
      <c r="G486" s="97"/>
      <c r="H486" s="96"/>
      <c r="I486" s="96"/>
      <c r="J486" s="96"/>
      <c r="K486" s="99"/>
      <c r="L486" s="96"/>
      <c r="M486" s="96"/>
      <c r="N486" s="42"/>
      <c r="O486" s="42"/>
      <c r="P486" s="83"/>
      <c r="Q486" s="83"/>
      <c r="R486" s="42"/>
      <c r="S486" s="87"/>
      <c r="T486" s="83"/>
      <c r="U486" s="83"/>
      <c r="V486" s="83"/>
      <c r="W486" s="42"/>
      <c r="X486" s="42"/>
      <c r="Y486" s="42"/>
      <c r="Z486" s="42"/>
      <c r="AA486" s="42"/>
      <c r="AB486" s="42"/>
      <c r="AC486" s="42"/>
      <c r="AD486" s="42"/>
      <c r="AE486" s="42"/>
    </row>
    <row r="487">
      <c r="A487" s="95"/>
      <c r="B487" s="95"/>
      <c r="C487" s="54"/>
      <c r="D487" s="83"/>
      <c r="E487" s="96"/>
      <c r="F487" s="42"/>
      <c r="G487" s="97"/>
      <c r="H487" s="96"/>
      <c r="I487" s="96"/>
      <c r="J487" s="96"/>
      <c r="K487" s="99"/>
      <c r="L487" s="96"/>
      <c r="M487" s="96"/>
      <c r="N487" s="42"/>
      <c r="O487" s="42"/>
      <c r="P487" s="83"/>
      <c r="Q487" s="83"/>
      <c r="R487" s="42"/>
      <c r="S487" s="87"/>
      <c r="T487" s="83"/>
      <c r="U487" s="83"/>
      <c r="V487" s="83"/>
      <c r="W487" s="42"/>
      <c r="X487" s="42"/>
      <c r="Y487" s="42"/>
      <c r="Z487" s="42"/>
      <c r="AA487" s="42"/>
      <c r="AB487" s="42"/>
      <c r="AC487" s="42"/>
      <c r="AD487" s="42"/>
      <c r="AE487" s="42"/>
    </row>
    <row r="488">
      <c r="A488" s="95"/>
      <c r="B488" s="95"/>
      <c r="C488" s="54"/>
      <c r="D488" s="83"/>
      <c r="E488" s="96"/>
      <c r="F488" s="42"/>
      <c r="G488" s="97"/>
      <c r="H488" s="96"/>
      <c r="I488" s="96"/>
      <c r="J488" s="96"/>
      <c r="K488" s="99"/>
      <c r="L488" s="96"/>
      <c r="M488" s="96"/>
      <c r="N488" s="42"/>
      <c r="O488" s="42"/>
      <c r="P488" s="83"/>
      <c r="Q488" s="83"/>
      <c r="R488" s="42"/>
      <c r="S488" s="87"/>
      <c r="T488" s="83"/>
      <c r="U488" s="83"/>
      <c r="V488" s="83"/>
      <c r="W488" s="42"/>
      <c r="X488" s="42"/>
      <c r="Y488" s="42"/>
      <c r="Z488" s="42"/>
      <c r="AA488" s="42"/>
      <c r="AB488" s="42"/>
      <c r="AC488" s="42"/>
      <c r="AD488" s="42"/>
      <c r="AE488" s="42"/>
    </row>
    <row r="489">
      <c r="A489" s="95"/>
      <c r="B489" s="95"/>
      <c r="C489" s="54"/>
      <c r="D489" s="83"/>
      <c r="E489" s="96"/>
      <c r="F489" s="42"/>
      <c r="G489" s="97"/>
      <c r="H489" s="96"/>
      <c r="I489" s="96"/>
      <c r="J489" s="96"/>
      <c r="K489" s="99"/>
      <c r="L489" s="96"/>
      <c r="M489" s="96"/>
      <c r="N489" s="42"/>
      <c r="O489" s="42"/>
      <c r="P489" s="83"/>
      <c r="Q489" s="83"/>
      <c r="R489" s="42"/>
      <c r="S489" s="87"/>
      <c r="T489" s="83"/>
      <c r="U489" s="83"/>
      <c r="V489" s="83"/>
      <c r="W489" s="42"/>
      <c r="X489" s="42"/>
      <c r="Y489" s="42"/>
      <c r="Z489" s="42"/>
      <c r="AA489" s="42"/>
      <c r="AB489" s="42"/>
      <c r="AC489" s="42"/>
      <c r="AD489" s="42"/>
      <c r="AE489" s="42"/>
    </row>
    <row r="490">
      <c r="A490" s="95"/>
      <c r="B490" s="95"/>
      <c r="C490" s="54"/>
      <c r="D490" s="83"/>
      <c r="E490" s="96"/>
      <c r="F490" s="42"/>
      <c r="G490" s="97"/>
      <c r="H490" s="96"/>
      <c r="I490" s="96"/>
      <c r="J490" s="96"/>
      <c r="K490" s="99"/>
      <c r="L490" s="96"/>
      <c r="M490" s="96"/>
      <c r="N490" s="42"/>
      <c r="O490" s="42"/>
      <c r="P490" s="83"/>
      <c r="Q490" s="83"/>
      <c r="R490" s="42"/>
      <c r="S490" s="87"/>
      <c r="T490" s="83"/>
      <c r="U490" s="83"/>
      <c r="V490" s="83"/>
      <c r="W490" s="42"/>
      <c r="X490" s="42"/>
      <c r="Y490" s="42"/>
      <c r="Z490" s="42"/>
      <c r="AA490" s="42"/>
      <c r="AB490" s="42"/>
      <c r="AC490" s="42"/>
      <c r="AD490" s="42"/>
      <c r="AE490" s="42"/>
    </row>
    <row r="491">
      <c r="A491" s="95"/>
      <c r="B491" s="95"/>
      <c r="C491" s="54"/>
      <c r="D491" s="83"/>
      <c r="E491" s="96"/>
      <c r="F491" s="42"/>
      <c r="G491" s="97"/>
      <c r="H491" s="96"/>
      <c r="I491" s="96"/>
      <c r="J491" s="96"/>
      <c r="K491" s="99"/>
      <c r="L491" s="96"/>
      <c r="M491" s="96"/>
      <c r="N491" s="42"/>
      <c r="O491" s="42"/>
      <c r="P491" s="83"/>
      <c r="Q491" s="83"/>
      <c r="R491" s="42"/>
      <c r="S491" s="87"/>
      <c r="T491" s="83"/>
      <c r="U491" s="83"/>
      <c r="V491" s="83"/>
      <c r="W491" s="42"/>
      <c r="X491" s="42"/>
      <c r="Y491" s="42"/>
      <c r="Z491" s="42"/>
      <c r="AA491" s="42"/>
      <c r="AB491" s="42"/>
      <c r="AC491" s="42"/>
      <c r="AD491" s="42"/>
      <c r="AE491" s="42"/>
    </row>
    <row r="492">
      <c r="A492" s="95"/>
      <c r="B492" s="95"/>
      <c r="C492" s="54"/>
      <c r="D492" s="83"/>
      <c r="E492" s="96"/>
      <c r="F492" s="42"/>
      <c r="G492" s="97"/>
      <c r="H492" s="96"/>
      <c r="I492" s="96"/>
      <c r="J492" s="96"/>
      <c r="K492" s="99"/>
      <c r="L492" s="96"/>
      <c r="M492" s="96"/>
      <c r="N492" s="42"/>
      <c r="O492" s="42"/>
      <c r="P492" s="83"/>
      <c r="Q492" s="83"/>
      <c r="R492" s="42"/>
      <c r="S492" s="87"/>
      <c r="T492" s="83"/>
      <c r="U492" s="83"/>
      <c r="V492" s="83"/>
      <c r="W492" s="42"/>
      <c r="X492" s="42"/>
      <c r="Y492" s="42"/>
      <c r="Z492" s="42"/>
      <c r="AA492" s="42"/>
      <c r="AB492" s="42"/>
      <c r="AC492" s="42"/>
      <c r="AD492" s="42"/>
      <c r="AE492" s="42"/>
    </row>
    <row r="493">
      <c r="A493" s="95"/>
      <c r="B493" s="95"/>
      <c r="C493" s="54"/>
      <c r="D493" s="83"/>
      <c r="E493" s="96"/>
      <c r="F493" s="42"/>
      <c r="G493" s="97"/>
      <c r="H493" s="96"/>
      <c r="I493" s="96"/>
      <c r="J493" s="96"/>
      <c r="K493" s="99"/>
      <c r="L493" s="96"/>
      <c r="M493" s="96"/>
      <c r="N493" s="42"/>
      <c r="O493" s="42"/>
      <c r="P493" s="83"/>
      <c r="Q493" s="83"/>
      <c r="R493" s="42"/>
      <c r="S493" s="87"/>
      <c r="T493" s="83"/>
      <c r="U493" s="83"/>
      <c r="V493" s="83"/>
      <c r="W493" s="42"/>
      <c r="X493" s="42"/>
      <c r="Y493" s="42"/>
      <c r="Z493" s="42"/>
      <c r="AA493" s="42"/>
      <c r="AB493" s="42"/>
      <c r="AC493" s="42"/>
      <c r="AD493" s="42"/>
      <c r="AE493" s="42"/>
    </row>
    <row r="494">
      <c r="A494" s="95"/>
      <c r="B494" s="95"/>
      <c r="C494" s="54"/>
      <c r="D494" s="83"/>
      <c r="E494" s="96"/>
      <c r="F494" s="42"/>
      <c r="G494" s="97"/>
      <c r="H494" s="96"/>
      <c r="I494" s="96"/>
      <c r="J494" s="96"/>
      <c r="K494" s="99"/>
      <c r="L494" s="96"/>
      <c r="M494" s="96"/>
      <c r="N494" s="42"/>
      <c r="O494" s="42"/>
      <c r="P494" s="83"/>
      <c r="Q494" s="83"/>
      <c r="R494" s="42"/>
      <c r="S494" s="87"/>
      <c r="T494" s="83"/>
      <c r="U494" s="83"/>
      <c r="V494" s="83"/>
      <c r="W494" s="42"/>
      <c r="X494" s="42"/>
      <c r="Y494" s="42"/>
      <c r="Z494" s="42"/>
      <c r="AA494" s="42"/>
      <c r="AB494" s="42"/>
      <c r="AC494" s="42"/>
      <c r="AD494" s="42"/>
      <c r="AE494" s="42"/>
    </row>
    <row r="495">
      <c r="A495" s="95"/>
      <c r="B495" s="95"/>
      <c r="C495" s="54"/>
      <c r="D495" s="83"/>
      <c r="E495" s="96"/>
      <c r="F495" s="42"/>
      <c r="G495" s="97"/>
      <c r="H495" s="96"/>
      <c r="I495" s="96"/>
      <c r="J495" s="96"/>
      <c r="K495" s="99"/>
      <c r="L495" s="96"/>
      <c r="M495" s="96"/>
      <c r="N495" s="42"/>
      <c r="O495" s="42"/>
      <c r="P495" s="83"/>
      <c r="Q495" s="83"/>
      <c r="R495" s="42"/>
      <c r="S495" s="87"/>
      <c r="T495" s="83"/>
      <c r="U495" s="83"/>
      <c r="V495" s="83"/>
      <c r="W495" s="42"/>
      <c r="X495" s="42"/>
      <c r="Y495" s="42"/>
      <c r="Z495" s="42"/>
      <c r="AA495" s="42"/>
      <c r="AB495" s="42"/>
      <c r="AC495" s="42"/>
      <c r="AD495" s="42"/>
      <c r="AE495" s="42"/>
    </row>
    <row r="496">
      <c r="A496" s="95"/>
      <c r="B496" s="95"/>
      <c r="C496" s="54"/>
      <c r="D496" s="83"/>
      <c r="E496" s="96"/>
      <c r="F496" s="42"/>
      <c r="G496" s="97"/>
      <c r="H496" s="96"/>
      <c r="I496" s="96"/>
      <c r="J496" s="96"/>
      <c r="K496" s="99"/>
      <c r="L496" s="96"/>
      <c r="M496" s="96"/>
      <c r="N496" s="42"/>
      <c r="O496" s="42"/>
      <c r="P496" s="83"/>
      <c r="Q496" s="83"/>
      <c r="R496" s="42"/>
      <c r="S496" s="87"/>
      <c r="T496" s="83"/>
      <c r="U496" s="83"/>
      <c r="V496" s="83"/>
      <c r="W496" s="42"/>
      <c r="X496" s="42"/>
      <c r="Y496" s="42"/>
      <c r="Z496" s="42"/>
      <c r="AA496" s="42"/>
      <c r="AB496" s="42"/>
      <c r="AC496" s="42"/>
      <c r="AD496" s="42"/>
      <c r="AE496" s="42"/>
    </row>
    <row r="497">
      <c r="A497" s="95"/>
      <c r="B497" s="95"/>
      <c r="C497" s="54"/>
      <c r="D497" s="83"/>
      <c r="E497" s="96"/>
      <c r="F497" s="42"/>
      <c r="G497" s="97"/>
      <c r="H497" s="96"/>
      <c r="I497" s="96"/>
      <c r="J497" s="96"/>
      <c r="K497" s="99"/>
      <c r="L497" s="96"/>
      <c r="M497" s="96"/>
      <c r="N497" s="42"/>
      <c r="O497" s="42"/>
      <c r="P497" s="83"/>
      <c r="Q497" s="83"/>
      <c r="R497" s="42"/>
      <c r="S497" s="87"/>
      <c r="T497" s="83"/>
      <c r="U497" s="83"/>
      <c r="V497" s="83"/>
      <c r="W497" s="42"/>
      <c r="X497" s="42"/>
      <c r="Y497" s="42"/>
      <c r="Z497" s="42"/>
      <c r="AA497" s="42"/>
      <c r="AB497" s="42"/>
      <c r="AC497" s="42"/>
      <c r="AD497" s="42"/>
      <c r="AE497" s="42"/>
    </row>
    <row r="498">
      <c r="A498" s="95"/>
      <c r="B498" s="95"/>
      <c r="C498" s="54"/>
      <c r="D498" s="83"/>
      <c r="E498" s="96"/>
      <c r="F498" s="42"/>
      <c r="G498" s="97"/>
      <c r="H498" s="96"/>
      <c r="I498" s="96"/>
      <c r="J498" s="96"/>
      <c r="K498" s="99"/>
      <c r="L498" s="96"/>
      <c r="M498" s="96"/>
      <c r="N498" s="42"/>
      <c r="O498" s="42"/>
      <c r="P498" s="83"/>
      <c r="Q498" s="83"/>
      <c r="R498" s="42"/>
      <c r="S498" s="87"/>
      <c r="T498" s="83"/>
      <c r="U498" s="83"/>
      <c r="V498" s="83"/>
      <c r="W498" s="42"/>
      <c r="X498" s="42"/>
      <c r="Y498" s="42"/>
      <c r="Z498" s="42"/>
      <c r="AA498" s="42"/>
      <c r="AB498" s="42"/>
      <c r="AC498" s="42"/>
      <c r="AD498" s="42"/>
      <c r="AE498" s="42"/>
    </row>
    <row r="499">
      <c r="A499" s="95"/>
      <c r="B499" s="95"/>
      <c r="C499" s="54"/>
      <c r="D499" s="83"/>
      <c r="E499" s="96"/>
      <c r="F499" s="42"/>
      <c r="G499" s="97"/>
      <c r="H499" s="96"/>
      <c r="I499" s="96"/>
      <c r="J499" s="96"/>
      <c r="K499" s="99"/>
      <c r="L499" s="96"/>
      <c r="M499" s="96"/>
      <c r="N499" s="42"/>
      <c r="O499" s="42"/>
      <c r="P499" s="83"/>
      <c r="Q499" s="83"/>
      <c r="R499" s="42"/>
      <c r="S499" s="87"/>
      <c r="T499" s="83"/>
      <c r="U499" s="83"/>
      <c r="V499" s="83"/>
      <c r="W499" s="42"/>
      <c r="X499" s="42"/>
      <c r="Y499" s="42"/>
      <c r="Z499" s="42"/>
      <c r="AA499" s="42"/>
      <c r="AB499" s="42"/>
      <c r="AC499" s="42"/>
      <c r="AD499" s="42"/>
      <c r="AE499" s="42"/>
    </row>
    <row r="500">
      <c r="A500" s="95"/>
      <c r="B500" s="95"/>
      <c r="C500" s="54"/>
      <c r="D500" s="83"/>
      <c r="E500" s="96"/>
      <c r="F500" s="42"/>
      <c r="G500" s="97"/>
      <c r="H500" s="96"/>
      <c r="I500" s="96"/>
      <c r="J500" s="96"/>
      <c r="K500" s="99"/>
      <c r="L500" s="96"/>
      <c r="M500" s="96"/>
      <c r="N500" s="42"/>
      <c r="O500" s="42"/>
      <c r="P500" s="83"/>
      <c r="Q500" s="83"/>
      <c r="R500" s="42"/>
      <c r="S500" s="87"/>
      <c r="T500" s="83"/>
      <c r="U500" s="83"/>
      <c r="V500" s="83"/>
      <c r="W500" s="42"/>
      <c r="X500" s="42"/>
      <c r="Y500" s="42"/>
      <c r="Z500" s="42"/>
      <c r="AA500" s="42"/>
      <c r="AB500" s="42"/>
      <c r="AC500" s="42"/>
      <c r="AD500" s="42"/>
      <c r="AE500" s="42"/>
    </row>
    <row r="501">
      <c r="A501" s="95"/>
      <c r="B501" s="95"/>
      <c r="C501" s="54"/>
      <c r="D501" s="83"/>
      <c r="E501" s="96"/>
      <c r="F501" s="42"/>
      <c r="G501" s="97"/>
      <c r="H501" s="96"/>
      <c r="I501" s="96"/>
      <c r="J501" s="96"/>
      <c r="K501" s="99"/>
      <c r="L501" s="96"/>
      <c r="M501" s="96"/>
      <c r="N501" s="42"/>
      <c r="O501" s="42"/>
      <c r="P501" s="83"/>
      <c r="Q501" s="83"/>
      <c r="R501" s="42"/>
      <c r="S501" s="87"/>
      <c r="T501" s="83"/>
      <c r="U501" s="83"/>
      <c r="V501" s="83"/>
      <c r="W501" s="42"/>
      <c r="X501" s="42"/>
      <c r="Y501" s="42"/>
      <c r="Z501" s="42"/>
      <c r="AA501" s="42"/>
      <c r="AB501" s="42"/>
      <c r="AC501" s="42"/>
      <c r="AD501" s="42"/>
      <c r="AE501" s="42"/>
    </row>
    <row r="502">
      <c r="A502" s="95"/>
      <c r="B502" s="95"/>
      <c r="C502" s="54"/>
      <c r="D502" s="83"/>
      <c r="E502" s="96"/>
      <c r="F502" s="42"/>
      <c r="G502" s="97"/>
      <c r="H502" s="96"/>
      <c r="I502" s="96"/>
      <c r="J502" s="96"/>
      <c r="K502" s="99"/>
      <c r="L502" s="96"/>
      <c r="M502" s="96"/>
      <c r="N502" s="42"/>
      <c r="O502" s="42"/>
      <c r="P502" s="83"/>
      <c r="Q502" s="83"/>
      <c r="R502" s="42"/>
      <c r="S502" s="87"/>
      <c r="T502" s="83"/>
      <c r="U502" s="83"/>
      <c r="V502" s="83"/>
      <c r="W502" s="42"/>
      <c r="X502" s="42"/>
      <c r="Y502" s="42"/>
      <c r="Z502" s="42"/>
      <c r="AA502" s="42"/>
      <c r="AB502" s="42"/>
      <c r="AC502" s="42"/>
      <c r="AD502" s="42"/>
      <c r="AE502" s="42"/>
    </row>
    <row r="503">
      <c r="A503" s="95"/>
      <c r="B503" s="95"/>
      <c r="C503" s="54"/>
      <c r="D503" s="83"/>
      <c r="E503" s="96"/>
      <c r="F503" s="42"/>
      <c r="G503" s="97"/>
      <c r="H503" s="96"/>
      <c r="I503" s="96"/>
      <c r="J503" s="96"/>
      <c r="K503" s="99"/>
      <c r="L503" s="96"/>
      <c r="M503" s="96"/>
      <c r="N503" s="42"/>
      <c r="O503" s="42"/>
      <c r="P503" s="83"/>
      <c r="Q503" s="83"/>
      <c r="R503" s="42"/>
      <c r="S503" s="87"/>
      <c r="T503" s="83"/>
      <c r="U503" s="83"/>
      <c r="V503" s="83"/>
      <c r="W503" s="42"/>
      <c r="X503" s="42"/>
      <c r="Y503" s="42"/>
      <c r="Z503" s="42"/>
      <c r="AA503" s="42"/>
      <c r="AB503" s="42"/>
      <c r="AC503" s="42"/>
      <c r="AD503" s="42"/>
      <c r="AE503" s="42"/>
    </row>
    <row r="504">
      <c r="A504" s="95"/>
      <c r="B504" s="95"/>
      <c r="C504" s="54"/>
      <c r="D504" s="83"/>
      <c r="E504" s="96"/>
      <c r="F504" s="42"/>
      <c r="G504" s="97"/>
      <c r="H504" s="96"/>
      <c r="I504" s="96"/>
      <c r="J504" s="96"/>
      <c r="K504" s="99"/>
      <c r="L504" s="96"/>
      <c r="M504" s="96"/>
      <c r="N504" s="42"/>
      <c r="O504" s="42"/>
      <c r="P504" s="83"/>
      <c r="Q504" s="83"/>
      <c r="R504" s="42"/>
      <c r="S504" s="87"/>
      <c r="T504" s="83"/>
      <c r="U504" s="83"/>
      <c r="V504" s="83"/>
      <c r="W504" s="42"/>
      <c r="X504" s="42"/>
      <c r="Y504" s="42"/>
      <c r="Z504" s="42"/>
      <c r="AA504" s="42"/>
      <c r="AB504" s="42"/>
      <c r="AC504" s="42"/>
      <c r="AD504" s="42"/>
      <c r="AE504" s="42"/>
    </row>
    <row r="505">
      <c r="A505" s="95"/>
      <c r="B505" s="95"/>
      <c r="C505" s="54"/>
      <c r="D505" s="83"/>
      <c r="E505" s="96"/>
      <c r="F505" s="42"/>
      <c r="G505" s="97"/>
      <c r="H505" s="96"/>
      <c r="I505" s="96"/>
      <c r="J505" s="96"/>
      <c r="K505" s="99"/>
      <c r="L505" s="96"/>
      <c r="M505" s="96"/>
      <c r="N505" s="42"/>
      <c r="O505" s="42"/>
      <c r="P505" s="83"/>
      <c r="Q505" s="83"/>
      <c r="R505" s="42"/>
      <c r="S505" s="87"/>
      <c r="T505" s="83"/>
      <c r="U505" s="83"/>
      <c r="V505" s="83"/>
      <c r="W505" s="42"/>
      <c r="X505" s="42"/>
      <c r="Y505" s="42"/>
      <c r="Z505" s="42"/>
      <c r="AA505" s="42"/>
      <c r="AB505" s="42"/>
      <c r="AC505" s="42"/>
      <c r="AD505" s="42"/>
      <c r="AE505" s="42"/>
    </row>
    <row r="506">
      <c r="A506" s="95"/>
      <c r="B506" s="95"/>
      <c r="C506" s="54"/>
      <c r="D506" s="83"/>
      <c r="E506" s="96"/>
      <c r="F506" s="42"/>
      <c r="G506" s="97"/>
      <c r="H506" s="96"/>
      <c r="I506" s="96"/>
      <c r="J506" s="96"/>
      <c r="K506" s="99"/>
      <c r="L506" s="96"/>
      <c r="M506" s="96"/>
      <c r="N506" s="42"/>
      <c r="O506" s="42"/>
      <c r="P506" s="83"/>
      <c r="Q506" s="83"/>
      <c r="R506" s="42"/>
      <c r="S506" s="87"/>
      <c r="T506" s="83"/>
      <c r="U506" s="83"/>
      <c r="V506" s="83"/>
      <c r="W506" s="42"/>
      <c r="X506" s="42"/>
      <c r="Y506" s="42"/>
      <c r="Z506" s="42"/>
      <c r="AA506" s="42"/>
      <c r="AB506" s="42"/>
      <c r="AC506" s="42"/>
      <c r="AD506" s="42"/>
      <c r="AE506" s="42"/>
    </row>
    <row r="507">
      <c r="A507" s="95"/>
      <c r="B507" s="95"/>
      <c r="C507" s="54"/>
      <c r="D507" s="83"/>
      <c r="E507" s="96"/>
      <c r="F507" s="42"/>
      <c r="G507" s="97"/>
      <c r="H507" s="96"/>
      <c r="I507" s="96"/>
      <c r="J507" s="96"/>
      <c r="K507" s="99"/>
      <c r="L507" s="96"/>
      <c r="M507" s="96"/>
      <c r="N507" s="42"/>
      <c r="O507" s="42"/>
      <c r="P507" s="83"/>
      <c r="Q507" s="83"/>
      <c r="R507" s="42"/>
      <c r="S507" s="87"/>
      <c r="T507" s="83"/>
      <c r="U507" s="83"/>
      <c r="V507" s="83"/>
      <c r="W507" s="42"/>
      <c r="X507" s="42"/>
      <c r="Y507" s="42"/>
      <c r="Z507" s="42"/>
      <c r="AA507" s="42"/>
      <c r="AB507" s="42"/>
      <c r="AC507" s="42"/>
      <c r="AD507" s="42"/>
      <c r="AE507" s="42"/>
    </row>
    <row r="508">
      <c r="A508" s="95"/>
      <c r="B508" s="95"/>
      <c r="C508" s="54"/>
      <c r="D508" s="83"/>
      <c r="E508" s="96"/>
      <c r="F508" s="42"/>
      <c r="G508" s="97"/>
      <c r="H508" s="96"/>
      <c r="I508" s="96"/>
      <c r="J508" s="96"/>
      <c r="K508" s="99"/>
      <c r="L508" s="96"/>
      <c r="M508" s="96"/>
      <c r="N508" s="42"/>
      <c r="O508" s="42"/>
      <c r="P508" s="83"/>
      <c r="Q508" s="83"/>
      <c r="R508" s="42"/>
      <c r="S508" s="87"/>
      <c r="T508" s="83"/>
      <c r="U508" s="83"/>
      <c r="V508" s="83"/>
      <c r="W508" s="42"/>
      <c r="X508" s="42"/>
      <c r="Y508" s="42"/>
      <c r="Z508" s="42"/>
      <c r="AA508" s="42"/>
      <c r="AB508" s="42"/>
      <c r="AC508" s="42"/>
      <c r="AD508" s="42"/>
      <c r="AE508" s="42"/>
    </row>
    <row r="509">
      <c r="A509" s="95"/>
      <c r="B509" s="95"/>
      <c r="C509" s="54"/>
      <c r="D509" s="83"/>
      <c r="E509" s="96"/>
      <c r="F509" s="42"/>
      <c r="G509" s="97"/>
      <c r="H509" s="96"/>
      <c r="I509" s="96"/>
      <c r="J509" s="96"/>
      <c r="K509" s="99"/>
      <c r="L509" s="96"/>
      <c r="M509" s="96"/>
      <c r="N509" s="42"/>
      <c r="O509" s="42"/>
      <c r="P509" s="83"/>
      <c r="Q509" s="83"/>
      <c r="R509" s="42"/>
      <c r="S509" s="87"/>
      <c r="T509" s="83"/>
      <c r="U509" s="83"/>
      <c r="V509" s="83"/>
      <c r="W509" s="42"/>
      <c r="X509" s="42"/>
      <c r="Y509" s="42"/>
      <c r="Z509" s="42"/>
      <c r="AA509" s="42"/>
      <c r="AB509" s="42"/>
      <c r="AC509" s="42"/>
      <c r="AD509" s="42"/>
      <c r="AE509" s="42"/>
    </row>
    <row r="510">
      <c r="A510" s="95"/>
      <c r="B510" s="95"/>
      <c r="C510" s="54"/>
      <c r="D510" s="83"/>
      <c r="E510" s="96"/>
      <c r="F510" s="42"/>
      <c r="G510" s="97"/>
      <c r="H510" s="96"/>
      <c r="I510" s="96"/>
      <c r="J510" s="96"/>
      <c r="K510" s="99"/>
      <c r="L510" s="96"/>
      <c r="M510" s="96"/>
      <c r="N510" s="42"/>
      <c r="O510" s="42"/>
      <c r="P510" s="83"/>
      <c r="Q510" s="83"/>
      <c r="R510" s="42"/>
      <c r="S510" s="87"/>
      <c r="T510" s="83"/>
      <c r="U510" s="83"/>
      <c r="V510" s="83"/>
      <c r="W510" s="42"/>
      <c r="X510" s="42"/>
      <c r="Y510" s="42"/>
      <c r="Z510" s="42"/>
      <c r="AA510" s="42"/>
      <c r="AB510" s="42"/>
      <c r="AC510" s="42"/>
      <c r="AD510" s="42"/>
      <c r="AE510" s="42"/>
    </row>
    <row r="511">
      <c r="A511" s="95"/>
      <c r="B511" s="95"/>
      <c r="C511" s="54"/>
      <c r="D511" s="83"/>
      <c r="E511" s="96"/>
      <c r="F511" s="42"/>
      <c r="G511" s="97"/>
      <c r="H511" s="96"/>
      <c r="I511" s="96"/>
      <c r="J511" s="96"/>
      <c r="K511" s="99"/>
      <c r="L511" s="96"/>
      <c r="M511" s="96"/>
      <c r="N511" s="42"/>
      <c r="O511" s="42"/>
      <c r="P511" s="83"/>
      <c r="Q511" s="83"/>
      <c r="R511" s="42"/>
      <c r="S511" s="87"/>
      <c r="T511" s="83"/>
      <c r="U511" s="83"/>
      <c r="V511" s="83"/>
      <c r="W511" s="42"/>
      <c r="X511" s="42"/>
      <c r="Y511" s="42"/>
      <c r="Z511" s="42"/>
      <c r="AA511" s="42"/>
      <c r="AB511" s="42"/>
      <c r="AC511" s="42"/>
      <c r="AD511" s="42"/>
      <c r="AE511" s="42"/>
    </row>
    <row r="512">
      <c r="A512" s="95"/>
      <c r="B512" s="95"/>
      <c r="C512" s="54"/>
      <c r="D512" s="83"/>
      <c r="E512" s="96"/>
      <c r="F512" s="42"/>
      <c r="G512" s="97"/>
      <c r="H512" s="96"/>
      <c r="I512" s="96"/>
      <c r="J512" s="96"/>
      <c r="K512" s="99"/>
      <c r="L512" s="96"/>
      <c r="M512" s="96"/>
      <c r="N512" s="42"/>
      <c r="O512" s="42"/>
      <c r="P512" s="83"/>
      <c r="Q512" s="83"/>
      <c r="R512" s="42"/>
      <c r="S512" s="87"/>
      <c r="T512" s="83"/>
      <c r="U512" s="83"/>
      <c r="V512" s="83"/>
      <c r="W512" s="42"/>
      <c r="X512" s="42"/>
      <c r="Y512" s="42"/>
      <c r="Z512" s="42"/>
      <c r="AA512" s="42"/>
      <c r="AB512" s="42"/>
      <c r="AC512" s="42"/>
      <c r="AD512" s="42"/>
      <c r="AE512" s="42"/>
    </row>
    <row r="513">
      <c r="A513" s="95"/>
      <c r="B513" s="95"/>
      <c r="C513" s="54"/>
      <c r="D513" s="83"/>
      <c r="E513" s="96"/>
      <c r="F513" s="42"/>
      <c r="G513" s="97"/>
      <c r="H513" s="96"/>
      <c r="I513" s="96"/>
      <c r="J513" s="96"/>
      <c r="K513" s="99"/>
      <c r="L513" s="96"/>
      <c r="M513" s="96"/>
      <c r="N513" s="42"/>
      <c r="O513" s="42"/>
      <c r="P513" s="83"/>
      <c r="Q513" s="83"/>
      <c r="R513" s="42"/>
      <c r="S513" s="87"/>
      <c r="T513" s="83"/>
      <c r="U513" s="83"/>
      <c r="V513" s="83"/>
      <c r="W513" s="42"/>
      <c r="X513" s="42"/>
      <c r="Y513" s="42"/>
      <c r="Z513" s="42"/>
      <c r="AA513" s="42"/>
      <c r="AB513" s="42"/>
      <c r="AC513" s="42"/>
      <c r="AD513" s="42"/>
      <c r="AE513" s="42"/>
    </row>
    <row r="514">
      <c r="A514" s="95"/>
      <c r="B514" s="95"/>
      <c r="C514" s="54"/>
      <c r="D514" s="83"/>
      <c r="E514" s="96"/>
      <c r="F514" s="42"/>
      <c r="G514" s="97"/>
      <c r="H514" s="96"/>
      <c r="I514" s="96"/>
      <c r="J514" s="96"/>
      <c r="K514" s="99"/>
      <c r="L514" s="96"/>
      <c r="M514" s="96"/>
      <c r="N514" s="42"/>
      <c r="O514" s="42"/>
      <c r="P514" s="83"/>
      <c r="Q514" s="83"/>
      <c r="R514" s="42"/>
      <c r="S514" s="87"/>
      <c r="T514" s="83"/>
      <c r="U514" s="83"/>
      <c r="V514" s="83"/>
      <c r="W514" s="42"/>
      <c r="X514" s="42"/>
      <c r="Y514" s="42"/>
      <c r="Z514" s="42"/>
      <c r="AA514" s="42"/>
      <c r="AB514" s="42"/>
      <c r="AC514" s="42"/>
      <c r="AD514" s="42"/>
      <c r="AE514" s="42"/>
    </row>
    <row r="515">
      <c r="A515" s="95"/>
      <c r="B515" s="95"/>
      <c r="C515" s="54"/>
      <c r="D515" s="83"/>
      <c r="E515" s="96"/>
      <c r="F515" s="42"/>
      <c r="G515" s="97"/>
      <c r="H515" s="96"/>
      <c r="I515" s="96"/>
      <c r="J515" s="96"/>
      <c r="K515" s="99"/>
      <c r="L515" s="96"/>
      <c r="M515" s="96"/>
      <c r="N515" s="42"/>
      <c r="O515" s="42"/>
      <c r="P515" s="83"/>
      <c r="Q515" s="83"/>
      <c r="R515" s="42"/>
      <c r="S515" s="87"/>
      <c r="T515" s="83"/>
      <c r="U515" s="83"/>
      <c r="V515" s="83"/>
      <c r="W515" s="42"/>
      <c r="X515" s="42"/>
      <c r="Y515" s="42"/>
      <c r="Z515" s="42"/>
      <c r="AA515" s="42"/>
      <c r="AB515" s="42"/>
      <c r="AC515" s="42"/>
      <c r="AD515" s="42"/>
      <c r="AE515" s="42"/>
    </row>
    <row r="516">
      <c r="A516" s="95"/>
      <c r="B516" s="95"/>
      <c r="C516" s="54"/>
      <c r="D516" s="83"/>
      <c r="E516" s="96"/>
      <c r="F516" s="42"/>
      <c r="G516" s="97"/>
      <c r="H516" s="96"/>
      <c r="I516" s="96"/>
      <c r="J516" s="96"/>
      <c r="K516" s="99"/>
      <c r="L516" s="96"/>
      <c r="M516" s="96"/>
      <c r="N516" s="42"/>
      <c r="O516" s="42"/>
      <c r="P516" s="83"/>
      <c r="Q516" s="83"/>
      <c r="R516" s="42"/>
      <c r="S516" s="87"/>
      <c r="T516" s="83"/>
      <c r="U516" s="83"/>
      <c r="V516" s="83"/>
      <c r="W516" s="42"/>
      <c r="X516" s="42"/>
      <c r="Y516" s="42"/>
      <c r="Z516" s="42"/>
      <c r="AA516" s="42"/>
      <c r="AB516" s="42"/>
      <c r="AC516" s="42"/>
      <c r="AD516" s="42"/>
      <c r="AE516" s="42"/>
    </row>
    <row r="517">
      <c r="A517" s="95"/>
      <c r="B517" s="95"/>
      <c r="C517" s="54"/>
      <c r="D517" s="83"/>
      <c r="E517" s="96"/>
      <c r="F517" s="42"/>
      <c r="G517" s="97"/>
      <c r="H517" s="96"/>
      <c r="I517" s="96"/>
      <c r="J517" s="96"/>
      <c r="K517" s="99"/>
      <c r="L517" s="96"/>
      <c r="M517" s="96"/>
      <c r="N517" s="42"/>
      <c r="O517" s="42"/>
      <c r="P517" s="83"/>
      <c r="Q517" s="83"/>
      <c r="R517" s="42"/>
      <c r="S517" s="87"/>
      <c r="T517" s="83"/>
      <c r="U517" s="83"/>
      <c r="V517" s="83"/>
      <c r="W517" s="42"/>
      <c r="X517" s="42"/>
      <c r="Y517" s="42"/>
      <c r="Z517" s="42"/>
      <c r="AA517" s="42"/>
      <c r="AB517" s="42"/>
      <c r="AC517" s="42"/>
      <c r="AD517" s="42"/>
      <c r="AE517" s="42"/>
    </row>
    <row r="518">
      <c r="A518" s="95"/>
      <c r="B518" s="95"/>
      <c r="C518" s="54"/>
      <c r="D518" s="83"/>
      <c r="E518" s="96"/>
      <c r="F518" s="42"/>
      <c r="G518" s="97"/>
      <c r="H518" s="96"/>
      <c r="I518" s="96"/>
      <c r="J518" s="96"/>
      <c r="K518" s="99"/>
      <c r="L518" s="96"/>
      <c r="M518" s="96"/>
      <c r="N518" s="42"/>
      <c r="O518" s="42"/>
      <c r="P518" s="83"/>
      <c r="Q518" s="83"/>
      <c r="R518" s="42"/>
      <c r="S518" s="87"/>
      <c r="T518" s="83"/>
      <c r="U518" s="83"/>
      <c r="V518" s="83"/>
      <c r="W518" s="42"/>
      <c r="X518" s="42"/>
      <c r="Y518" s="42"/>
      <c r="Z518" s="42"/>
      <c r="AA518" s="42"/>
      <c r="AB518" s="42"/>
      <c r="AC518" s="42"/>
      <c r="AD518" s="42"/>
      <c r="AE518" s="42"/>
    </row>
    <row r="519">
      <c r="A519" s="95"/>
      <c r="B519" s="95"/>
      <c r="C519" s="54"/>
      <c r="D519" s="83"/>
      <c r="E519" s="96"/>
      <c r="F519" s="42"/>
      <c r="G519" s="97"/>
      <c r="H519" s="96"/>
      <c r="I519" s="96"/>
      <c r="J519" s="96"/>
      <c r="K519" s="99"/>
      <c r="L519" s="96"/>
      <c r="M519" s="96"/>
      <c r="N519" s="42"/>
      <c r="O519" s="42"/>
      <c r="P519" s="83"/>
      <c r="Q519" s="83"/>
      <c r="R519" s="42"/>
      <c r="S519" s="87"/>
      <c r="T519" s="83"/>
      <c r="U519" s="83"/>
      <c r="V519" s="83"/>
      <c r="W519" s="42"/>
      <c r="X519" s="42"/>
      <c r="Y519" s="42"/>
      <c r="Z519" s="42"/>
      <c r="AA519" s="42"/>
      <c r="AB519" s="42"/>
      <c r="AC519" s="42"/>
      <c r="AD519" s="42"/>
      <c r="AE519" s="42"/>
    </row>
    <row r="520">
      <c r="A520" s="95"/>
      <c r="B520" s="95"/>
      <c r="C520" s="54"/>
      <c r="D520" s="83"/>
      <c r="E520" s="96"/>
      <c r="F520" s="42"/>
      <c r="G520" s="97"/>
      <c r="H520" s="96"/>
      <c r="I520" s="96"/>
      <c r="J520" s="96"/>
      <c r="K520" s="99"/>
      <c r="L520" s="96"/>
      <c r="M520" s="96"/>
      <c r="N520" s="42"/>
      <c r="O520" s="42"/>
      <c r="P520" s="83"/>
      <c r="Q520" s="83"/>
      <c r="R520" s="42"/>
      <c r="S520" s="87"/>
      <c r="T520" s="83"/>
      <c r="U520" s="83"/>
      <c r="V520" s="83"/>
      <c r="W520" s="42"/>
      <c r="X520" s="42"/>
      <c r="Y520" s="42"/>
      <c r="Z520" s="42"/>
      <c r="AA520" s="42"/>
      <c r="AB520" s="42"/>
      <c r="AC520" s="42"/>
      <c r="AD520" s="42"/>
      <c r="AE520" s="42"/>
    </row>
    <row r="521">
      <c r="A521" s="95"/>
      <c r="B521" s="95"/>
      <c r="C521" s="54"/>
      <c r="D521" s="83"/>
      <c r="E521" s="96"/>
      <c r="F521" s="42"/>
      <c r="G521" s="97"/>
      <c r="H521" s="96"/>
      <c r="I521" s="96"/>
      <c r="J521" s="96"/>
      <c r="K521" s="99"/>
      <c r="L521" s="96"/>
      <c r="M521" s="96"/>
      <c r="N521" s="42"/>
      <c r="O521" s="42"/>
      <c r="P521" s="83"/>
      <c r="Q521" s="83"/>
      <c r="R521" s="42"/>
      <c r="S521" s="87"/>
      <c r="T521" s="83"/>
      <c r="U521" s="83"/>
      <c r="V521" s="83"/>
      <c r="W521" s="42"/>
      <c r="X521" s="42"/>
      <c r="Y521" s="42"/>
      <c r="Z521" s="42"/>
      <c r="AA521" s="42"/>
      <c r="AB521" s="42"/>
      <c r="AC521" s="42"/>
      <c r="AD521" s="42"/>
      <c r="AE521" s="42"/>
    </row>
    <row r="522">
      <c r="A522" s="95"/>
      <c r="B522" s="95"/>
      <c r="C522" s="54"/>
      <c r="D522" s="83"/>
      <c r="E522" s="96"/>
      <c r="F522" s="42"/>
      <c r="G522" s="97"/>
      <c r="H522" s="96"/>
      <c r="I522" s="96"/>
      <c r="J522" s="96"/>
      <c r="K522" s="99"/>
      <c r="L522" s="96"/>
      <c r="M522" s="96"/>
      <c r="N522" s="42"/>
      <c r="O522" s="42"/>
      <c r="P522" s="83"/>
      <c r="Q522" s="83"/>
      <c r="R522" s="42"/>
      <c r="S522" s="87"/>
      <c r="T522" s="83"/>
      <c r="U522" s="83"/>
      <c r="V522" s="83"/>
      <c r="W522" s="42"/>
      <c r="X522" s="42"/>
      <c r="Y522" s="42"/>
      <c r="Z522" s="42"/>
      <c r="AA522" s="42"/>
      <c r="AB522" s="42"/>
      <c r="AC522" s="42"/>
      <c r="AD522" s="42"/>
      <c r="AE522" s="42"/>
    </row>
    <row r="523">
      <c r="A523" s="95"/>
      <c r="B523" s="95"/>
      <c r="C523" s="54"/>
      <c r="D523" s="83"/>
      <c r="E523" s="96"/>
      <c r="F523" s="42"/>
      <c r="G523" s="97"/>
      <c r="H523" s="96"/>
      <c r="I523" s="96"/>
      <c r="J523" s="96"/>
      <c r="K523" s="99"/>
      <c r="L523" s="96"/>
      <c r="M523" s="96"/>
      <c r="N523" s="42"/>
      <c r="O523" s="42"/>
      <c r="P523" s="83"/>
      <c r="Q523" s="83"/>
      <c r="R523" s="42"/>
      <c r="S523" s="87"/>
      <c r="T523" s="83"/>
      <c r="U523" s="83"/>
      <c r="V523" s="83"/>
      <c r="W523" s="42"/>
      <c r="X523" s="42"/>
      <c r="Y523" s="42"/>
      <c r="Z523" s="42"/>
      <c r="AA523" s="42"/>
      <c r="AB523" s="42"/>
      <c r="AC523" s="42"/>
      <c r="AD523" s="42"/>
      <c r="AE523" s="42"/>
    </row>
    <row r="524">
      <c r="A524" s="95"/>
      <c r="B524" s="95"/>
      <c r="C524" s="54"/>
      <c r="D524" s="83"/>
      <c r="E524" s="96"/>
      <c r="F524" s="42"/>
      <c r="G524" s="97"/>
      <c r="H524" s="96"/>
      <c r="I524" s="96"/>
      <c r="J524" s="96"/>
      <c r="K524" s="99"/>
      <c r="L524" s="96"/>
      <c r="M524" s="96"/>
      <c r="N524" s="42"/>
      <c r="O524" s="42"/>
      <c r="P524" s="83"/>
      <c r="Q524" s="83"/>
      <c r="R524" s="42"/>
      <c r="S524" s="87"/>
      <c r="T524" s="83"/>
      <c r="U524" s="83"/>
      <c r="V524" s="83"/>
      <c r="W524" s="42"/>
      <c r="X524" s="42"/>
      <c r="Y524" s="42"/>
      <c r="Z524" s="42"/>
      <c r="AA524" s="42"/>
      <c r="AB524" s="42"/>
      <c r="AC524" s="42"/>
      <c r="AD524" s="42"/>
      <c r="AE524" s="42"/>
    </row>
    <row r="525">
      <c r="A525" s="95"/>
      <c r="B525" s="95"/>
      <c r="C525" s="54"/>
      <c r="D525" s="83"/>
      <c r="E525" s="96"/>
      <c r="F525" s="42"/>
      <c r="G525" s="97"/>
      <c r="H525" s="96"/>
      <c r="I525" s="96"/>
      <c r="J525" s="96"/>
      <c r="K525" s="99"/>
      <c r="L525" s="96"/>
      <c r="M525" s="96"/>
      <c r="N525" s="42"/>
      <c r="O525" s="42"/>
      <c r="P525" s="83"/>
      <c r="Q525" s="83"/>
      <c r="R525" s="42"/>
      <c r="S525" s="87"/>
      <c r="T525" s="83"/>
      <c r="U525" s="83"/>
      <c r="V525" s="83"/>
      <c r="W525" s="42"/>
      <c r="X525" s="42"/>
      <c r="Y525" s="42"/>
      <c r="Z525" s="42"/>
      <c r="AA525" s="42"/>
      <c r="AB525" s="42"/>
      <c r="AC525" s="42"/>
      <c r="AD525" s="42"/>
      <c r="AE525" s="42"/>
    </row>
    <row r="526">
      <c r="A526" s="95"/>
      <c r="B526" s="95"/>
      <c r="C526" s="54"/>
      <c r="D526" s="83"/>
      <c r="E526" s="96"/>
      <c r="F526" s="42"/>
      <c r="G526" s="97"/>
      <c r="H526" s="96"/>
      <c r="I526" s="96"/>
      <c r="J526" s="96"/>
      <c r="K526" s="99"/>
      <c r="L526" s="96"/>
      <c r="M526" s="96"/>
      <c r="N526" s="42"/>
      <c r="O526" s="42"/>
      <c r="P526" s="83"/>
      <c r="Q526" s="83"/>
      <c r="R526" s="42"/>
      <c r="S526" s="87"/>
      <c r="T526" s="83"/>
      <c r="U526" s="83"/>
      <c r="V526" s="83"/>
      <c r="W526" s="42"/>
      <c r="X526" s="42"/>
      <c r="Y526" s="42"/>
      <c r="Z526" s="42"/>
      <c r="AA526" s="42"/>
      <c r="AB526" s="42"/>
      <c r="AC526" s="42"/>
      <c r="AD526" s="42"/>
      <c r="AE526" s="42"/>
    </row>
    <row r="527">
      <c r="A527" s="95"/>
      <c r="B527" s="95"/>
      <c r="C527" s="54"/>
      <c r="D527" s="83"/>
      <c r="E527" s="96"/>
      <c r="F527" s="42"/>
      <c r="G527" s="97"/>
      <c r="H527" s="96"/>
      <c r="I527" s="96"/>
      <c r="J527" s="96"/>
      <c r="K527" s="99"/>
      <c r="L527" s="96"/>
      <c r="M527" s="96"/>
      <c r="N527" s="42"/>
      <c r="O527" s="42"/>
      <c r="P527" s="83"/>
      <c r="Q527" s="83"/>
      <c r="R527" s="42"/>
      <c r="S527" s="87"/>
      <c r="T527" s="83"/>
      <c r="U527" s="83"/>
      <c r="V527" s="83"/>
      <c r="W527" s="42"/>
      <c r="X527" s="42"/>
      <c r="Y527" s="42"/>
      <c r="Z527" s="42"/>
      <c r="AA527" s="42"/>
      <c r="AB527" s="42"/>
      <c r="AC527" s="42"/>
      <c r="AD527" s="42"/>
      <c r="AE527" s="42"/>
    </row>
    <row r="528">
      <c r="A528" s="95"/>
      <c r="B528" s="95"/>
      <c r="C528" s="54"/>
      <c r="D528" s="83"/>
      <c r="E528" s="96"/>
      <c r="F528" s="42"/>
      <c r="G528" s="97"/>
      <c r="H528" s="96"/>
      <c r="I528" s="96"/>
      <c r="J528" s="96"/>
      <c r="K528" s="99"/>
      <c r="L528" s="96"/>
      <c r="M528" s="96"/>
      <c r="N528" s="42"/>
      <c r="O528" s="42"/>
      <c r="P528" s="83"/>
      <c r="Q528" s="83"/>
      <c r="R528" s="42"/>
      <c r="S528" s="87"/>
      <c r="T528" s="83"/>
      <c r="U528" s="83"/>
      <c r="V528" s="83"/>
      <c r="W528" s="42"/>
      <c r="X528" s="42"/>
      <c r="Y528" s="42"/>
      <c r="Z528" s="42"/>
      <c r="AA528" s="42"/>
      <c r="AB528" s="42"/>
      <c r="AC528" s="42"/>
      <c r="AD528" s="42"/>
      <c r="AE528" s="42"/>
    </row>
    <row r="529">
      <c r="A529" s="95"/>
      <c r="B529" s="95"/>
      <c r="C529" s="54"/>
      <c r="D529" s="83"/>
      <c r="E529" s="96"/>
      <c r="F529" s="42"/>
      <c r="G529" s="97"/>
      <c r="H529" s="96"/>
      <c r="I529" s="96"/>
      <c r="J529" s="96"/>
      <c r="K529" s="99"/>
      <c r="L529" s="96"/>
      <c r="M529" s="96"/>
      <c r="N529" s="42"/>
      <c r="O529" s="42"/>
      <c r="P529" s="83"/>
      <c r="Q529" s="83"/>
      <c r="R529" s="42"/>
      <c r="S529" s="87"/>
      <c r="T529" s="83"/>
      <c r="U529" s="83"/>
      <c r="V529" s="83"/>
      <c r="W529" s="42"/>
      <c r="X529" s="42"/>
      <c r="Y529" s="42"/>
      <c r="Z529" s="42"/>
      <c r="AA529" s="42"/>
      <c r="AB529" s="42"/>
      <c r="AC529" s="42"/>
      <c r="AD529" s="42"/>
      <c r="AE529" s="42"/>
    </row>
    <row r="530">
      <c r="A530" s="95"/>
      <c r="B530" s="95"/>
      <c r="C530" s="54"/>
      <c r="D530" s="83"/>
      <c r="E530" s="96"/>
      <c r="F530" s="42"/>
      <c r="G530" s="97"/>
      <c r="H530" s="96"/>
      <c r="I530" s="96"/>
      <c r="J530" s="96"/>
      <c r="K530" s="99"/>
      <c r="L530" s="96"/>
      <c r="M530" s="96"/>
      <c r="N530" s="42"/>
      <c r="O530" s="42"/>
      <c r="P530" s="83"/>
      <c r="Q530" s="83"/>
      <c r="R530" s="42"/>
      <c r="S530" s="87"/>
      <c r="T530" s="83"/>
      <c r="U530" s="83"/>
      <c r="V530" s="83"/>
      <c r="W530" s="42"/>
      <c r="X530" s="42"/>
      <c r="Y530" s="42"/>
      <c r="Z530" s="42"/>
      <c r="AA530" s="42"/>
      <c r="AB530" s="42"/>
      <c r="AC530" s="42"/>
      <c r="AD530" s="42"/>
      <c r="AE530" s="42"/>
    </row>
    <row r="531">
      <c r="A531" s="95"/>
      <c r="B531" s="95"/>
      <c r="C531" s="54"/>
      <c r="D531" s="83"/>
      <c r="E531" s="96"/>
      <c r="F531" s="42"/>
      <c r="G531" s="97"/>
      <c r="H531" s="96"/>
      <c r="I531" s="96"/>
      <c r="J531" s="96"/>
      <c r="K531" s="99"/>
      <c r="L531" s="96"/>
      <c r="M531" s="96"/>
      <c r="N531" s="42"/>
      <c r="O531" s="42"/>
      <c r="P531" s="83"/>
      <c r="Q531" s="83"/>
      <c r="R531" s="42"/>
      <c r="S531" s="87"/>
      <c r="T531" s="83"/>
      <c r="U531" s="83"/>
      <c r="V531" s="83"/>
      <c r="W531" s="42"/>
      <c r="X531" s="42"/>
      <c r="Y531" s="42"/>
      <c r="Z531" s="42"/>
      <c r="AA531" s="42"/>
      <c r="AB531" s="42"/>
      <c r="AC531" s="42"/>
      <c r="AD531" s="42"/>
      <c r="AE531" s="42"/>
    </row>
    <row r="532">
      <c r="A532" s="95"/>
      <c r="B532" s="95"/>
      <c r="C532" s="54"/>
      <c r="D532" s="83"/>
      <c r="E532" s="96"/>
      <c r="F532" s="42"/>
      <c r="G532" s="97"/>
      <c r="H532" s="96"/>
      <c r="I532" s="96"/>
      <c r="J532" s="96"/>
      <c r="K532" s="99"/>
      <c r="L532" s="96"/>
      <c r="M532" s="96"/>
      <c r="N532" s="42"/>
      <c r="O532" s="42"/>
      <c r="P532" s="83"/>
      <c r="Q532" s="83"/>
      <c r="R532" s="42"/>
      <c r="S532" s="87"/>
      <c r="T532" s="83"/>
      <c r="U532" s="83"/>
      <c r="V532" s="83"/>
      <c r="W532" s="42"/>
      <c r="X532" s="42"/>
      <c r="Y532" s="42"/>
      <c r="Z532" s="42"/>
      <c r="AA532" s="42"/>
      <c r="AB532" s="42"/>
      <c r="AC532" s="42"/>
      <c r="AD532" s="42"/>
      <c r="AE532" s="42"/>
    </row>
    <row r="533">
      <c r="A533" s="95"/>
      <c r="B533" s="95"/>
      <c r="C533" s="54"/>
      <c r="D533" s="83"/>
      <c r="E533" s="96"/>
      <c r="F533" s="42"/>
      <c r="G533" s="97"/>
      <c r="H533" s="96"/>
      <c r="I533" s="96"/>
      <c r="J533" s="96"/>
      <c r="K533" s="99"/>
      <c r="L533" s="96"/>
      <c r="M533" s="96"/>
      <c r="N533" s="42"/>
      <c r="O533" s="42"/>
      <c r="P533" s="83"/>
      <c r="Q533" s="83"/>
      <c r="R533" s="42"/>
      <c r="S533" s="87"/>
      <c r="T533" s="83"/>
      <c r="U533" s="83"/>
      <c r="V533" s="83"/>
      <c r="W533" s="42"/>
      <c r="X533" s="42"/>
      <c r="Y533" s="42"/>
      <c r="Z533" s="42"/>
      <c r="AA533" s="42"/>
      <c r="AB533" s="42"/>
      <c r="AC533" s="42"/>
      <c r="AD533" s="42"/>
      <c r="AE533" s="42"/>
    </row>
    <row r="534">
      <c r="A534" s="95"/>
      <c r="B534" s="95"/>
      <c r="C534" s="54"/>
      <c r="D534" s="83"/>
      <c r="E534" s="96"/>
      <c r="F534" s="42"/>
      <c r="G534" s="97"/>
      <c r="H534" s="96"/>
      <c r="I534" s="96"/>
      <c r="J534" s="96"/>
      <c r="K534" s="99"/>
      <c r="L534" s="96"/>
      <c r="M534" s="96"/>
      <c r="N534" s="42"/>
      <c r="O534" s="42"/>
      <c r="P534" s="83"/>
      <c r="Q534" s="83"/>
      <c r="R534" s="42"/>
      <c r="S534" s="87"/>
      <c r="T534" s="83"/>
      <c r="U534" s="83"/>
      <c r="V534" s="83"/>
      <c r="W534" s="42"/>
      <c r="X534" s="42"/>
      <c r="Y534" s="42"/>
      <c r="Z534" s="42"/>
      <c r="AA534" s="42"/>
      <c r="AB534" s="42"/>
      <c r="AC534" s="42"/>
      <c r="AD534" s="42"/>
      <c r="AE534" s="42"/>
    </row>
    <row r="535">
      <c r="A535" s="95"/>
      <c r="B535" s="95"/>
      <c r="C535" s="54"/>
      <c r="D535" s="83"/>
      <c r="E535" s="96"/>
      <c r="F535" s="42"/>
      <c r="G535" s="97"/>
      <c r="H535" s="96"/>
      <c r="I535" s="96"/>
      <c r="J535" s="96"/>
      <c r="K535" s="99"/>
      <c r="L535" s="96"/>
      <c r="M535" s="96"/>
      <c r="N535" s="42"/>
      <c r="O535" s="42"/>
      <c r="P535" s="83"/>
      <c r="Q535" s="83"/>
      <c r="R535" s="42"/>
      <c r="S535" s="87"/>
      <c r="T535" s="83"/>
      <c r="U535" s="83"/>
      <c r="V535" s="83"/>
      <c r="W535" s="42"/>
      <c r="X535" s="42"/>
      <c r="Y535" s="42"/>
      <c r="Z535" s="42"/>
      <c r="AA535" s="42"/>
      <c r="AB535" s="42"/>
      <c r="AC535" s="42"/>
      <c r="AD535" s="42"/>
      <c r="AE535" s="42"/>
    </row>
    <row r="536">
      <c r="A536" s="95"/>
      <c r="B536" s="95"/>
      <c r="C536" s="54"/>
      <c r="D536" s="83"/>
      <c r="E536" s="96"/>
      <c r="F536" s="42"/>
      <c r="G536" s="97"/>
      <c r="H536" s="96"/>
      <c r="I536" s="96"/>
      <c r="J536" s="96"/>
      <c r="K536" s="99"/>
      <c r="L536" s="96"/>
      <c r="M536" s="96"/>
      <c r="N536" s="42"/>
      <c r="O536" s="42"/>
      <c r="P536" s="83"/>
      <c r="Q536" s="83"/>
      <c r="R536" s="42"/>
      <c r="S536" s="87"/>
      <c r="T536" s="83"/>
      <c r="U536" s="83"/>
      <c r="V536" s="83"/>
      <c r="W536" s="42"/>
      <c r="X536" s="42"/>
      <c r="Y536" s="42"/>
      <c r="Z536" s="42"/>
      <c r="AA536" s="42"/>
      <c r="AB536" s="42"/>
      <c r="AC536" s="42"/>
      <c r="AD536" s="42"/>
      <c r="AE536" s="42"/>
    </row>
    <row r="537">
      <c r="A537" s="95"/>
      <c r="B537" s="95"/>
      <c r="C537" s="54"/>
      <c r="D537" s="83"/>
      <c r="E537" s="96"/>
      <c r="F537" s="42"/>
      <c r="G537" s="97"/>
      <c r="H537" s="96"/>
      <c r="I537" s="96"/>
      <c r="J537" s="96"/>
      <c r="K537" s="99"/>
      <c r="L537" s="96"/>
      <c r="M537" s="96"/>
      <c r="N537" s="42"/>
      <c r="O537" s="42"/>
      <c r="P537" s="83"/>
      <c r="Q537" s="83"/>
      <c r="R537" s="42"/>
      <c r="S537" s="87"/>
      <c r="T537" s="83"/>
      <c r="U537" s="83"/>
      <c r="V537" s="83"/>
      <c r="W537" s="42"/>
      <c r="X537" s="42"/>
      <c r="Y537" s="42"/>
      <c r="Z537" s="42"/>
      <c r="AA537" s="42"/>
      <c r="AB537" s="42"/>
      <c r="AC537" s="42"/>
      <c r="AD537" s="42"/>
      <c r="AE537" s="42"/>
    </row>
    <row r="538">
      <c r="A538" s="95"/>
      <c r="B538" s="95"/>
      <c r="C538" s="54"/>
      <c r="D538" s="83"/>
      <c r="E538" s="96"/>
      <c r="F538" s="42"/>
      <c r="G538" s="97"/>
      <c r="H538" s="96"/>
      <c r="I538" s="96"/>
      <c r="J538" s="96"/>
      <c r="K538" s="99"/>
      <c r="L538" s="96"/>
      <c r="M538" s="96"/>
      <c r="N538" s="42"/>
      <c r="O538" s="42"/>
      <c r="P538" s="83"/>
      <c r="Q538" s="83"/>
      <c r="R538" s="42"/>
      <c r="S538" s="87"/>
      <c r="T538" s="83"/>
      <c r="U538" s="83"/>
      <c r="V538" s="83"/>
      <c r="W538" s="42"/>
      <c r="X538" s="42"/>
      <c r="Y538" s="42"/>
      <c r="Z538" s="42"/>
      <c r="AA538" s="42"/>
      <c r="AB538" s="42"/>
      <c r="AC538" s="42"/>
      <c r="AD538" s="42"/>
      <c r="AE538" s="42"/>
    </row>
    <row r="539">
      <c r="A539" s="95"/>
      <c r="B539" s="95"/>
      <c r="C539" s="54"/>
      <c r="D539" s="83"/>
      <c r="E539" s="96"/>
      <c r="F539" s="42"/>
      <c r="G539" s="97"/>
      <c r="H539" s="96"/>
      <c r="I539" s="96"/>
      <c r="J539" s="96"/>
      <c r="K539" s="99"/>
      <c r="L539" s="96"/>
      <c r="M539" s="96"/>
      <c r="N539" s="42"/>
      <c r="O539" s="42"/>
      <c r="P539" s="83"/>
      <c r="Q539" s="83"/>
      <c r="R539" s="42"/>
      <c r="S539" s="87"/>
      <c r="T539" s="83"/>
      <c r="U539" s="83"/>
      <c r="V539" s="83"/>
      <c r="W539" s="42"/>
      <c r="X539" s="42"/>
      <c r="Y539" s="42"/>
      <c r="Z539" s="42"/>
      <c r="AA539" s="42"/>
      <c r="AB539" s="42"/>
      <c r="AC539" s="42"/>
      <c r="AD539" s="42"/>
      <c r="AE539" s="42"/>
    </row>
    <row r="540">
      <c r="A540" s="95"/>
      <c r="B540" s="95"/>
      <c r="C540" s="54"/>
      <c r="D540" s="83"/>
      <c r="E540" s="96"/>
      <c r="F540" s="42"/>
      <c r="G540" s="97"/>
      <c r="H540" s="96"/>
      <c r="I540" s="96"/>
      <c r="J540" s="96"/>
      <c r="K540" s="99"/>
      <c r="L540" s="96"/>
      <c r="M540" s="96"/>
      <c r="N540" s="42"/>
      <c r="O540" s="42"/>
      <c r="P540" s="83"/>
      <c r="Q540" s="83"/>
      <c r="R540" s="42"/>
      <c r="S540" s="87"/>
      <c r="T540" s="83"/>
      <c r="U540" s="83"/>
      <c r="V540" s="83"/>
      <c r="W540" s="42"/>
      <c r="X540" s="42"/>
      <c r="Y540" s="42"/>
      <c r="Z540" s="42"/>
      <c r="AA540" s="42"/>
      <c r="AB540" s="42"/>
      <c r="AC540" s="42"/>
      <c r="AD540" s="42"/>
      <c r="AE540" s="42"/>
    </row>
    <row r="541">
      <c r="A541" s="95"/>
      <c r="B541" s="95"/>
      <c r="C541" s="54"/>
      <c r="D541" s="83"/>
      <c r="E541" s="96"/>
      <c r="F541" s="42"/>
      <c r="G541" s="97"/>
      <c r="H541" s="96"/>
      <c r="I541" s="96"/>
      <c r="J541" s="96"/>
      <c r="K541" s="99"/>
      <c r="L541" s="96"/>
      <c r="M541" s="96"/>
      <c r="N541" s="42"/>
      <c r="O541" s="42"/>
      <c r="P541" s="83"/>
      <c r="Q541" s="83"/>
      <c r="R541" s="42"/>
      <c r="S541" s="87"/>
      <c r="T541" s="83"/>
      <c r="U541" s="83"/>
      <c r="V541" s="83"/>
      <c r="W541" s="42"/>
      <c r="X541" s="42"/>
      <c r="Y541" s="42"/>
      <c r="Z541" s="42"/>
      <c r="AA541" s="42"/>
      <c r="AB541" s="42"/>
      <c r="AC541" s="42"/>
      <c r="AD541" s="42"/>
      <c r="AE541" s="42"/>
    </row>
    <row r="542">
      <c r="A542" s="95"/>
      <c r="B542" s="95"/>
      <c r="C542" s="54"/>
      <c r="D542" s="83"/>
      <c r="E542" s="96"/>
      <c r="F542" s="42"/>
      <c r="G542" s="97"/>
      <c r="H542" s="96"/>
      <c r="I542" s="96"/>
      <c r="J542" s="96"/>
      <c r="K542" s="99"/>
      <c r="L542" s="96"/>
      <c r="M542" s="96"/>
      <c r="N542" s="42"/>
      <c r="O542" s="42"/>
      <c r="P542" s="83"/>
      <c r="Q542" s="83"/>
      <c r="R542" s="42"/>
      <c r="S542" s="87"/>
      <c r="T542" s="83"/>
      <c r="U542" s="83"/>
      <c r="V542" s="83"/>
      <c r="W542" s="42"/>
      <c r="X542" s="42"/>
      <c r="Y542" s="42"/>
      <c r="Z542" s="42"/>
      <c r="AA542" s="42"/>
      <c r="AB542" s="42"/>
      <c r="AC542" s="42"/>
      <c r="AD542" s="42"/>
      <c r="AE542" s="42"/>
    </row>
    <row r="543">
      <c r="A543" s="95"/>
      <c r="B543" s="95"/>
      <c r="C543" s="54"/>
      <c r="D543" s="83"/>
      <c r="E543" s="96"/>
      <c r="F543" s="42"/>
      <c r="G543" s="97"/>
      <c r="H543" s="96"/>
      <c r="I543" s="96"/>
      <c r="J543" s="96"/>
      <c r="K543" s="99"/>
      <c r="L543" s="96"/>
      <c r="M543" s="96"/>
      <c r="N543" s="42"/>
      <c r="O543" s="42"/>
      <c r="P543" s="83"/>
      <c r="Q543" s="83"/>
      <c r="R543" s="42"/>
      <c r="S543" s="87"/>
      <c r="T543" s="83"/>
      <c r="U543" s="83"/>
      <c r="V543" s="83"/>
      <c r="W543" s="42"/>
      <c r="X543" s="42"/>
      <c r="Y543" s="42"/>
      <c r="Z543" s="42"/>
      <c r="AA543" s="42"/>
      <c r="AB543" s="42"/>
      <c r="AC543" s="42"/>
      <c r="AD543" s="42"/>
      <c r="AE543" s="42"/>
    </row>
    <row r="544">
      <c r="A544" s="95"/>
      <c r="B544" s="95"/>
      <c r="C544" s="54"/>
      <c r="D544" s="83"/>
      <c r="E544" s="96"/>
      <c r="F544" s="42"/>
      <c r="G544" s="97"/>
      <c r="H544" s="96"/>
      <c r="I544" s="96"/>
      <c r="J544" s="96"/>
      <c r="K544" s="99"/>
      <c r="L544" s="96"/>
      <c r="M544" s="96"/>
      <c r="N544" s="42"/>
      <c r="O544" s="42"/>
      <c r="P544" s="83"/>
      <c r="Q544" s="83"/>
      <c r="R544" s="42"/>
      <c r="S544" s="87"/>
      <c r="T544" s="83"/>
      <c r="U544" s="83"/>
      <c r="V544" s="83"/>
      <c r="W544" s="42"/>
      <c r="X544" s="42"/>
      <c r="Y544" s="42"/>
      <c r="Z544" s="42"/>
      <c r="AA544" s="42"/>
      <c r="AB544" s="42"/>
      <c r="AC544" s="42"/>
      <c r="AD544" s="42"/>
      <c r="AE544" s="42"/>
    </row>
    <row r="545">
      <c r="A545" s="95"/>
      <c r="B545" s="95"/>
      <c r="C545" s="54"/>
      <c r="D545" s="83"/>
      <c r="E545" s="96"/>
      <c r="F545" s="42"/>
      <c r="G545" s="97"/>
      <c r="H545" s="96"/>
      <c r="I545" s="96"/>
      <c r="J545" s="96"/>
      <c r="K545" s="99"/>
      <c r="L545" s="96"/>
      <c r="M545" s="96"/>
      <c r="N545" s="42"/>
      <c r="O545" s="42"/>
      <c r="P545" s="83"/>
      <c r="Q545" s="83"/>
      <c r="R545" s="42"/>
      <c r="S545" s="87"/>
      <c r="T545" s="83"/>
      <c r="U545" s="83"/>
      <c r="V545" s="83"/>
      <c r="W545" s="42"/>
      <c r="X545" s="42"/>
      <c r="Y545" s="42"/>
      <c r="Z545" s="42"/>
      <c r="AA545" s="42"/>
      <c r="AB545" s="42"/>
      <c r="AC545" s="42"/>
      <c r="AD545" s="42"/>
      <c r="AE545" s="42"/>
    </row>
    <row r="546">
      <c r="A546" s="95"/>
      <c r="B546" s="95"/>
      <c r="C546" s="54"/>
      <c r="D546" s="83"/>
      <c r="E546" s="96"/>
      <c r="F546" s="42"/>
      <c r="G546" s="97"/>
      <c r="H546" s="96"/>
      <c r="I546" s="96"/>
      <c r="J546" s="96"/>
      <c r="K546" s="99"/>
      <c r="L546" s="96"/>
      <c r="M546" s="96"/>
      <c r="N546" s="42"/>
      <c r="O546" s="42"/>
      <c r="P546" s="83"/>
      <c r="Q546" s="83"/>
      <c r="R546" s="42"/>
      <c r="S546" s="87"/>
      <c r="T546" s="83"/>
      <c r="U546" s="83"/>
      <c r="V546" s="83"/>
      <c r="W546" s="42"/>
      <c r="X546" s="42"/>
      <c r="Y546" s="42"/>
      <c r="Z546" s="42"/>
      <c r="AA546" s="42"/>
      <c r="AB546" s="42"/>
      <c r="AC546" s="42"/>
      <c r="AD546" s="42"/>
      <c r="AE546" s="42"/>
    </row>
    <row r="547">
      <c r="A547" s="95"/>
      <c r="B547" s="95"/>
      <c r="C547" s="54"/>
      <c r="D547" s="83"/>
      <c r="E547" s="96"/>
      <c r="F547" s="42"/>
      <c r="G547" s="97"/>
      <c r="H547" s="96"/>
      <c r="I547" s="96"/>
      <c r="J547" s="96"/>
      <c r="K547" s="99"/>
      <c r="L547" s="96"/>
      <c r="M547" s="96"/>
      <c r="N547" s="42"/>
      <c r="O547" s="42"/>
      <c r="P547" s="83"/>
      <c r="Q547" s="83"/>
      <c r="R547" s="42"/>
      <c r="S547" s="87"/>
      <c r="T547" s="83"/>
      <c r="U547" s="83"/>
      <c r="V547" s="83"/>
      <c r="W547" s="42"/>
      <c r="X547" s="42"/>
      <c r="Y547" s="42"/>
      <c r="Z547" s="42"/>
      <c r="AA547" s="42"/>
      <c r="AB547" s="42"/>
      <c r="AC547" s="42"/>
      <c r="AD547" s="42"/>
      <c r="AE547" s="42"/>
    </row>
    <row r="548">
      <c r="A548" s="95"/>
      <c r="B548" s="95"/>
      <c r="C548" s="54"/>
      <c r="D548" s="83"/>
      <c r="E548" s="96"/>
      <c r="F548" s="42"/>
      <c r="G548" s="97"/>
      <c r="H548" s="96"/>
      <c r="I548" s="96"/>
      <c r="J548" s="96"/>
      <c r="K548" s="99"/>
      <c r="L548" s="96"/>
      <c r="M548" s="96"/>
      <c r="N548" s="42"/>
      <c r="O548" s="42"/>
      <c r="P548" s="83"/>
      <c r="Q548" s="83"/>
      <c r="R548" s="42"/>
      <c r="S548" s="87"/>
      <c r="T548" s="83"/>
      <c r="U548" s="83"/>
      <c r="V548" s="83"/>
      <c r="W548" s="42"/>
      <c r="X548" s="42"/>
      <c r="Y548" s="42"/>
      <c r="Z548" s="42"/>
      <c r="AA548" s="42"/>
      <c r="AB548" s="42"/>
      <c r="AC548" s="42"/>
      <c r="AD548" s="42"/>
      <c r="AE548" s="42"/>
    </row>
    <row r="549">
      <c r="A549" s="95"/>
      <c r="B549" s="95"/>
      <c r="C549" s="54"/>
      <c r="D549" s="83"/>
      <c r="E549" s="96"/>
      <c r="F549" s="42"/>
      <c r="G549" s="97"/>
      <c r="H549" s="96"/>
      <c r="I549" s="96"/>
      <c r="J549" s="96"/>
      <c r="K549" s="99"/>
      <c r="L549" s="96"/>
      <c r="M549" s="96"/>
      <c r="N549" s="42"/>
      <c r="O549" s="42"/>
      <c r="P549" s="83"/>
      <c r="Q549" s="83"/>
      <c r="R549" s="42"/>
      <c r="S549" s="87"/>
      <c r="T549" s="83"/>
      <c r="U549" s="83"/>
      <c r="V549" s="83"/>
      <c r="W549" s="42"/>
      <c r="X549" s="42"/>
      <c r="Y549" s="42"/>
      <c r="Z549" s="42"/>
      <c r="AA549" s="42"/>
      <c r="AB549" s="42"/>
      <c r="AC549" s="42"/>
      <c r="AD549" s="42"/>
      <c r="AE549" s="42"/>
    </row>
    <row r="550">
      <c r="A550" s="95"/>
      <c r="B550" s="95"/>
      <c r="C550" s="54"/>
      <c r="D550" s="83"/>
      <c r="E550" s="96"/>
      <c r="F550" s="42"/>
      <c r="G550" s="97"/>
      <c r="H550" s="96"/>
      <c r="I550" s="96"/>
      <c r="J550" s="96"/>
      <c r="K550" s="99"/>
      <c r="L550" s="96"/>
      <c r="M550" s="96"/>
      <c r="N550" s="42"/>
      <c r="O550" s="42"/>
      <c r="P550" s="83"/>
      <c r="Q550" s="83"/>
      <c r="R550" s="42"/>
      <c r="S550" s="87"/>
      <c r="T550" s="83"/>
      <c r="U550" s="83"/>
      <c r="V550" s="83"/>
      <c r="W550" s="42"/>
      <c r="X550" s="42"/>
      <c r="Y550" s="42"/>
      <c r="Z550" s="42"/>
      <c r="AA550" s="42"/>
      <c r="AB550" s="42"/>
      <c r="AC550" s="42"/>
      <c r="AD550" s="42"/>
      <c r="AE550" s="42"/>
    </row>
    <row r="551">
      <c r="A551" s="95"/>
      <c r="B551" s="95"/>
      <c r="C551" s="54"/>
      <c r="D551" s="83"/>
      <c r="E551" s="96"/>
      <c r="F551" s="42"/>
      <c r="G551" s="97"/>
      <c r="H551" s="96"/>
      <c r="I551" s="96"/>
      <c r="J551" s="96"/>
      <c r="K551" s="99"/>
      <c r="L551" s="96"/>
      <c r="M551" s="96"/>
      <c r="N551" s="42"/>
      <c r="O551" s="42"/>
      <c r="P551" s="83"/>
      <c r="Q551" s="83"/>
      <c r="R551" s="42"/>
      <c r="S551" s="87"/>
      <c r="T551" s="83"/>
      <c r="U551" s="83"/>
      <c r="V551" s="83"/>
      <c r="W551" s="42"/>
      <c r="X551" s="42"/>
      <c r="Y551" s="42"/>
      <c r="Z551" s="42"/>
      <c r="AA551" s="42"/>
      <c r="AB551" s="42"/>
      <c r="AC551" s="42"/>
      <c r="AD551" s="42"/>
      <c r="AE551" s="42"/>
    </row>
    <row r="552">
      <c r="A552" s="95"/>
      <c r="B552" s="95"/>
      <c r="C552" s="54"/>
      <c r="D552" s="83"/>
      <c r="E552" s="96"/>
      <c r="F552" s="42"/>
      <c r="G552" s="97"/>
      <c r="H552" s="96"/>
      <c r="I552" s="96"/>
      <c r="J552" s="96"/>
      <c r="K552" s="99"/>
      <c r="L552" s="96"/>
      <c r="M552" s="96"/>
      <c r="N552" s="42"/>
      <c r="O552" s="42"/>
      <c r="P552" s="83"/>
      <c r="Q552" s="83"/>
      <c r="R552" s="42"/>
      <c r="S552" s="87"/>
      <c r="T552" s="83"/>
      <c r="U552" s="83"/>
      <c r="V552" s="83"/>
      <c r="W552" s="42"/>
      <c r="X552" s="42"/>
      <c r="Y552" s="42"/>
      <c r="Z552" s="42"/>
      <c r="AA552" s="42"/>
      <c r="AB552" s="42"/>
      <c r="AC552" s="42"/>
      <c r="AD552" s="42"/>
      <c r="AE552" s="42"/>
    </row>
    <row r="553">
      <c r="A553" s="95"/>
      <c r="B553" s="95"/>
      <c r="C553" s="54"/>
      <c r="D553" s="83"/>
      <c r="E553" s="96"/>
      <c r="F553" s="42"/>
      <c r="G553" s="97"/>
      <c r="H553" s="96"/>
      <c r="I553" s="96"/>
      <c r="J553" s="96"/>
      <c r="K553" s="99"/>
      <c r="L553" s="96"/>
      <c r="M553" s="96"/>
      <c r="N553" s="42"/>
      <c r="O553" s="42"/>
      <c r="P553" s="83"/>
      <c r="Q553" s="83"/>
      <c r="R553" s="42"/>
      <c r="S553" s="87"/>
      <c r="T553" s="83"/>
      <c r="U553" s="83"/>
      <c r="V553" s="83"/>
      <c r="W553" s="42"/>
      <c r="X553" s="42"/>
      <c r="Y553" s="42"/>
      <c r="Z553" s="42"/>
      <c r="AA553" s="42"/>
      <c r="AB553" s="42"/>
      <c r="AC553" s="42"/>
      <c r="AD553" s="42"/>
      <c r="AE553" s="42"/>
    </row>
    <row r="554">
      <c r="A554" s="95"/>
      <c r="B554" s="95"/>
      <c r="C554" s="54"/>
      <c r="D554" s="83"/>
      <c r="E554" s="96"/>
      <c r="F554" s="42"/>
      <c r="G554" s="97"/>
      <c r="H554" s="96"/>
      <c r="I554" s="96"/>
      <c r="J554" s="96"/>
      <c r="K554" s="99"/>
      <c r="L554" s="96"/>
      <c r="M554" s="96"/>
      <c r="N554" s="42"/>
      <c r="O554" s="42"/>
      <c r="P554" s="83"/>
      <c r="Q554" s="83"/>
      <c r="R554" s="42"/>
      <c r="S554" s="87"/>
      <c r="T554" s="83"/>
      <c r="U554" s="83"/>
      <c r="V554" s="83"/>
      <c r="W554" s="42"/>
      <c r="X554" s="42"/>
      <c r="Y554" s="42"/>
      <c r="Z554" s="42"/>
      <c r="AA554" s="42"/>
      <c r="AB554" s="42"/>
      <c r="AC554" s="42"/>
      <c r="AD554" s="42"/>
      <c r="AE554" s="42"/>
    </row>
    <row r="555">
      <c r="A555" s="95"/>
      <c r="B555" s="95"/>
      <c r="C555" s="54"/>
      <c r="D555" s="83"/>
      <c r="E555" s="96"/>
      <c r="F555" s="42"/>
      <c r="G555" s="97"/>
      <c r="H555" s="96"/>
      <c r="I555" s="96"/>
      <c r="J555" s="96"/>
      <c r="K555" s="99"/>
      <c r="L555" s="96"/>
      <c r="M555" s="96"/>
      <c r="N555" s="42"/>
      <c r="O555" s="42"/>
      <c r="P555" s="83"/>
      <c r="Q555" s="83"/>
      <c r="R555" s="42"/>
      <c r="S555" s="87"/>
      <c r="T555" s="83"/>
      <c r="U555" s="83"/>
      <c r="V555" s="83"/>
      <c r="W555" s="42"/>
      <c r="X555" s="42"/>
      <c r="Y555" s="42"/>
      <c r="Z555" s="42"/>
      <c r="AA555" s="42"/>
      <c r="AB555" s="42"/>
      <c r="AC555" s="42"/>
      <c r="AD555" s="42"/>
      <c r="AE555" s="42"/>
    </row>
    <row r="556">
      <c r="A556" s="95"/>
      <c r="B556" s="95"/>
      <c r="C556" s="54"/>
      <c r="D556" s="83"/>
      <c r="E556" s="96"/>
      <c r="F556" s="42"/>
      <c r="G556" s="97"/>
      <c r="H556" s="96"/>
      <c r="I556" s="96"/>
      <c r="J556" s="96"/>
      <c r="K556" s="99"/>
      <c r="L556" s="96"/>
      <c r="M556" s="96"/>
      <c r="N556" s="42"/>
      <c r="O556" s="42"/>
      <c r="P556" s="83"/>
      <c r="Q556" s="83"/>
      <c r="R556" s="42"/>
      <c r="S556" s="87"/>
      <c r="T556" s="83"/>
      <c r="U556" s="83"/>
      <c r="V556" s="83"/>
      <c r="W556" s="42"/>
      <c r="X556" s="42"/>
      <c r="Y556" s="42"/>
      <c r="Z556" s="42"/>
      <c r="AA556" s="42"/>
      <c r="AB556" s="42"/>
      <c r="AC556" s="42"/>
      <c r="AD556" s="42"/>
      <c r="AE556" s="42"/>
    </row>
    <row r="557">
      <c r="A557" s="95"/>
      <c r="B557" s="95"/>
      <c r="C557" s="54"/>
      <c r="D557" s="83"/>
      <c r="E557" s="96"/>
      <c r="F557" s="42"/>
      <c r="G557" s="97"/>
      <c r="H557" s="96"/>
      <c r="I557" s="96"/>
      <c r="J557" s="96"/>
      <c r="K557" s="99"/>
      <c r="L557" s="96"/>
      <c r="M557" s="96"/>
      <c r="N557" s="42"/>
      <c r="O557" s="42"/>
      <c r="P557" s="83"/>
      <c r="Q557" s="83"/>
      <c r="R557" s="42"/>
      <c r="S557" s="87"/>
      <c r="T557" s="83"/>
      <c r="U557" s="83"/>
      <c r="V557" s="83"/>
      <c r="W557" s="42"/>
      <c r="X557" s="42"/>
      <c r="Y557" s="42"/>
      <c r="Z557" s="42"/>
      <c r="AA557" s="42"/>
      <c r="AB557" s="42"/>
      <c r="AC557" s="42"/>
      <c r="AD557" s="42"/>
      <c r="AE557" s="42"/>
    </row>
    <row r="558">
      <c r="A558" s="95"/>
      <c r="B558" s="95"/>
      <c r="C558" s="54"/>
      <c r="D558" s="83"/>
      <c r="E558" s="96"/>
      <c r="F558" s="42"/>
      <c r="G558" s="97"/>
      <c r="H558" s="96"/>
      <c r="I558" s="96"/>
      <c r="J558" s="96"/>
      <c r="K558" s="99"/>
      <c r="L558" s="96"/>
      <c r="M558" s="96"/>
      <c r="N558" s="42"/>
      <c r="O558" s="42"/>
      <c r="P558" s="83"/>
      <c r="Q558" s="83"/>
      <c r="R558" s="42"/>
      <c r="S558" s="87"/>
      <c r="T558" s="83"/>
      <c r="U558" s="83"/>
      <c r="V558" s="83"/>
      <c r="W558" s="42"/>
      <c r="X558" s="42"/>
      <c r="Y558" s="42"/>
      <c r="Z558" s="42"/>
      <c r="AA558" s="42"/>
      <c r="AB558" s="42"/>
      <c r="AC558" s="42"/>
      <c r="AD558" s="42"/>
      <c r="AE558" s="42"/>
    </row>
    <row r="559">
      <c r="A559" s="95"/>
      <c r="B559" s="95"/>
      <c r="C559" s="54"/>
      <c r="D559" s="83"/>
      <c r="E559" s="96"/>
      <c r="F559" s="42"/>
      <c r="G559" s="97"/>
      <c r="H559" s="96"/>
      <c r="I559" s="96"/>
      <c r="J559" s="96"/>
      <c r="K559" s="99"/>
      <c r="L559" s="96"/>
      <c r="M559" s="96"/>
      <c r="N559" s="42"/>
      <c r="O559" s="42"/>
      <c r="P559" s="83"/>
      <c r="Q559" s="83"/>
      <c r="R559" s="42"/>
      <c r="S559" s="87"/>
      <c r="T559" s="83"/>
      <c r="U559" s="83"/>
      <c r="V559" s="83"/>
      <c r="W559" s="42"/>
      <c r="X559" s="42"/>
      <c r="Y559" s="42"/>
      <c r="Z559" s="42"/>
      <c r="AA559" s="42"/>
      <c r="AB559" s="42"/>
      <c r="AC559" s="42"/>
      <c r="AD559" s="42"/>
      <c r="AE559" s="42"/>
    </row>
    <row r="560">
      <c r="A560" s="95"/>
      <c r="B560" s="95"/>
      <c r="C560" s="54"/>
      <c r="D560" s="83"/>
      <c r="E560" s="96"/>
      <c r="F560" s="42"/>
      <c r="G560" s="97"/>
      <c r="H560" s="96"/>
      <c r="I560" s="96"/>
      <c r="J560" s="96"/>
      <c r="K560" s="99"/>
      <c r="L560" s="96"/>
      <c r="M560" s="96"/>
      <c r="N560" s="42"/>
      <c r="O560" s="42"/>
      <c r="P560" s="83"/>
      <c r="Q560" s="83"/>
      <c r="R560" s="42"/>
      <c r="S560" s="87"/>
      <c r="T560" s="83"/>
      <c r="U560" s="83"/>
      <c r="V560" s="83"/>
      <c r="W560" s="42"/>
      <c r="X560" s="42"/>
      <c r="Y560" s="42"/>
      <c r="Z560" s="42"/>
      <c r="AA560" s="42"/>
      <c r="AB560" s="42"/>
      <c r="AC560" s="42"/>
      <c r="AD560" s="42"/>
      <c r="AE560" s="42"/>
    </row>
    <row r="561">
      <c r="A561" s="95"/>
      <c r="B561" s="95"/>
      <c r="C561" s="54"/>
      <c r="D561" s="83"/>
      <c r="E561" s="96"/>
      <c r="F561" s="42"/>
      <c r="G561" s="97"/>
      <c r="H561" s="96"/>
      <c r="I561" s="96"/>
      <c r="J561" s="96"/>
      <c r="K561" s="99"/>
      <c r="L561" s="96"/>
      <c r="M561" s="96"/>
      <c r="N561" s="42"/>
      <c r="O561" s="42"/>
      <c r="P561" s="83"/>
      <c r="Q561" s="83"/>
      <c r="R561" s="42"/>
      <c r="S561" s="87"/>
      <c r="T561" s="83"/>
      <c r="U561" s="83"/>
      <c r="V561" s="83"/>
      <c r="W561" s="42"/>
      <c r="X561" s="42"/>
      <c r="Y561" s="42"/>
      <c r="Z561" s="42"/>
      <c r="AA561" s="42"/>
      <c r="AB561" s="42"/>
      <c r="AC561" s="42"/>
      <c r="AD561" s="42"/>
      <c r="AE561" s="42"/>
    </row>
    <row r="562">
      <c r="A562" s="95"/>
      <c r="B562" s="95"/>
      <c r="C562" s="54"/>
      <c r="D562" s="83"/>
      <c r="E562" s="96"/>
      <c r="F562" s="42"/>
      <c r="G562" s="97"/>
      <c r="H562" s="96"/>
      <c r="I562" s="96"/>
      <c r="J562" s="96"/>
      <c r="K562" s="99"/>
      <c r="L562" s="96"/>
      <c r="M562" s="96"/>
      <c r="N562" s="42"/>
      <c r="O562" s="42"/>
      <c r="P562" s="83"/>
      <c r="Q562" s="83"/>
      <c r="R562" s="42"/>
      <c r="S562" s="87"/>
      <c r="T562" s="83"/>
      <c r="U562" s="83"/>
      <c r="V562" s="83"/>
      <c r="W562" s="42"/>
      <c r="X562" s="42"/>
      <c r="Y562" s="42"/>
      <c r="Z562" s="42"/>
      <c r="AA562" s="42"/>
      <c r="AB562" s="42"/>
      <c r="AC562" s="42"/>
      <c r="AD562" s="42"/>
      <c r="AE562" s="42"/>
    </row>
    <row r="563">
      <c r="A563" s="95"/>
      <c r="B563" s="95"/>
      <c r="C563" s="54"/>
      <c r="D563" s="83"/>
      <c r="E563" s="96"/>
      <c r="F563" s="42"/>
      <c r="G563" s="97"/>
      <c r="H563" s="96"/>
      <c r="I563" s="96"/>
      <c r="J563" s="96"/>
      <c r="K563" s="99"/>
      <c r="L563" s="96"/>
      <c r="M563" s="96"/>
      <c r="N563" s="42"/>
      <c r="O563" s="42"/>
      <c r="P563" s="83"/>
      <c r="Q563" s="83"/>
      <c r="R563" s="42"/>
      <c r="S563" s="87"/>
      <c r="T563" s="83"/>
      <c r="U563" s="83"/>
      <c r="V563" s="83"/>
      <c r="W563" s="42"/>
      <c r="X563" s="42"/>
      <c r="Y563" s="42"/>
      <c r="Z563" s="42"/>
      <c r="AA563" s="42"/>
      <c r="AB563" s="42"/>
      <c r="AC563" s="42"/>
      <c r="AD563" s="42"/>
      <c r="AE563" s="42"/>
    </row>
    <row r="564">
      <c r="A564" s="95"/>
      <c r="B564" s="95"/>
      <c r="C564" s="54"/>
      <c r="D564" s="83"/>
      <c r="E564" s="96"/>
      <c r="F564" s="42"/>
      <c r="G564" s="97"/>
      <c r="H564" s="96"/>
      <c r="I564" s="96"/>
      <c r="J564" s="96"/>
      <c r="K564" s="99"/>
      <c r="L564" s="96"/>
      <c r="M564" s="96"/>
      <c r="N564" s="42"/>
      <c r="O564" s="42"/>
      <c r="P564" s="83"/>
      <c r="Q564" s="83"/>
      <c r="R564" s="42"/>
      <c r="S564" s="87"/>
      <c r="T564" s="83"/>
      <c r="U564" s="83"/>
      <c r="V564" s="83"/>
      <c r="W564" s="42"/>
      <c r="X564" s="42"/>
      <c r="Y564" s="42"/>
      <c r="Z564" s="42"/>
      <c r="AA564" s="42"/>
      <c r="AB564" s="42"/>
      <c r="AC564" s="42"/>
      <c r="AD564" s="42"/>
      <c r="AE564" s="42"/>
    </row>
    <row r="565">
      <c r="A565" s="95"/>
      <c r="B565" s="95"/>
      <c r="C565" s="54"/>
      <c r="D565" s="83"/>
      <c r="E565" s="96"/>
      <c r="F565" s="42"/>
      <c r="G565" s="97"/>
      <c r="H565" s="96"/>
      <c r="I565" s="96"/>
      <c r="J565" s="96"/>
      <c r="K565" s="99"/>
      <c r="L565" s="96"/>
      <c r="M565" s="96"/>
      <c r="N565" s="42"/>
      <c r="O565" s="42"/>
      <c r="P565" s="83"/>
      <c r="Q565" s="83"/>
      <c r="R565" s="42"/>
      <c r="S565" s="87"/>
      <c r="T565" s="83"/>
      <c r="U565" s="83"/>
      <c r="V565" s="83"/>
      <c r="W565" s="42"/>
      <c r="X565" s="42"/>
      <c r="Y565" s="42"/>
      <c r="Z565" s="42"/>
      <c r="AA565" s="42"/>
      <c r="AB565" s="42"/>
      <c r="AC565" s="42"/>
      <c r="AD565" s="42"/>
      <c r="AE565" s="42"/>
    </row>
    <row r="566">
      <c r="A566" s="95"/>
      <c r="B566" s="95"/>
      <c r="C566" s="54"/>
      <c r="D566" s="83"/>
      <c r="E566" s="96"/>
      <c r="F566" s="42"/>
      <c r="G566" s="97"/>
      <c r="H566" s="96"/>
      <c r="I566" s="96"/>
      <c r="J566" s="96"/>
      <c r="K566" s="99"/>
      <c r="L566" s="96"/>
      <c r="M566" s="96"/>
      <c r="N566" s="42"/>
      <c r="O566" s="42"/>
      <c r="P566" s="83"/>
      <c r="Q566" s="83"/>
      <c r="R566" s="42"/>
      <c r="S566" s="87"/>
      <c r="T566" s="83"/>
      <c r="U566" s="83"/>
      <c r="V566" s="83"/>
      <c r="W566" s="42"/>
      <c r="X566" s="42"/>
      <c r="Y566" s="42"/>
      <c r="Z566" s="42"/>
      <c r="AA566" s="42"/>
      <c r="AB566" s="42"/>
      <c r="AC566" s="42"/>
      <c r="AD566" s="42"/>
      <c r="AE566" s="42"/>
    </row>
    <row r="567">
      <c r="A567" s="95"/>
      <c r="B567" s="95"/>
      <c r="C567" s="54"/>
      <c r="D567" s="83"/>
      <c r="E567" s="96"/>
      <c r="F567" s="42"/>
      <c r="G567" s="97"/>
      <c r="H567" s="96"/>
      <c r="I567" s="96"/>
      <c r="J567" s="96"/>
      <c r="K567" s="99"/>
      <c r="L567" s="96"/>
      <c r="M567" s="96"/>
      <c r="N567" s="42"/>
      <c r="O567" s="42"/>
      <c r="P567" s="83"/>
      <c r="Q567" s="83"/>
      <c r="R567" s="42"/>
      <c r="S567" s="87"/>
      <c r="T567" s="83"/>
      <c r="U567" s="83"/>
      <c r="V567" s="83"/>
      <c r="W567" s="42"/>
      <c r="X567" s="42"/>
      <c r="Y567" s="42"/>
      <c r="Z567" s="42"/>
      <c r="AA567" s="42"/>
      <c r="AB567" s="42"/>
      <c r="AC567" s="42"/>
      <c r="AD567" s="42"/>
      <c r="AE567" s="42"/>
    </row>
    <row r="568">
      <c r="A568" s="95"/>
      <c r="B568" s="95"/>
      <c r="C568" s="54"/>
      <c r="D568" s="83"/>
      <c r="E568" s="96"/>
      <c r="F568" s="42"/>
      <c r="G568" s="97"/>
      <c r="H568" s="96"/>
      <c r="I568" s="96"/>
      <c r="J568" s="96"/>
      <c r="K568" s="99"/>
      <c r="L568" s="96"/>
      <c r="M568" s="96"/>
      <c r="N568" s="42"/>
      <c r="O568" s="42"/>
      <c r="P568" s="83"/>
      <c r="Q568" s="83"/>
      <c r="R568" s="42"/>
      <c r="S568" s="87"/>
      <c r="T568" s="83"/>
      <c r="U568" s="83"/>
      <c r="V568" s="83"/>
      <c r="W568" s="42"/>
      <c r="X568" s="42"/>
      <c r="Y568" s="42"/>
      <c r="Z568" s="42"/>
      <c r="AA568" s="42"/>
      <c r="AB568" s="42"/>
      <c r="AC568" s="42"/>
      <c r="AD568" s="42"/>
      <c r="AE568" s="42"/>
    </row>
    <row r="569">
      <c r="A569" s="95"/>
      <c r="B569" s="95"/>
      <c r="C569" s="54"/>
      <c r="D569" s="83"/>
      <c r="E569" s="96"/>
      <c r="F569" s="42"/>
      <c r="G569" s="97"/>
      <c r="H569" s="96"/>
      <c r="I569" s="96"/>
      <c r="J569" s="96"/>
      <c r="K569" s="99"/>
      <c r="L569" s="96"/>
      <c r="M569" s="96"/>
      <c r="N569" s="42"/>
      <c r="O569" s="42"/>
      <c r="P569" s="83"/>
      <c r="Q569" s="83"/>
      <c r="R569" s="42"/>
      <c r="S569" s="87"/>
      <c r="T569" s="83"/>
      <c r="U569" s="83"/>
      <c r="V569" s="83"/>
      <c r="W569" s="42"/>
      <c r="X569" s="42"/>
      <c r="Y569" s="42"/>
      <c r="Z569" s="42"/>
      <c r="AA569" s="42"/>
      <c r="AB569" s="42"/>
      <c r="AC569" s="42"/>
      <c r="AD569" s="42"/>
      <c r="AE569" s="42"/>
    </row>
    <row r="570">
      <c r="A570" s="95"/>
      <c r="B570" s="95"/>
      <c r="C570" s="54"/>
      <c r="D570" s="83"/>
      <c r="E570" s="96"/>
      <c r="F570" s="42"/>
      <c r="G570" s="97"/>
      <c r="H570" s="96"/>
      <c r="I570" s="96"/>
      <c r="J570" s="96"/>
      <c r="K570" s="99"/>
      <c r="L570" s="96"/>
      <c r="M570" s="96"/>
      <c r="N570" s="42"/>
      <c r="O570" s="42"/>
      <c r="P570" s="83"/>
      <c r="Q570" s="83"/>
      <c r="R570" s="42"/>
      <c r="S570" s="87"/>
      <c r="T570" s="83"/>
      <c r="U570" s="83"/>
      <c r="V570" s="83"/>
      <c r="W570" s="42"/>
      <c r="X570" s="42"/>
      <c r="Y570" s="42"/>
      <c r="Z570" s="42"/>
      <c r="AA570" s="42"/>
      <c r="AB570" s="42"/>
      <c r="AC570" s="42"/>
      <c r="AD570" s="42"/>
      <c r="AE570" s="42"/>
    </row>
    <row r="571">
      <c r="A571" s="95"/>
      <c r="B571" s="95"/>
      <c r="C571" s="54"/>
      <c r="D571" s="83"/>
      <c r="E571" s="96"/>
      <c r="F571" s="42"/>
      <c r="G571" s="97"/>
      <c r="H571" s="96"/>
      <c r="I571" s="96"/>
      <c r="J571" s="96"/>
      <c r="K571" s="99"/>
      <c r="L571" s="96"/>
      <c r="M571" s="96"/>
      <c r="N571" s="42"/>
      <c r="O571" s="42"/>
      <c r="P571" s="83"/>
      <c r="Q571" s="83"/>
      <c r="R571" s="42"/>
      <c r="S571" s="87"/>
      <c r="T571" s="83"/>
      <c r="U571" s="83"/>
      <c r="V571" s="83"/>
      <c r="W571" s="42"/>
      <c r="X571" s="42"/>
      <c r="Y571" s="42"/>
      <c r="Z571" s="42"/>
      <c r="AA571" s="42"/>
      <c r="AB571" s="42"/>
      <c r="AC571" s="42"/>
      <c r="AD571" s="42"/>
      <c r="AE571" s="42"/>
    </row>
    <row r="572">
      <c r="A572" s="95"/>
      <c r="B572" s="95"/>
      <c r="C572" s="54"/>
      <c r="D572" s="83"/>
      <c r="E572" s="96"/>
      <c r="F572" s="42"/>
      <c r="G572" s="97"/>
      <c r="H572" s="96"/>
      <c r="I572" s="96"/>
      <c r="J572" s="96"/>
      <c r="K572" s="99"/>
      <c r="L572" s="96"/>
      <c r="M572" s="96"/>
      <c r="N572" s="42"/>
      <c r="O572" s="42"/>
      <c r="P572" s="83"/>
      <c r="Q572" s="83"/>
      <c r="R572" s="42"/>
      <c r="S572" s="87"/>
      <c r="T572" s="83"/>
      <c r="U572" s="83"/>
      <c r="V572" s="83"/>
      <c r="W572" s="42"/>
      <c r="X572" s="42"/>
      <c r="Y572" s="42"/>
      <c r="Z572" s="42"/>
      <c r="AA572" s="42"/>
      <c r="AB572" s="42"/>
      <c r="AC572" s="42"/>
      <c r="AD572" s="42"/>
      <c r="AE572" s="42"/>
    </row>
    <row r="573">
      <c r="A573" s="95"/>
      <c r="B573" s="95"/>
      <c r="C573" s="54"/>
      <c r="D573" s="83"/>
      <c r="E573" s="96"/>
      <c r="F573" s="42"/>
      <c r="G573" s="97"/>
      <c r="H573" s="96"/>
      <c r="I573" s="96"/>
      <c r="J573" s="96"/>
      <c r="K573" s="99"/>
      <c r="L573" s="96"/>
      <c r="M573" s="96"/>
      <c r="N573" s="42"/>
      <c r="O573" s="42"/>
      <c r="P573" s="83"/>
      <c r="Q573" s="83"/>
      <c r="R573" s="42"/>
      <c r="S573" s="87"/>
      <c r="T573" s="83"/>
      <c r="U573" s="83"/>
      <c r="V573" s="83"/>
      <c r="W573" s="42"/>
      <c r="X573" s="42"/>
      <c r="Y573" s="42"/>
      <c r="Z573" s="42"/>
      <c r="AA573" s="42"/>
      <c r="AB573" s="42"/>
      <c r="AC573" s="42"/>
      <c r="AD573" s="42"/>
      <c r="AE573" s="42"/>
    </row>
    <row r="574">
      <c r="A574" s="95"/>
      <c r="B574" s="95"/>
      <c r="C574" s="54"/>
      <c r="D574" s="83"/>
      <c r="E574" s="96"/>
      <c r="F574" s="42"/>
      <c r="G574" s="97"/>
      <c r="H574" s="96"/>
      <c r="I574" s="96"/>
      <c r="J574" s="96"/>
      <c r="K574" s="99"/>
      <c r="L574" s="96"/>
      <c r="M574" s="96"/>
      <c r="N574" s="42"/>
      <c r="O574" s="42"/>
      <c r="P574" s="83"/>
      <c r="Q574" s="83"/>
      <c r="R574" s="42"/>
      <c r="S574" s="87"/>
      <c r="T574" s="83"/>
      <c r="U574" s="83"/>
      <c r="V574" s="83"/>
      <c r="W574" s="42"/>
      <c r="X574" s="42"/>
      <c r="Y574" s="42"/>
      <c r="Z574" s="42"/>
      <c r="AA574" s="42"/>
      <c r="AB574" s="42"/>
      <c r="AC574" s="42"/>
      <c r="AD574" s="42"/>
      <c r="AE574" s="42"/>
    </row>
    <row r="575">
      <c r="A575" s="95"/>
      <c r="B575" s="95"/>
      <c r="C575" s="54"/>
      <c r="D575" s="83"/>
      <c r="E575" s="96"/>
      <c r="F575" s="42"/>
      <c r="G575" s="97"/>
      <c r="H575" s="96"/>
      <c r="I575" s="96"/>
      <c r="J575" s="96"/>
      <c r="K575" s="99"/>
      <c r="L575" s="96"/>
      <c r="M575" s="96"/>
      <c r="N575" s="42"/>
      <c r="O575" s="42"/>
      <c r="P575" s="83"/>
      <c r="Q575" s="83"/>
      <c r="R575" s="42"/>
      <c r="S575" s="87"/>
      <c r="T575" s="83"/>
      <c r="U575" s="83"/>
      <c r="V575" s="83"/>
      <c r="W575" s="42"/>
      <c r="X575" s="42"/>
      <c r="Y575" s="42"/>
      <c r="Z575" s="42"/>
      <c r="AA575" s="42"/>
      <c r="AB575" s="42"/>
      <c r="AC575" s="42"/>
      <c r="AD575" s="42"/>
      <c r="AE575" s="42"/>
    </row>
    <row r="576">
      <c r="A576" s="95"/>
      <c r="B576" s="95"/>
      <c r="C576" s="54"/>
      <c r="D576" s="83"/>
      <c r="E576" s="96"/>
      <c r="F576" s="42"/>
      <c r="G576" s="97"/>
      <c r="H576" s="96"/>
      <c r="I576" s="96"/>
      <c r="J576" s="96"/>
      <c r="K576" s="99"/>
      <c r="L576" s="96"/>
      <c r="M576" s="96"/>
      <c r="N576" s="42"/>
      <c r="O576" s="42"/>
      <c r="P576" s="83"/>
      <c r="Q576" s="83"/>
      <c r="R576" s="42"/>
      <c r="S576" s="87"/>
      <c r="T576" s="83"/>
      <c r="U576" s="83"/>
      <c r="V576" s="83"/>
      <c r="W576" s="42"/>
      <c r="X576" s="42"/>
      <c r="Y576" s="42"/>
      <c r="Z576" s="42"/>
      <c r="AA576" s="42"/>
      <c r="AB576" s="42"/>
      <c r="AC576" s="42"/>
      <c r="AD576" s="42"/>
      <c r="AE576" s="42"/>
    </row>
    <row r="577">
      <c r="A577" s="95"/>
      <c r="B577" s="95"/>
      <c r="C577" s="54"/>
      <c r="D577" s="83"/>
      <c r="E577" s="96"/>
      <c r="F577" s="42"/>
      <c r="G577" s="97"/>
      <c r="H577" s="96"/>
      <c r="I577" s="96"/>
      <c r="J577" s="96"/>
      <c r="K577" s="99"/>
      <c r="L577" s="96"/>
      <c r="M577" s="96"/>
      <c r="N577" s="42"/>
      <c r="O577" s="42"/>
      <c r="P577" s="83"/>
      <c r="Q577" s="83"/>
      <c r="R577" s="42"/>
      <c r="S577" s="87"/>
      <c r="T577" s="83"/>
      <c r="U577" s="83"/>
      <c r="V577" s="83"/>
      <c r="W577" s="42"/>
      <c r="X577" s="42"/>
      <c r="Y577" s="42"/>
      <c r="Z577" s="42"/>
      <c r="AA577" s="42"/>
      <c r="AB577" s="42"/>
      <c r="AC577" s="42"/>
      <c r="AD577" s="42"/>
      <c r="AE577" s="42"/>
    </row>
    <row r="578">
      <c r="A578" s="95"/>
      <c r="B578" s="95"/>
      <c r="C578" s="54"/>
      <c r="D578" s="83"/>
      <c r="E578" s="96"/>
      <c r="F578" s="42"/>
      <c r="G578" s="97"/>
      <c r="H578" s="96"/>
      <c r="I578" s="96"/>
      <c r="J578" s="96"/>
      <c r="K578" s="99"/>
      <c r="L578" s="96"/>
      <c r="M578" s="96"/>
      <c r="N578" s="42"/>
      <c r="O578" s="42"/>
      <c r="P578" s="83"/>
      <c r="Q578" s="83"/>
      <c r="R578" s="42"/>
      <c r="S578" s="87"/>
      <c r="T578" s="83"/>
      <c r="U578" s="83"/>
      <c r="V578" s="83"/>
      <c r="W578" s="42"/>
      <c r="X578" s="42"/>
      <c r="Y578" s="42"/>
      <c r="Z578" s="42"/>
      <c r="AA578" s="42"/>
      <c r="AB578" s="42"/>
      <c r="AC578" s="42"/>
      <c r="AD578" s="42"/>
      <c r="AE578" s="42"/>
    </row>
    <row r="579">
      <c r="A579" s="95"/>
      <c r="B579" s="95"/>
      <c r="C579" s="54"/>
      <c r="D579" s="83"/>
      <c r="E579" s="96"/>
      <c r="F579" s="42"/>
      <c r="G579" s="97"/>
      <c r="H579" s="96"/>
      <c r="I579" s="96"/>
      <c r="J579" s="96"/>
      <c r="K579" s="99"/>
      <c r="L579" s="96"/>
      <c r="M579" s="96"/>
      <c r="N579" s="42"/>
      <c r="O579" s="42"/>
      <c r="P579" s="83"/>
      <c r="Q579" s="83"/>
      <c r="R579" s="42"/>
      <c r="S579" s="87"/>
      <c r="T579" s="83"/>
      <c r="U579" s="83"/>
      <c r="V579" s="83"/>
      <c r="W579" s="42"/>
      <c r="X579" s="42"/>
      <c r="Y579" s="42"/>
      <c r="Z579" s="42"/>
      <c r="AA579" s="42"/>
      <c r="AB579" s="42"/>
      <c r="AC579" s="42"/>
      <c r="AD579" s="42"/>
      <c r="AE579" s="42"/>
    </row>
    <row r="580">
      <c r="A580" s="95"/>
      <c r="B580" s="95"/>
      <c r="C580" s="54"/>
      <c r="D580" s="83"/>
      <c r="E580" s="96"/>
      <c r="F580" s="42"/>
      <c r="G580" s="97"/>
      <c r="H580" s="96"/>
      <c r="I580" s="96"/>
      <c r="J580" s="96"/>
      <c r="K580" s="99"/>
      <c r="L580" s="96"/>
      <c r="M580" s="96"/>
      <c r="N580" s="42"/>
      <c r="O580" s="42"/>
      <c r="P580" s="83"/>
      <c r="Q580" s="83"/>
      <c r="R580" s="42"/>
      <c r="S580" s="87"/>
      <c r="T580" s="83"/>
      <c r="U580" s="83"/>
      <c r="V580" s="83"/>
      <c r="W580" s="42"/>
      <c r="X580" s="42"/>
      <c r="Y580" s="42"/>
      <c r="Z580" s="42"/>
      <c r="AA580" s="42"/>
      <c r="AB580" s="42"/>
      <c r="AC580" s="42"/>
      <c r="AD580" s="42"/>
      <c r="AE580" s="42"/>
    </row>
    <row r="581">
      <c r="A581" s="95"/>
      <c r="B581" s="95"/>
      <c r="C581" s="54"/>
      <c r="D581" s="83"/>
      <c r="E581" s="96"/>
      <c r="F581" s="42"/>
      <c r="G581" s="97"/>
      <c r="H581" s="96"/>
      <c r="I581" s="96"/>
      <c r="J581" s="96"/>
      <c r="K581" s="99"/>
      <c r="L581" s="96"/>
      <c r="M581" s="96"/>
      <c r="N581" s="42"/>
      <c r="O581" s="42"/>
      <c r="P581" s="83"/>
      <c r="Q581" s="83"/>
      <c r="R581" s="42"/>
      <c r="S581" s="87"/>
      <c r="T581" s="83"/>
      <c r="U581" s="83"/>
      <c r="V581" s="83"/>
      <c r="W581" s="42"/>
      <c r="X581" s="42"/>
      <c r="Y581" s="42"/>
      <c r="Z581" s="42"/>
      <c r="AA581" s="42"/>
      <c r="AB581" s="42"/>
      <c r="AC581" s="42"/>
      <c r="AD581" s="42"/>
      <c r="AE581" s="42"/>
    </row>
    <row r="582">
      <c r="A582" s="95"/>
      <c r="B582" s="95"/>
      <c r="C582" s="54"/>
      <c r="D582" s="83"/>
      <c r="E582" s="96"/>
      <c r="F582" s="42"/>
      <c r="G582" s="97"/>
      <c r="H582" s="96"/>
      <c r="I582" s="96"/>
      <c r="J582" s="96"/>
      <c r="K582" s="99"/>
      <c r="L582" s="96"/>
      <c r="M582" s="96"/>
      <c r="N582" s="42"/>
      <c r="O582" s="42"/>
      <c r="P582" s="83"/>
      <c r="Q582" s="83"/>
      <c r="R582" s="42"/>
      <c r="S582" s="87"/>
      <c r="T582" s="83"/>
      <c r="U582" s="83"/>
      <c r="V582" s="83"/>
      <c r="W582" s="42"/>
      <c r="X582" s="42"/>
      <c r="Y582" s="42"/>
      <c r="Z582" s="42"/>
      <c r="AA582" s="42"/>
      <c r="AB582" s="42"/>
      <c r="AC582" s="42"/>
      <c r="AD582" s="42"/>
      <c r="AE582" s="42"/>
    </row>
    <row r="583">
      <c r="A583" s="95"/>
      <c r="B583" s="95"/>
      <c r="C583" s="54"/>
      <c r="D583" s="83"/>
      <c r="E583" s="96"/>
      <c r="F583" s="42"/>
      <c r="G583" s="97"/>
      <c r="H583" s="96"/>
      <c r="I583" s="96"/>
      <c r="J583" s="96"/>
      <c r="K583" s="99"/>
      <c r="L583" s="96"/>
      <c r="M583" s="96"/>
      <c r="N583" s="42"/>
      <c r="O583" s="42"/>
      <c r="P583" s="83"/>
      <c r="Q583" s="83"/>
      <c r="R583" s="42"/>
      <c r="S583" s="87"/>
      <c r="T583" s="83"/>
      <c r="U583" s="83"/>
      <c r="V583" s="83"/>
      <c r="W583" s="42"/>
      <c r="X583" s="42"/>
      <c r="Y583" s="42"/>
      <c r="Z583" s="42"/>
      <c r="AA583" s="42"/>
      <c r="AB583" s="42"/>
      <c r="AC583" s="42"/>
      <c r="AD583" s="42"/>
      <c r="AE583" s="42"/>
    </row>
    <row r="584">
      <c r="A584" s="95"/>
      <c r="B584" s="95"/>
      <c r="C584" s="54"/>
      <c r="D584" s="83"/>
      <c r="E584" s="96"/>
      <c r="F584" s="42"/>
      <c r="G584" s="97"/>
      <c r="H584" s="96"/>
      <c r="I584" s="96"/>
      <c r="J584" s="96"/>
      <c r="K584" s="99"/>
      <c r="L584" s="96"/>
      <c r="M584" s="96"/>
      <c r="N584" s="42"/>
      <c r="O584" s="42"/>
      <c r="P584" s="83"/>
      <c r="Q584" s="83"/>
      <c r="R584" s="42"/>
      <c r="S584" s="87"/>
      <c r="T584" s="83"/>
      <c r="U584" s="83"/>
      <c r="V584" s="83"/>
      <c r="W584" s="42"/>
      <c r="X584" s="42"/>
      <c r="Y584" s="42"/>
      <c r="Z584" s="42"/>
      <c r="AA584" s="42"/>
      <c r="AB584" s="42"/>
      <c r="AC584" s="42"/>
      <c r="AD584" s="42"/>
      <c r="AE584" s="42"/>
    </row>
    <row r="585">
      <c r="A585" s="95"/>
      <c r="B585" s="95"/>
      <c r="C585" s="54"/>
      <c r="D585" s="83"/>
      <c r="E585" s="96"/>
      <c r="F585" s="42"/>
      <c r="G585" s="97"/>
      <c r="H585" s="96"/>
      <c r="I585" s="96"/>
      <c r="J585" s="96"/>
      <c r="K585" s="99"/>
      <c r="L585" s="96"/>
      <c r="M585" s="96"/>
      <c r="N585" s="42"/>
      <c r="O585" s="42"/>
      <c r="P585" s="83"/>
      <c r="Q585" s="83"/>
      <c r="R585" s="42"/>
      <c r="S585" s="87"/>
      <c r="T585" s="83"/>
      <c r="U585" s="83"/>
      <c r="V585" s="83"/>
      <c r="W585" s="42"/>
      <c r="X585" s="42"/>
      <c r="Y585" s="42"/>
      <c r="Z585" s="42"/>
      <c r="AA585" s="42"/>
      <c r="AB585" s="42"/>
      <c r="AC585" s="42"/>
      <c r="AD585" s="42"/>
      <c r="AE585" s="42"/>
    </row>
    <row r="586">
      <c r="A586" s="95"/>
      <c r="B586" s="95"/>
      <c r="C586" s="54"/>
      <c r="D586" s="83"/>
      <c r="E586" s="96"/>
      <c r="F586" s="42"/>
      <c r="G586" s="97"/>
      <c r="H586" s="96"/>
      <c r="I586" s="96"/>
      <c r="J586" s="96"/>
      <c r="K586" s="99"/>
      <c r="L586" s="96"/>
      <c r="M586" s="96"/>
      <c r="N586" s="42"/>
      <c r="O586" s="42"/>
      <c r="P586" s="83"/>
      <c r="Q586" s="83"/>
      <c r="R586" s="42"/>
      <c r="S586" s="87"/>
      <c r="T586" s="83"/>
      <c r="U586" s="83"/>
      <c r="V586" s="83"/>
      <c r="W586" s="42"/>
      <c r="X586" s="42"/>
      <c r="Y586" s="42"/>
      <c r="Z586" s="42"/>
      <c r="AA586" s="42"/>
      <c r="AB586" s="42"/>
      <c r="AC586" s="42"/>
      <c r="AD586" s="42"/>
      <c r="AE586" s="42"/>
    </row>
    <row r="587">
      <c r="A587" s="95"/>
      <c r="B587" s="95"/>
      <c r="C587" s="54"/>
      <c r="D587" s="83"/>
      <c r="E587" s="96"/>
      <c r="F587" s="42"/>
      <c r="G587" s="97"/>
      <c r="H587" s="96"/>
      <c r="I587" s="96"/>
      <c r="J587" s="96"/>
      <c r="K587" s="99"/>
      <c r="L587" s="96"/>
      <c r="M587" s="96"/>
      <c r="N587" s="42"/>
      <c r="O587" s="42"/>
      <c r="P587" s="83"/>
      <c r="Q587" s="83"/>
      <c r="R587" s="42"/>
      <c r="S587" s="87"/>
      <c r="T587" s="83"/>
      <c r="U587" s="83"/>
      <c r="V587" s="83"/>
      <c r="W587" s="42"/>
      <c r="X587" s="42"/>
      <c r="Y587" s="42"/>
      <c r="Z587" s="42"/>
      <c r="AA587" s="42"/>
      <c r="AB587" s="42"/>
      <c r="AC587" s="42"/>
      <c r="AD587" s="42"/>
      <c r="AE587" s="42"/>
    </row>
    <row r="588">
      <c r="A588" s="95"/>
      <c r="B588" s="95"/>
      <c r="C588" s="54"/>
      <c r="D588" s="83"/>
      <c r="E588" s="96"/>
      <c r="F588" s="42"/>
      <c r="G588" s="97"/>
      <c r="H588" s="96"/>
      <c r="I588" s="96"/>
      <c r="J588" s="96"/>
      <c r="K588" s="99"/>
      <c r="L588" s="96"/>
      <c r="M588" s="96"/>
      <c r="N588" s="42"/>
      <c r="O588" s="42"/>
      <c r="P588" s="83"/>
      <c r="Q588" s="83"/>
      <c r="R588" s="42"/>
      <c r="S588" s="87"/>
      <c r="T588" s="83"/>
      <c r="U588" s="83"/>
      <c r="V588" s="83"/>
      <c r="W588" s="42"/>
      <c r="X588" s="42"/>
      <c r="Y588" s="42"/>
      <c r="Z588" s="42"/>
      <c r="AA588" s="42"/>
      <c r="AB588" s="42"/>
      <c r="AC588" s="42"/>
      <c r="AD588" s="42"/>
      <c r="AE588" s="42"/>
    </row>
    <row r="589">
      <c r="A589" s="95"/>
      <c r="B589" s="95"/>
      <c r="C589" s="54"/>
      <c r="D589" s="83"/>
      <c r="E589" s="96"/>
      <c r="F589" s="42"/>
      <c r="G589" s="97"/>
      <c r="H589" s="96"/>
      <c r="I589" s="96"/>
      <c r="J589" s="96"/>
      <c r="K589" s="99"/>
      <c r="L589" s="96"/>
      <c r="M589" s="96"/>
      <c r="N589" s="42"/>
      <c r="O589" s="42"/>
      <c r="P589" s="83"/>
      <c r="Q589" s="83"/>
      <c r="R589" s="42"/>
      <c r="S589" s="87"/>
      <c r="T589" s="83"/>
      <c r="U589" s="83"/>
      <c r="V589" s="83"/>
      <c r="W589" s="42"/>
      <c r="X589" s="42"/>
      <c r="Y589" s="42"/>
      <c r="Z589" s="42"/>
      <c r="AA589" s="42"/>
      <c r="AB589" s="42"/>
      <c r="AC589" s="42"/>
      <c r="AD589" s="42"/>
      <c r="AE589" s="42"/>
    </row>
    <row r="590">
      <c r="A590" s="95"/>
      <c r="B590" s="95"/>
      <c r="C590" s="54"/>
      <c r="D590" s="83"/>
      <c r="E590" s="96"/>
      <c r="F590" s="42"/>
      <c r="G590" s="97"/>
      <c r="H590" s="96"/>
      <c r="I590" s="96"/>
      <c r="J590" s="96"/>
      <c r="K590" s="99"/>
      <c r="L590" s="96"/>
      <c r="M590" s="96"/>
      <c r="N590" s="42"/>
      <c r="O590" s="42"/>
      <c r="P590" s="83"/>
      <c r="Q590" s="83"/>
      <c r="R590" s="42"/>
      <c r="S590" s="87"/>
      <c r="T590" s="83"/>
      <c r="U590" s="83"/>
      <c r="V590" s="83"/>
      <c r="W590" s="42"/>
      <c r="X590" s="42"/>
      <c r="Y590" s="42"/>
      <c r="Z590" s="42"/>
      <c r="AA590" s="42"/>
      <c r="AB590" s="42"/>
      <c r="AC590" s="42"/>
      <c r="AD590" s="42"/>
      <c r="AE590" s="42"/>
    </row>
    <row r="591">
      <c r="A591" s="95"/>
      <c r="B591" s="95"/>
      <c r="C591" s="54"/>
      <c r="D591" s="83"/>
      <c r="E591" s="96"/>
      <c r="F591" s="42"/>
      <c r="G591" s="97"/>
      <c r="H591" s="96"/>
      <c r="I591" s="96"/>
      <c r="J591" s="96"/>
      <c r="K591" s="99"/>
      <c r="L591" s="96"/>
      <c r="M591" s="96"/>
      <c r="N591" s="42"/>
      <c r="O591" s="42"/>
      <c r="P591" s="83"/>
      <c r="Q591" s="83"/>
      <c r="R591" s="42"/>
      <c r="S591" s="87"/>
      <c r="T591" s="83"/>
      <c r="U591" s="83"/>
      <c r="V591" s="83"/>
      <c r="W591" s="42"/>
      <c r="X591" s="42"/>
      <c r="Y591" s="42"/>
      <c r="Z591" s="42"/>
      <c r="AA591" s="42"/>
      <c r="AB591" s="42"/>
      <c r="AC591" s="42"/>
      <c r="AD591" s="42"/>
      <c r="AE591" s="42"/>
    </row>
    <row r="592">
      <c r="A592" s="95"/>
      <c r="B592" s="95"/>
      <c r="C592" s="54"/>
      <c r="D592" s="83"/>
      <c r="E592" s="96"/>
      <c r="F592" s="42"/>
      <c r="G592" s="97"/>
      <c r="H592" s="96"/>
      <c r="I592" s="96"/>
      <c r="J592" s="96"/>
      <c r="K592" s="99"/>
      <c r="L592" s="96"/>
      <c r="M592" s="96"/>
      <c r="N592" s="42"/>
      <c r="O592" s="42"/>
      <c r="P592" s="83"/>
      <c r="Q592" s="83"/>
      <c r="R592" s="42"/>
      <c r="S592" s="87"/>
      <c r="T592" s="83"/>
      <c r="U592" s="83"/>
      <c r="V592" s="83"/>
      <c r="W592" s="42"/>
      <c r="X592" s="42"/>
      <c r="Y592" s="42"/>
      <c r="Z592" s="42"/>
      <c r="AA592" s="42"/>
      <c r="AB592" s="42"/>
      <c r="AC592" s="42"/>
      <c r="AD592" s="42"/>
      <c r="AE592" s="42"/>
    </row>
    <row r="593">
      <c r="A593" s="95"/>
      <c r="B593" s="95"/>
      <c r="C593" s="54"/>
      <c r="D593" s="83"/>
      <c r="E593" s="96"/>
      <c r="F593" s="42"/>
      <c r="G593" s="97"/>
      <c r="H593" s="96"/>
      <c r="I593" s="96"/>
      <c r="J593" s="96"/>
      <c r="K593" s="99"/>
      <c r="L593" s="96"/>
      <c r="M593" s="96"/>
      <c r="N593" s="42"/>
      <c r="O593" s="42"/>
      <c r="P593" s="83"/>
      <c r="Q593" s="83"/>
      <c r="R593" s="42"/>
      <c r="S593" s="87"/>
      <c r="T593" s="83"/>
      <c r="U593" s="83"/>
      <c r="V593" s="83"/>
      <c r="W593" s="42"/>
      <c r="X593" s="42"/>
      <c r="Y593" s="42"/>
      <c r="Z593" s="42"/>
      <c r="AA593" s="42"/>
      <c r="AB593" s="42"/>
      <c r="AC593" s="42"/>
      <c r="AD593" s="42"/>
      <c r="AE593" s="42"/>
    </row>
    <row r="594">
      <c r="A594" s="95"/>
      <c r="B594" s="95"/>
      <c r="C594" s="54"/>
      <c r="D594" s="83"/>
      <c r="E594" s="96"/>
      <c r="F594" s="42"/>
      <c r="G594" s="97"/>
      <c r="H594" s="96"/>
      <c r="I594" s="96"/>
      <c r="J594" s="96"/>
      <c r="K594" s="99"/>
      <c r="L594" s="96"/>
      <c r="M594" s="96"/>
      <c r="N594" s="42"/>
      <c r="O594" s="42"/>
      <c r="P594" s="83"/>
      <c r="Q594" s="83"/>
      <c r="R594" s="42"/>
      <c r="S594" s="87"/>
      <c r="T594" s="83"/>
      <c r="U594" s="83"/>
      <c r="V594" s="83"/>
      <c r="W594" s="42"/>
      <c r="X594" s="42"/>
      <c r="Y594" s="42"/>
      <c r="Z594" s="42"/>
      <c r="AA594" s="42"/>
      <c r="AB594" s="42"/>
      <c r="AC594" s="42"/>
      <c r="AD594" s="42"/>
      <c r="AE594" s="42"/>
    </row>
    <row r="595">
      <c r="A595" s="95"/>
      <c r="B595" s="95"/>
      <c r="C595" s="54"/>
      <c r="D595" s="83"/>
      <c r="E595" s="96"/>
      <c r="F595" s="42"/>
      <c r="G595" s="97"/>
      <c r="H595" s="96"/>
      <c r="I595" s="96"/>
      <c r="J595" s="96"/>
      <c r="K595" s="99"/>
      <c r="L595" s="96"/>
      <c r="M595" s="96"/>
      <c r="N595" s="42"/>
      <c r="O595" s="42"/>
      <c r="P595" s="83"/>
      <c r="Q595" s="83"/>
      <c r="R595" s="42"/>
      <c r="S595" s="87"/>
      <c r="T595" s="83"/>
      <c r="U595" s="83"/>
      <c r="V595" s="83"/>
      <c r="W595" s="42"/>
      <c r="X595" s="42"/>
      <c r="Y595" s="42"/>
      <c r="Z595" s="42"/>
      <c r="AA595" s="42"/>
      <c r="AB595" s="42"/>
      <c r="AC595" s="42"/>
      <c r="AD595" s="42"/>
      <c r="AE595" s="42"/>
    </row>
    <row r="596">
      <c r="A596" s="95"/>
      <c r="B596" s="95"/>
      <c r="C596" s="54"/>
      <c r="D596" s="83"/>
      <c r="E596" s="96"/>
      <c r="F596" s="42"/>
      <c r="G596" s="97"/>
      <c r="H596" s="96"/>
      <c r="I596" s="96"/>
      <c r="J596" s="96"/>
      <c r="K596" s="99"/>
      <c r="L596" s="96"/>
      <c r="M596" s="96"/>
      <c r="N596" s="42"/>
      <c r="O596" s="42"/>
      <c r="P596" s="83"/>
      <c r="Q596" s="83"/>
      <c r="R596" s="42"/>
      <c r="S596" s="87"/>
      <c r="T596" s="83"/>
      <c r="U596" s="83"/>
      <c r="V596" s="83"/>
      <c r="W596" s="42"/>
      <c r="X596" s="42"/>
      <c r="Y596" s="42"/>
      <c r="Z596" s="42"/>
      <c r="AA596" s="42"/>
      <c r="AB596" s="42"/>
      <c r="AC596" s="42"/>
      <c r="AD596" s="42"/>
      <c r="AE596" s="42"/>
    </row>
    <row r="597">
      <c r="A597" s="95"/>
      <c r="B597" s="95"/>
      <c r="C597" s="54"/>
      <c r="D597" s="83"/>
      <c r="E597" s="96"/>
      <c r="F597" s="42"/>
      <c r="G597" s="97"/>
      <c r="H597" s="96"/>
      <c r="I597" s="96"/>
      <c r="J597" s="96"/>
      <c r="K597" s="99"/>
      <c r="L597" s="96"/>
      <c r="M597" s="96"/>
      <c r="N597" s="42"/>
      <c r="O597" s="42"/>
      <c r="P597" s="83"/>
      <c r="Q597" s="83"/>
      <c r="R597" s="42"/>
      <c r="S597" s="87"/>
      <c r="T597" s="83"/>
      <c r="U597" s="83"/>
      <c r="V597" s="83"/>
      <c r="W597" s="42"/>
      <c r="X597" s="42"/>
      <c r="Y597" s="42"/>
      <c r="Z597" s="42"/>
      <c r="AA597" s="42"/>
      <c r="AB597" s="42"/>
      <c r="AC597" s="42"/>
      <c r="AD597" s="42"/>
      <c r="AE597" s="42"/>
    </row>
    <row r="598">
      <c r="A598" s="95"/>
      <c r="B598" s="95"/>
      <c r="C598" s="54"/>
      <c r="D598" s="83"/>
      <c r="E598" s="96"/>
      <c r="F598" s="42"/>
      <c r="G598" s="97"/>
      <c r="H598" s="96"/>
      <c r="I598" s="96"/>
      <c r="J598" s="96"/>
      <c r="K598" s="99"/>
      <c r="L598" s="96"/>
      <c r="M598" s="96"/>
      <c r="N598" s="42"/>
      <c r="O598" s="42"/>
      <c r="P598" s="83"/>
      <c r="Q598" s="83"/>
      <c r="R598" s="42"/>
      <c r="S598" s="87"/>
      <c r="T598" s="83"/>
      <c r="U598" s="83"/>
      <c r="V598" s="83"/>
      <c r="W598" s="42"/>
      <c r="X598" s="42"/>
      <c r="Y598" s="42"/>
      <c r="Z598" s="42"/>
      <c r="AA598" s="42"/>
      <c r="AB598" s="42"/>
      <c r="AC598" s="42"/>
      <c r="AD598" s="42"/>
      <c r="AE598" s="42"/>
    </row>
    <row r="599">
      <c r="A599" s="95"/>
      <c r="B599" s="95"/>
      <c r="C599" s="54"/>
      <c r="D599" s="83"/>
      <c r="E599" s="96"/>
      <c r="F599" s="42"/>
      <c r="G599" s="97"/>
      <c r="H599" s="96"/>
      <c r="I599" s="96"/>
      <c r="J599" s="96"/>
      <c r="K599" s="99"/>
      <c r="L599" s="96"/>
      <c r="M599" s="96"/>
      <c r="N599" s="42"/>
      <c r="O599" s="42"/>
      <c r="P599" s="83"/>
      <c r="Q599" s="83"/>
      <c r="R599" s="42"/>
      <c r="S599" s="87"/>
      <c r="T599" s="83"/>
      <c r="U599" s="83"/>
      <c r="V599" s="83"/>
      <c r="W599" s="42"/>
      <c r="X599" s="42"/>
      <c r="Y599" s="42"/>
      <c r="Z599" s="42"/>
      <c r="AA599" s="42"/>
      <c r="AB599" s="42"/>
      <c r="AC599" s="42"/>
      <c r="AD599" s="42"/>
      <c r="AE599" s="42"/>
    </row>
    <row r="600">
      <c r="A600" s="95"/>
      <c r="B600" s="95"/>
      <c r="C600" s="54"/>
      <c r="D600" s="83"/>
      <c r="E600" s="96"/>
      <c r="F600" s="42"/>
      <c r="G600" s="97"/>
      <c r="H600" s="96"/>
      <c r="I600" s="96"/>
      <c r="J600" s="96"/>
      <c r="K600" s="99"/>
      <c r="L600" s="96"/>
      <c r="M600" s="96"/>
      <c r="N600" s="42"/>
      <c r="O600" s="42"/>
      <c r="P600" s="83"/>
      <c r="Q600" s="83"/>
      <c r="R600" s="42"/>
      <c r="S600" s="87"/>
      <c r="T600" s="83"/>
      <c r="U600" s="83"/>
      <c r="V600" s="83"/>
      <c r="W600" s="42"/>
      <c r="X600" s="42"/>
      <c r="Y600" s="42"/>
      <c r="Z600" s="42"/>
      <c r="AA600" s="42"/>
      <c r="AB600" s="42"/>
      <c r="AC600" s="42"/>
      <c r="AD600" s="42"/>
      <c r="AE600" s="42"/>
    </row>
    <row r="601">
      <c r="A601" s="95"/>
      <c r="B601" s="95"/>
      <c r="C601" s="54"/>
      <c r="D601" s="83"/>
      <c r="E601" s="96"/>
      <c r="F601" s="42"/>
      <c r="G601" s="97"/>
      <c r="H601" s="96"/>
      <c r="I601" s="96"/>
      <c r="J601" s="96"/>
      <c r="K601" s="99"/>
      <c r="L601" s="96"/>
      <c r="M601" s="96"/>
      <c r="N601" s="42"/>
      <c r="O601" s="42"/>
      <c r="P601" s="83"/>
      <c r="Q601" s="83"/>
      <c r="R601" s="42"/>
      <c r="S601" s="87"/>
      <c r="T601" s="83"/>
      <c r="U601" s="83"/>
      <c r="V601" s="83"/>
      <c r="W601" s="42"/>
      <c r="X601" s="42"/>
      <c r="Y601" s="42"/>
      <c r="Z601" s="42"/>
      <c r="AA601" s="42"/>
      <c r="AB601" s="42"/>
      <c r="AC601" s="42"/>
      <c r="AD601" s="42"/>
      <c r="AE601" s="42"/>
    </row>
    <row r="602">
      <c r="A602" s="95"/>
      <c r="B602" s="95"/>
      <c r="C602" s="54"/>
      <c r="D602" s="83"/>
      <c r="E602" s="96"/>
      <c r="F602" s="42"/>
      <c r="G602" s="97"/>
      <c r="H602" s="96"/>
      <c r="I602" s="96"/>
      <c r="J602" s="96"/>
      <c r="K602" s="99"/>
      <c r="L602" s="96"/>
      <c r="M602" s="96"/>
      <c r="N602" s="42"/>
      <c r="O602" s="42"/>
      <c r="P602" s="83"/>
      <c r="Q602" s="83"/>
      <c r="R602" s="42"/>
      <c r="S602" s="87"/>
      <c r="T602" s="83"/>
      <c r="U602" s="83"/>
      <c r="V602" s="83"/>
      <c r="W602" s="42"/>
      <c r="X602" s="42"/>
      <c r="Y602" s="42"/>
      <c r="Z602" s="42"/>
      <c r="AA602" s="42"/>
      <c r="AB602" s="42"/>
      <c r="AC602" s="42"/>
      <c r="AD602" s="42"/>
      <c r="AE602" s="42"/>
    </row>
    <row r="603">
      <c r="A603" s="95"/>
      <c r="B603" s="95"/>
      <c r="C603" s="54"/>
      <c r="D603" s="83"/>
      <c r="E603" s="96"/>
      <c r="F603" s="42"/>
      <c r="G603" s="97"/>
      <c r="H603" s="96"/>
      <c r="I603" s="96"/>
      <c r="J603" s="96"/>
      <c r="K603" s="99"/>
      <c r="L603" s="96"/>
      <c r="M603" s="96"/>
      <c r="N603" s="42"/>
      <c r="O603" s="42"/>
      <c r="P603" s="83"/>
      <c r="Q603" s="83"/>
      <c r="R603" s="42"/>
      <c r="S603" s="87"/>
      <c r="T603" s="83"/>
      <c r="U603" s="83"/>
      <c r="V603" s="83"/>
      <c r="W603" s="42"/>
      <c r="X603" s="42"/>
      <c r="Y603" s="42"/>
      <c r="Z603" s="42"/>
      <c r="AA603" s="42"/>
      <c r="AB603" s="42"/>
      <c r="AC603" s="42"/>
      <c r="AD603" s="42"/>
      <c r="AE603" s="42"/>
    </row>
  </sheetData>
  <autoFilter ref="$A$1:$V$603"/>
  <customSheetViews>
    <customSheetView guid="{D0AFF231-FA66-403A-9E1B-F06EA203B753}" filter="1" showAutoFilter="1">
      <autoFilter ref="$A$1:$T$17"/>
    </customSheetView>
  </customSheetViews>
  <conditionalFormatting sqref="U2:U40 U49:U53 U58:U61">
    <cfRule type="cellIs" dxfId="3" priority="1" operator="equal">
      <formula>"EM ANDAMENTO"</formula>
    </cfRule>
  </conditionalFormatting>
  <hyperlinks>
    <hyperlink r:id="rId1" ref="U4"/>
    <hyperlink r:id="rId2" ref="U5"/>
    <hyperlink r:id="rId3" ref="U32"/>
    <hyperlink r:id="rId4" ref="U33"/>
    <hyperlink r:id="rId5" ref="U34"/>
    <hyperlink r:id="rId6" ref="U35"/>
    <hyperlink r:id="rId7" ref="U49"/>
    <hyperlink r:id="rId8" ref="U50"/>
    <hyperlink r:id="rId9" ref="U51"/>
    <hyperlink r:id="rId10" ref="U52"/>
    <hyperlink r:id="rId11" ref="U53"/>
    <hyperlink r:id="rId12" ref="U58"/>
    <hyperlink r:id="rId13" ref="U59"/>
    <hyperlink r:id="rId14" ref="U60"/>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9.0"/>
    <col customWidth="1" min="4" max="4" width="17.75"/>
    <col customWidth="1" min="7" max="7" width="15.0"/>
    <col customWidth="1" min="8" max="8" width="64.13"/>
    <col customWidth="1" min="9" max="9" width="16.0"/>
    <col customWidth="1" min="10" max="10" width="13.5"/>
  </cols>
  <sheetData>
    <row r="1">
      <c r="A1" s="120" t="s">
        <v>0</v>
      </c>
      <c r="B1" s="120" t="s">
        <v>1836</v>
      </c>
      <c r="C1" s="120" t="s">
        <v>1837</v>
      </c>
      <c r="D1" s="120" t="s">
        <v>1838</v>
      </c>
      <c r="E1" s="120" t="s">
        <v>1839</v>
      </c>
      <c r="F1" s="120" t="s">
        <v>1840</v>
      </c>
      <c r="G1" s="120" t="s">
        <v>217</v>
      </c>
      <c r="H1" s="120" t="s">
        <v>229</v>
      </c>
      <c r="I1" s="120" t="s">
        <v>1841</v>
      </c>
      <c r="J1" s="31" t="s">
        <v>230</v>
      </c>
      <c r="K1" s="121"/>
      <c r="L1" s="121"/>
      <c r="M1" s="121"/>
      <c r="N1" s="121"/>
      <c r="O1" s="121"/>
      <c r="P1" s="121"/>
      <c r="Q1" s="121"/>
      <c r="R1" s="121"/>
      <c r="S1" s="121"/>
      <c r="T1" s="121"/>
      <c r="U1" s="121"/>
      <c r="V1" s="121"/>
      <c r="W1" s="121"/>
      <c r="X1" s="121"/>
      <c r="Y1" s="121"/>
      <c r="Z1" s="121"/>
      <c r="AA1" s="121"/>
      <c r="AB1" s="121"/>
    </row>
    <row r="2">
      <c r="A2" s="122" t="s">
        <v>1842</v>
      </c>
      <c r="B2" s="123" t="s">
        <v>1843</v>
      </c>
      <c r="C2" s="123" t="s">
        <v>1844</v>
      </c>
      <c r="D2" s="124" t="s">
        <v>1845</v>
      </c>
      <c r="E2" s="124" t="s">
        <v>1846</v>
      </c>
      <c r="F2" s="125" t="s">
        <v>1847</v>
      </c>
      <c r="G2" s="126" t="s">
        <v>393</v>
      </c>
      <c r="H2" s="127" t="s">
        <v>1848</v>
      </c>
      <c r="I2" s="128" t="s">
        <v>1849</v>
      </c>
      <c r="J2" s="61" t="str">
        <f>IFERROR(IF(G2="Ativo","Ativo",IF(G2="SKU excluído","Vencido",VLOOKUP(A2,Encerramentos!B:G,6,0))),"")</f>
        <v>Ativo</v>
      </c>
      <c r="K2" s="121"/>
      <c r="L2" s="121"/>
      <c r="M2" s="121"/>
      <c r="N2" s="121"/>
      <c r="O2" s="121"/>
      <c r="P2" s="121"/>
      <c r="Q2" s="121"/>
      <c r="R2" s="121"/>
      <c r="S2" s="121"/>
      <c r="T2" s="121"/>
      <c r="U2" s="121"/>
      <c r="V2" s="121"/>
      <c r="W2" s="121"/>
      <c r="X2" s="121"/>
      <c r="Y2" s="121"/>
      <c r="Z2" s="121"/>
      <c r="AA2" s="121"/>
      <c r="AB2" s="121"/>
    </row>
    <row r="3">
      <c r="A3" s="122" t="s">
        <v>1850</v>
      </c>
      <c r="B3" s="123" t="s">
        <v>1851</v>
      </c>
      <c r="C3" s="123" t="s">
        <v>1844</v>
      </c>
      <c r="D3" s="124" t="s">
        <v>1845</v>
      </c>
      <c r="E3" s="124" t="s">
        <v>1846</v>
      </c>
      <c r="F3" s="125" t="s">
        <v>1847</v>
      </c>
      <c r="G3" s="126" t="s">
        <v>393</v>
      </c>
      <c r="H3" s="127" t="s">
        <v>1848</v>
      </c>
      <c r="I3" s="128" t="s">
        <v>1849</v>
      </c>
      <c r="J3" s="61" t="str">
        <f>IFERROR(IF(G3="Ativo","Ativo",IF(G3="SKU excluído","Vencido",VLOOKUP(A3,Encerramentos!B:G,6,0))),"")</f>
        <v>Ativo</v>
      </c>
      <c r="K3" s="121"/>
      <c r="L3" s="121"/>
      <c r="M3" s="121"/>
      <c r="N3" s="121"/>
      <c r="O3" s="121"/>
      <c r="P3" s="121"/>
      <c r="Q3" s="121"/>
      <c r="R3" s="121"/>
      <c r="S3" s="121"/>
      <c r="T3" s="121"/>
      <c r="U3" s="121"/>
      <c r="V3" s="121"/>
      <c r="W3" s="121"/>
      <c r="X3" s="121"/>
      <c r="Y3" s="121"/>
      <c r="Z3" s="121"/>
      <c r="AA3" s="121"/>
      <c r="AB3" s="121"/>
    </row>
    <row r="4">
      <c r="A4" s="122" t="s">
        <v>1852</v>
      </c>
      <c r="B4" s="123" t="s">
        <v>1853</v>
      </c>
      <c r="C4" s="123" t="s">
        <v>1844</v>
      </c>
      <c r="D4" s="124" t="s">
        <v>1845</v>
      </c>
      <c r="E4" s="124" t="s">
        <v>1846</v>
      </c>
      <c r="F4" s="125" t="s">
        <v>1847</v>
      </c>
      <c r="G4" s="126" t="s">
        <v>393</v>
      </c>
      <c r="H4" s="127" t="s">
        <v>1848</v>
      </c>
      <c r="I4" s="128" t="s">
        <v>1854</v>
      </c>
      <c r="J4" s="61" t="str">
        <f>IFERROR(IF(G4="Ativo","Ativo",IF(G4="SKU excluído","Vencido",VLOOKUP(A4,Encerramentos!B:G,6,0))),"")</f>
        <v>Ativo</v>
      </c>
      <c r="K4" s="121"/>
      <c r="L4" s="121"/>
      <c r="M4" s="121"/>
      <c r="N4" s="121"/>
      <c r="O4" s="121"/>
      <c r="P4" s="121"/>
      <c r="Q4" s="121"/>
      <c r="R4" s="121"/>
      <c r="S4" s="121"/>
      <c r="T4" s="121"/>
      <c r="U4" s="121"/>
      <c r="V4" s="121"/>
      <c r="W4" s="121"/>
      <c r="X4" s="121"/>
      <c r="Y4" s="121"/>
      <c r="Z4" s="121"/>
      <c r="AA4" s="121"/>
      <c r="AB4" s="121"/>
    </row>
    <row r="5">
      <c r="A5" s="122" t="s">
        <v>1855</v>
      </c>
      <c r="B5" s="123" t="s">
        <v>1856</v>
      </c>
      <c r="C5" s="123" t="s">
        <v>1844</v>
      </c>
      <c r="D5" s="124" t="s">
        <v>1845</v>
      </c>
      <c r="E5" s="124" t="s">
        <v>1846</v>
      </c>
      <c r="F5" s="125" t="s">
        <v>1847</v>
      </c>
      <c r="G5" s="126" t="s">
        <v>393</v>
      </c>
      <c r="H5" s="127" t="s">
        <v>1848</v>
      </c>
      <c r="I5" s="128" t="s">
        <v>1854</v>
      </c>
      <c r="J5" s="61" t="str">
        <f>IFERROR(IF(G5="Ativo","Ativo",IF(G5="SKU excluído","Vencido",VLOOKUP(A5,Encerramentos!B:G,6,0))),"")</f>
        <v>Ativo</v>
      </c>
      <c r="K5" s="121"/>
      <c r="L5" s="121"/>
      <c r="M5" s="121"/>
      <c r="N5" s="121"/>
      <c r="O5" s="121"/>
      <c r="P5" s="121"/>
      <c r="Q5" s="121"/>
      <c r="R5" s="121"/>
      <c r="S5" s="121"/>
      <c r="T5" s="121"/>
      <c r="U5" s="121"/>
      <c r="V5" s="121"/>
      <c r="W5" s="121"/>
      <c r="X5" s="121"/>
      <c r="Y5" s="121"/>
      <c r="Z5" s="121"/>
      <c r="AA5" s="121"/>
      <c r="AB5" s="121"/>
    </row>
    <row r="6">
      <c r="A6" s="122" t="s">
        <v>1857</v>
      </c>
      <c r="B6" s="123" t="s">
        <v>1858</v>
      </c>
      <c r="C6" s="123" t="s">
        <v>1844</v>
      </c>
      <c r="D6" s="124" t="s">
        <v>1845</v>
      </c>
      <c r="E6" s="124" t="s">
        <v>1846</v>
      </c>
      <c r="F6" s="125" t="s">
        <v>1847</v>
      </c>
      <c r="G6" s="126" t="s">
        <v>393</v>
      </c>
      <c r="H6" s="127" t="s">
        <v>1848</v>
      </c>
      <c r="I6" s="128" t="s">
        <v>1854</v>
      </c>
      <c r="J6" s="61" t="str">
        <f>IFERROR(IF(G6="Ativo","Ativo",IF(G6="SKU excluído","Vencido",VLOOKUP(A6,Encerramentos!B:G,6,0))),"")</f>
        <v>Ativo</v>
      </c>
      <c r="K6" s="121"/>
      <c r="L6" s="121"/>
      <c r="M6" s="121"/>
      <c r="N6" s="121"/>
      <c r="O6" s="121"/>
      <c r="P6" s="121"/>
      <c r="Q6" s="121"/>
      <c r="R6" s="121"/>
      <c r="S6" s="121"/>
      <c r="T6" s="121"/>
      <c r="U6" s="121"/>
      <c r="V6" s="121"/>
      <c r="W6" s="121"/>
      <c r="X6" s="121"/>
      <c r="Y6" s="121"/>
      <c r="Z6" s="121"/>
      <c r="AA6" s="121"/>
      <c r="AB6" s="121"/>
    </row>
    <row r="7">
      <c r="A7" s="122" t="s">
        <v>1859</v>
      </c>
      <c r="B7" s="123" t="s">
        <v>1860</v>
      </c>
      <c r="C7" s="123" t="s">
        <v>1844</v>
      </c>
      <c r="D7" s="124" t="s">
        <v>1845</v>
      </c>
      <c r="E7" s="124" t="s">
        <v>1846</v>
      </c>
      <c r="F7" s="125" t="s">
        <v>1847</v>
      </c>
      <c r="G7" s="126" t="s">
        <v>393</v>
      </c>
      <c r="H7" s="127" t="s">
        <v>1848</v>
      </c>
      <c r="I7" s="128" t="s">
        <v>1854</v>
      </c>
      <c r="J7" s="61" t="str">
        <f>IFERROR(IF(G7="Ativo","Ativo",IF(G7="SKU excluído","Vencido",VLOOKUP(A7,Encerramentos!B:G,6,0))),"")</f>
        <v>Ativo</v>
      </c>
      <c r="K7" s="121"/>
      <c r="L7" s="121"/>
      <c r="M7" s="121"/>
      <c r="N7" s="121"/>
      <c r="O7" s="121"/>
      <c r="P7" s="121"/>
      <c r="Q7" s="121"/>
      <c r="R7" s="121"/>
      <c r="S7" s="121"/>
      <c r="T7" s="121"/>
      <c r="U7" s="121"/>
      <c r="V7" s="121"/>
      <c r="W7" s="121"/>
      <c r="X7" s="121"/>
      <c r="Y7" s="121"/>
      <c r="Z7" s="121"/>
      <c r="AA7" s="121"/>
      <c r="AB7" s="121"/>
    </row>
    <row r="8">
      <c r="A8" s="122" t="s">
        <v>1861</v>
      </c>
      <c r="B8" s="123" t="s">
        <v>1862</v>
      </c>
      <c r="C8" s="123" t="s">
        <v>1844</v>
      </c>
      <c r="D8" s="124" t="s">
        <v>1845</v>
      </c>
      <c r="E8" s="124" t="s">
        <v>1846</v>
      </c>
      <c r="F8" s="125" t="s">
        <v>1847</v>
      </c>
      <c r="G8" s="126" t="s">
        <v>393</v>
      </c>
      <c r="H8" s="127" t="s">
        <v>1848</v>
      </c>
      <c r="I8" s="128" t="s">
        <v>1854</v>
      </c>
      <c r="J8" s="61" t="str">
        <f>IFERROR(IF(G8="Ativo","Ativo",IF(G8="SKU excluído","Vencido",VLOOKUP(A8,Encerramentos!B:G,6,0))),"")</f>
        <v>Ativo</v>
      </c>
      <c r="K8" s="121"/>
      <c r="L8" s="121"/>
      <c r="M8" s="121"/>
      <c r="N8" s="121"/>
      <c r="O8" s="121"/>
      <c r="P8" s="121"/>
      <c r="Q8" s="121"/>
      <c r="R8" s="121"/>
      <c r="S8" s="121"/>
      <c r="T8" s="121"/>
      <c r="U8" s="121"/>
      <c r="V8" s="121"/>
      <c r="W8" s="121"/>
      <c r="X8" s="121"/>
      <c r="Y8" s="121"/>
      <c r="Z8" s="121"/>
      <c r="AA8" s="121"/>
      <c r="AB8" s="121"/>
    </row>
    <row r="9">
      <c r="A9" s="122" t="s">
        <v>1863</v>
      </c>
      <c r="B9" s="123" t="s">
        <v>1864</v>
      </c>
      <c r="C9" s="123" t="s">
        <v>1844</v>
      </c>
      <c r="D9" s="124" t="s">
        <v>1845</v>
      </c>
      <c r="E9" s="124" t="s">
        <v>1846</v>
      </c>
      <c r="F9" s="125" t="s">
        <v>1847</v>
      </c>
      <c r="G9" s="126" t="s">
        <v>393</v>
      </c>
      <c r="H9" s="127" t="s">
        <v>1848</v>
      </c>
      <c r="I9" s="128" t="s">
        <v>1854</v>
      </c>
      <c r="J9" s="61" t="str">
        <f>IFERROR(IF(G9="Ativo","Ativo",IF(G9="SKU excluído","Vencido",VLOOKUP(A9,Encerramentos!B:G,6,0))),"")</f>
        <v>Ativo</v>
      </c>
      <c r="K9" s="121"/>
      <c r="L9" s="121"/>
      <c r="M9" s="121"/>
      <c r="N9" s="121"/>
      <c r="O9" s="121"/>
      <c r="P9" s="121"/>
      <c r="Q9" s="121"/>
      <c r="R9" s="121"/>
      <c r="S9" s="121"/>
      <c r="T9" s="121"/>
      <c r="U9" s="121"/>
      <c r="V9" s="121"/>
      <c r="W9" s="121"/>
      <c r="X9" s="121"/>
      <c r="Y9" s="121"/>
      <c r="Z9" s="121"/>
      <c r="AA9" s="121"/>
      <c r="AB9" s="121"/>
    </row>
    <row r="10">
      <c r="A10" s="122" t="s">
        <v>1865</v>
      </c>
      <c r="B10" s="123" t="s">
        <v>1866</v>
      </c>
      <c r="C10" s="123" t="s">
        <v>1844</v>
      </c>
      <c r="D10" s="124" t="s">
        <v>1845</v>
      </c>
      <c r="E10" s="124" t="s">
        <v>1846</v>
      </c>
      <c r="F10" s="125" t="s">
        <v>1847</v>
      </c>
      <c r="G10" s="126" t="s">
        <v>393</v>
      </c>
      <c r="H10" s="127" t="s">
        <v>1848</v>
      </c>
      <c r="I10" s="128" t="s">
        <v>1854</v>
      </c>
      <c r="J10" s="61" t="str">
        <f>IFERROR(IF(G10="Ativo","Ativo",IF(G10="SKU excluído","Vencido",VLOOKUP(A10,Encerramentos!B:G,6,0))),"")</f>
        <v>Ativo</v>
      </c>
      <c r="K10" s="121"/>
      <c r="L10" s="121"/>
      <c r="M10" s="121"/>
      <c r="N10" s="121"/>
      <c r="O10" s="121"/>
      <c r="P10" s="121"/>
      <c r="Q10" s="121"/>
      <c r="R10" s="121"/>
      <c r="S10" s="121"/>
      <c r="T10" s="121"/>
      <c r="U10" s="121"/>
      <c r="V10" s="121"/>
      <c r="W10" s="121"/>
      <c r="X10" s="121"/>
      <c r="Y10" s="121"/>
      <c r="Z10" s="121"/>
      <c r="AA10" s="121"/>
      <c r="AB10" s="121"/>
    </row>
    <row r="11">
      <c r="A11" s="122" t="s">
        <v>1867</v>
      </c>
      <c r="B11" s="123" t="s">
        <v>1868</v>
      </c>
      <c r="C11" s="123" t="s">
        <v>1844</v>
      </c>
      <c r="D11" s="124" t="s">
        <v>1845</v>
      </c>
      <c r="E11" s="124" t="s">
        <v>1846</v>
      </c>
      <c r="F11" s="125" t="s">
        <v>1847</v>
      </c>
      <c r="G11" s="126" t="s">
        <v>393</v>
      </c>
      <c r="H11" s="127" t="s">
        <v>1848</v>
      </c>
      <c r="I11" s="128" t="s">
        <v>1849</v>
      </c>
      <c r="J11" s="61" t="str">
        <f>IFERROR(IF(G11="Ativo","Ativo",IF(G11="SKU excluído","Vencido",VLOOKUP(A11,Encerramentos!B:G,6,0))),"")</f>
        <v>Ativo</v>
      </c>
      <c r="K11" s="121"/>
      <c r="L11" s="121"/>
      <c r="M11" s="121"/>
      <c r="N11" s="121"/>
      <c r="O11" s="121"/>
      <c r="P11" s="121"/>
      <c r="Q11" s="121"/>
      <c r="R11" s="121"/>
      <c r="S11" s="121"/>
      <c r="T11" s="121"/>
      <c r="U11" s="121"/>
      <c r="V11" s="121"/>
      <c r="W11" s="121"/>
      <c r="X11" s="121"/>
      <c r="Y11" s="121"/>
      <c r="Z11" s="121"/>
      <c r="AA11" s="121"/>
      <c r="AB11" s="121"/>
    </row>
    <row r="12">
      <c r="A12" s="122" t="s">
        <v>1869</v>
      </c>
      <c r="B12" s="123" t="s">
        <v>1870</v>
      </c>
      <c r="C12" s="123" t="s">
        <v>1844</v>
      </c>
      <c r="D12" s="124" t="s">
        <v>1845</v>
      </c>
      <c r="E12" s="124" t="s">
        <v>1846</v>
      </c>
      <c r="F12" s="125" t="s">
        <v>1847</v>
      </c>
      <c r="G12" s="126" t="s">
        <v>393</v>
      </c>
      <c r="H12" s="127" t="s">
        <v>1848</v>
      </c>
      <c r="I12" s="128" t="s">
        <v>1854</v>
      </c>
      <c r="J12" s="61" t="str">
        <f>IFERROR(IF(G12="Ativo","Ativo",IF(G12="SKU excluído","Vencido",VLOOKUP(A12,Encerramentos!B:G,6,0))),"")</f>
        <v>Ativo</v>
      </c>
      <c r="K12" s="121"/>
      <c r="L12" s="121"/>
      <c r="M12" s="121"/>
      <c r="N12" s="121"/>
      <c r="O12" s="121"/>
      <c r="P12" s="121"/>
      <c r="Q12" s="121"/>
      <c r="R12" s="121"/>
      <c r="S12" s="121"/>
      <c r="T12" s="121"/>
      <c r="U12" s="121"/>
      <c r="V12" s="121"/>
      <c r="W12" s="121"/>
      <c r="X12" s="121"/>
      <c r="Y12" s="121"/>
      <c r="Z12" s="121"/>
      <c r="AA12" s="121"/>
      <c r="AB12" s="121"/>
    </row>
    <row r="13">
      <c r="A13" s="122" t="s">
        <v>1871</v>
      </c>
      <c r="B13" s="123" t="s">
        <v>1872</v>
      </c>
      <c r="C13" s="123" t="s">
        <v>1844</v>
      </c>
      <c r="D13" s="124" t="s">
        <v>1845</v>
      </c>
      <c r="E13" s="124" t="s">
        <v>1846</v>
      </c>
      <c r="F13" s="125" t="s">
        <v>1847</v>
      </c>
      <c r="G13" s="126" t="s">
        <v>393</v>
      </c>
      <c r="H13" s="127" t="s">
        <v>1848</v>
      </c>
      <c r="I13" s="128" t="s">
        <v>1849</v>
      </c>
      <c r="J13" s="61" t="str">
        <f>IFERROR(IF(G13="Ativo","Ativo",IF(G13="SKU excluído","Vencido",VLOOKUP(A13,Encerramentos!B:G,6,0))),"")</f>
        <v>Ativo</v>
      </c>
      <c r="K13" s="121"/>
      <c r="L13" s="121"/>
      <c r="M13" s="121"/>
      <c r="N13" s="121"/>
      <c r="O13" s="121"/>
      <c r="P13" s="121"/>
      <c r="Q13" s="121"/>
      <c r="R13" s="121"/>
      <c r="S13" s="121"/>
      <c r="T13" s="121"/>
      <c r="U13" s="121"/>
      <c r="V13" s="121"/>
      <c r="W13" s="121"/>
      <c r="X13" s="121"/>
      <c r="Y13" s="121"/>
      <c r="Z13" s="121"/>
      <c r="AA13" s="121"/>
      <c r="AB13" s="121"/>
    </row>
    <row r="14">
      <c r="A14" s="122" t="s">
        <v>1873</v>
      </c>
      <c r="B14" s="123" t="s">
        <v>1874</v>
      </c>
      <c r="C14" s="123" t="s">
        <v>1844</v>
      </c>
      <c r="D14" s="124" t="s">
        <v>1845</v>
      </c>
      <c r="E14" s="124" t="s">
        <v>1846</v>
      </c>
      <c r="F14" s="125" t="s">
        <v>1847</v>
      </c>
      <c r="G14" s="126" t="s">
        <v>393</v>
      </c>
      <c r="H14" s="127" t="s">
        <v>1848</v>
      </c>
      <c r="I14" s="128" t="s">
        <v>1854</v>
      </c>
      <c r="J14" s="61" t="str">
        <f>IFERROR(IF(G14="Ativo","Ativo",IF(G14="SKU excluído","Vencido",VLOOKUP(A14,Encerramentos!B:G,6,0))),"")</f>
        <v>Ativo</v>
      </c>
      <c r="K14" s="121"/>
      <c r="L14" s="121"/>
      <c r="M14" s="121"/>
      <c r="N14" s="121"/>
      <c r="O14" s="121"/>
      <c r="P14" s="121"/>
      <c r="Q14" s="121"/>
      <c r="R14" s="121"/>
      <c r="S14" s="121"/>
      <c r="T14" s="121"/>
      <c r="U14" s="121"/>
      <c r="V14" s="121"/>
      <c r="W14" s="121"/>
      <c r="X14" s="121"/>
      <c r="Y14" s="121"/>
      <c r="Z14" s="121"/>
      <c r="AA14" s="121"/>
      <c r="AB14" s="121"/>
    </row>
    <row r="15">
      <c r="A15" s="122" t="s">
        <v>1875</v>
      </c>
      <c r="B15" s="123" t="s">
        <v>1876</v>
      </c>
      <c r="C15" s="123" t="s">
        <v>1844</v>
      </c>
      <c r="D15" s="124" t="s">
        <v>1845</v>
      </c>
      <c r="E15" s="124" t="s">
        <v>1846</v>
      </c>
      <c r="F15" s="125" t="s">
        <v>1847</v>
      </c>
      <c r="G15" s="126" t="s">
        <v>393</v>
      </c>
      <c r="H15" s="127" t="s">
        <v>1848</v>
      </c>
      <c r="I15" s="128" t="s">
        <v>1854</v>
      </c>
      <c r="J15" s="61" t="str">
        <f>IFERROR(IF(G15="Ativo","Ativo",IF(G15="SKU excluído","Vencido",VLOOKUP(A15,Encerramentos!B:G,6,0))),"")</f>
        <v>Ativo</v>
      </c>
      <c r="K15" s="121"/>
      <c r="L15" s="121"/>
      <c r="M15" s="121"/>
      <c r="N15" s="121"/>
      <c r="O15" s="121"/>
      <c r="P15" s="121"/>
      <c r="Q15" s="121"/>
      <c r="R15" s="121"/>
      <c r="S15" s="121"/>
      <c r="T15" s="121"/>
      <c r="U15" s="121"/>
      <c r="V15" s="121"/>
      <c r="W15" s="121"/>
      <c r="X15" s="121"/>
      <c r="Y15" s="121"/>
      <c r="Z15" s="121"/>
      <c r="AA15" s="121"/>
      <c r="AB15" s="121"/>
    </row>
    <row r="16">
      <c r="A16" s="122" t="s">
        <v>1877</v>
      </c>
      <c r="B16" s="123" t="s">
        <v>1878</v>
      </c>
      <c r="C16" s="123" t="s">
        <v>1844</v>
      </c>
      <c r="D16" s="124" t="s">
        <v>1845</v>
      </c>
      <c r="E16" s="124" t="s">
        <v>1846</v>
      </c>
      <c r="F16" s="125" t="s">
        <v>1847</v>
      </c>
      <c r="G16" s="126" t="s">
        <v>393</v>
      </c>
      <c r="H16" s="127" t="s">
        <v>1848</v>
      </c>
      <c r="I16" s="128" t="s">
        <v>1849</v>
      </c>
      <c r="J16" s="61" t="str">
        <f>IFERROR(IF(G16="Ativo","Ativo",IF(G16="SKU excluído","Vencido",VLOOKUP(A16,Encerramentos!B:G,6,0))),"")</f>
        <v>Ativo</v>
      </c>
      <c r="K16" s="121"/>
      <c r="L16" s="121"/>
      <c r="M16" s="121"/>
      <c r="N16" s="121"/>
      <c r="O16" s="121"/>
      <c r="P16" s="121"/>
      <c r="Q16" s="121"/>
      <c r="R16" s="121"/>
      <c r="S16" s="121"/>
      <c r="T16" s="121"/>
      <c r="U16" s="121"/>
      <c r="V16" s="121"/>
      <c r="W16" s="121"/>
      <c r="X16" s="121"/>
      <c r="Y16" s="121"/>
      <c r="Z16" s="121"/>
      <c r="AA16" s="121"/>
      <c r="AB16" s="121"/>
    </row>
    <row r="17">
      <c r="A17" s="122" t="s">
        <v>1879</v>
      </c>
      <c r="B17" s="123" t="s">
        <v>1858</v>
      </c>
      <c r="C17" s="123" t="s">
        <v>1844</v>
      </c>
      <c r="D17" s="124" t="s">
        <v>1845</v>
      </c>
      <c r="E17" s="124" t="s">
        <v>1846</v>
      </c>
      <c r="F17" s="125" t="s">
        <v>1847</v>
      </c>
      <c r="G17" s="126" t="s">
        <v>393</v>
      </c>
      <c r="H17" s="127" t="s">
        <v>1848</v>
      </c>
      <c r="I17" s="128" t="s">
        <v>1849</v>
      </c>
      <c r="J17" s="61" t="str">
        <f>IFERROR(IF(G17="Ativo","Ativo",IF(G17="SKU excluído","Vencido",VLOOKUP(A17,Encerramentos!B:G,6,0))),"")</f>
        <v>Ativo</v>
      </c>
      <c r="K17" s="121"/>
      <c r="L17" s="121"/>
      <c r="M17" s="121"/>
      <c r="N17" s="121"/>
      <c r="O17" s="121"/>
      <c r="P17" s="121"/>
      <c r="Q17" s="121"/>
      <c r="R17" s="121"/>
      <c r="S17" s="121"/>
      <c r="T17" s="121"/>
      <c r="U17" s="121"/>
      <c r="V17" s="121"/>
      <c r="W17" s="121"/>
      <c r="X17" s="121"/>
      <c r="Y17" s="121"/>
      <c r="Z17" s="121"/>
      <c r="AA17" s="121"/>
      <c r="AB17" s="121"/>
    </row>
    <row r="18">
      <c r="A18" s="122" t="s">
        <v>1880</v>
      </c>
      <c r="B18" s="123" t="s">
        <v>1881</v>
      </c>
      <c r="C18" s="123" t="s">
        <v>1844</v>
      </c>
      <c r="D18" s="124" t="s">
        <v>1845</v>
      </c>
      <c r="E18" s="124" t="s">
        <v>1846</v>
      </c>
      <c r="F18" s="125" t="s">
        <v>1847</v>
      </c>
      <c r="G18" s="126" t="s">
        <v>393</v>
      </c>
      <c r="H18" s="127" t="s">
        <v>1848</v>
      </c>
      <c r="I18" s="128" t="s">
        <v>1849</v>
      </c>
      <c r="J18" s="61" t="str">
        <f>IFERROR(IF(G18="Ativo","Ativo",IF(G18="SKU excluído","Vencido",VLOOKUP(A18,Encerramentos!B:G,6,0))),"")</f>
        <v>Ativo</v>
      </c>
      <c r="K18" s="121"/>
      <c r="L18" s="121"/>
      <c r="M18" s="121"/>
      <c r="N18" s="121"/>
      <c r="O18" s="121"/>
      <c r="P18" s="121"/>
      <c r="Q18" s="121"/>
      <c r="R18" s="121"/>
      <c r="S18" s="121"/>
      <c r="T18" s="121"/>
      <c r="U18" s="121"/>
      <c r="V18" s="121"/>
      <c r="W18" s="121"/>
      <c r="X18" s="121"/>
      <c r="Y18" s="121"/>
      <c r="Z18" s="121"/>
      <c r="AA18" s="121"/>
      <c r="AB18" s="121"/>
    </row>
    <row r="19">
      <c r="A19" s="122" t="s">
        <v>1882</v>
      </c>
      <c r="B19" s="123" t="s">
        <v>1853</v>
      </c>
      <c r="C19" s="123" t="s">
        <v>1844</v>
      </c>
      <c r="D19" s="124" t="s">
        <v>1845</v>
      </c>
      <c r="E19" s="124" t="s">
        <v>1846</v>
      </c>
      <c r="F19" s="125" t="s">
        <v>1847</v>
      </c>
      <c r="G19" s="126" t="s">
        <v>393</v>
      </c>
      <c r="H19" s="127" t="s">
        <v>1848</v>
      </c>
      <c r="I19" s="128" t="s">
        <v>1849</v>
      </c>
      <c r="J19" s="61" t="str">
        <f>IFERROR(IF(G19="Ativo","Ativo",IF(G19="SKU excluído","Vencido",VLOOKUP(A19,Encerramentos!B:G,6,0))),"")</f>
        <v>Ativo</v>
      </c>
      <c r="K19" s="121"/>
      <c r="L19" s="121"/>
      <c r="M19" s="121"/>
      <c r="N19" s="121"/>
      <c r="O19" s="121"/>
      <c r="P19" s="121"/>
      <c r="Q19" s="121"/>
      <c r="R19" s="121"/>
      <c r="S19" s="121"/>
      <c r="T19" s="121"/>
      <c r="U19" s="121"/>
      <c r="V19" s="121"/>
      <c r="W19" s="121"/>
      <c r="X19" s="121"/>
      <c r="Y19" s="121"/>
      <c r="Z19" s="121"/>
      <c r="AA19" s="121"/>
      <c r="AB19" s="121"/>
    </row>
    <row r="20">
      <c r="A20" s="122" t="s">
        <v>1883</v>
      </c>
      <c r="B20" s="123" t="s">
        <v>1884</v>
      </c>
      <c r="C20" s="123" t="s">
        <v>1844</v>
      </c>
      <c r="D20" s="124" t="s">
        <v>1845</v>
      </c>
      <c r="E20" s="124" t="s">
        <v>1846</v>
      </c>
      <c r="F20" s="125" t="s">
        <v>1847</v>
      </c>
      <c r="G20" s="126" t="s">
        <v>393</v>
      </c>
      <c r="H20" s="127" t="s">
        <v>1848</v>
      </c>
      <c r="I20" s="128" t="s">
        <v>1849</v>
      </c>
      <c r="J20" s="61" t="str">
        <f>IFERROR(IF(G20="Ativo","Ativo",IF(G20="SKU excluído","Vencido",VLOOKUP(A20,Encerramentos!B:G,6,0))),"")</f>
        <v>Ativo</v>
      </c>
      <c r="K20" s="121"/>
      <c r="L20" s="121"/>
      <c r="M20" s="121"/>
      <c r="N20" s="121"/>
      <c r="O20" s="121"/>
      <c r="P20" s="121"/>
      <c r="Q20" s="121"/>
      <c r="R20" s="121"/>
      <c r="S20" s="121"/>
      <c r="T20" s="121"/>
      <c r="U20" s="121"/>
      <c r="V20" s="121"/>
      <c r="W20" s="121"/>
      <c r="X20" s="121"/>
      <c r="Y20" s="121"/>
      <c r="Z20" s="121"/>
      <c r="AA20" s="121"/>
      <c r="AB20" s="121"/>
    </row>
    <row r="21">
      <c r="A21" s="122" t="s">
        <v>1885</v>
      </c>
      <c r="B21" s="123" t="s">
        <v>1886</v>
      </c>
      <c r="C21" s="123" t="s">
        <v>1844</v>
      </c>
      <c r="D21" s="124" t="s">
        <v>1845</v>
      </c>
      <c r="E21" s="124" t="s">
        <v>1846</v>
      </c>
      <c r="F21" s="125" t="s">
        <v>1847</v>
      </c>
      <c r="G21" s="126" t="s">
        <v>393</v>
      </c>
      <c r="H21" s="127" t="s">
        <v>1848</v>
      </c>
      <c r="I21" s="128" t="s">
        <v>1849</v>
      </c>
      <c r="J21" s="61" t="str">
        <f>IFERROR(IF(G21="Ativo","Ativo",IF(G21="SKU excluído","Vencido",VLOOKUP(A21,Encerramentos!B:G,6,0))),"")</f>
        <v>Ativo</v>
      </c>
      <c r="K21" s="121"/>
      <c r="L21" s="121"/>
      <c r="M21" s="121"/>
      <c r="N21" s="121"/>
      <c r="O21" s="121"/>
      <c r="P21" s="121"/>
      <c r="Q21" s="121"/>
      <c r="R21" s="121"/>
      <c r="S21" s="121"/>
      <c r="T21" s="121"/>
      <c r="U21" s="121"/>
      <c r="V21" s="121"/>
      <c r="W21" s="121"/>
      <c r="X21" s="121"/>
      <c r="Y21" s="121"/>
      <c r="Z21" s="121"/>
      <c r="AA21" s="121"/>
      <c r="AB21" s="121"/>
    </row>
    <row r="22">
      <c r="A22" s="122" t="s">
        <v>1887</v>
      </c>
      <c r="B22" s="123" t="s">
        <v>1888</v>
      </c>
      <c r="C22" s="123" t="s">
        <v>1889</v>
      </c>
      <c r="D22" s="124" t="s">
        <v>1890</v>
      </c>
      <c r="E22" s="124" t="s">
        <v>1891</v>
      </c>
      <c r="F22" s="125" t="s">
        <v>1847</v>
      </c>
      <c r="G22" s="126" t="s">
        <v>393</v>
      </c>
      <c r="H22" s="127" t="s">
        <v>1892</v>
      </c>
      <c r="I22" s="128" t="s">
        <v>1854</v>
      </c>
      <c r="J22" s="61" t="str">
        <f>IFERROR(IF(G22="Ativo","Ativo",IF(G22="SKU excluído","Vencido",VLOOKUP(A22,Encerramentos!B:G,6,0))),"")</f>
        <v>Ativo</v>
      </c>
      <c r="K22" s="121"/>
      <c r="L22" s="121"/>
      <c r="M22" s="121"/>
      <c r="N22" s="121"/>
      <c r="O22" s="121"/>
      <c r="P22" s="121"/>
      <c r="Q22" s="121"/>
      <c r="R22" s="121"/>
      <c r="S22" s="121"/>
      <c r="T22" s="121"/>
      <c r="U22" s="121"/>
      <c r="V22" s="121"/>
      <c r="W22" s="121"/>
      <c r="X22" s="121"/>
      <c r="Y22" s="121"/>
      <c r="Z22" s="121"/>
      <c r="AA22" s="121"/>
      <c r="AB22" s="121"/>
    </row>
    <row r="23">
      <c r="A23" s="122" t="s">
        <v>1893</v>
      </c>
      <c r="B23" s="123" t="s">
        <v>1894</v>
      </c>
      <c r="C23" s="123" t="s">
        <v>1889</v>
      </c>
      <c r="D23" s="124" t="s">
        <v>1890</v>
      </c>
      <c r="E23" s="124" t="s">
        <v>1891</v>
      </c>
      <c r="F23" s="125" t="s">
        <v>1847</v>
      </c>
      <c r="G23" s="126" t="s">
        <v>393</v>
      </c>
      <c r="H23" s="127" t="s">
        <v>1892</v>
      </c>
      <c r="I23" s="128" t="s">
        <v>1849</v>
      </c>
      <c r="J23" s="61" t="str">
        <f>IFERROR(IF(G23="Ativo","Ativo",IF(G23="SKU excluído","Vencido",VLOOKUP(A23,Encerramentos!B:G,6,0))),"")</f>
        <v>Ativo</v>
      </c>
      <c r="K23" s="121"/>
      <c r="L23" s="121"/>
      <c r="M23" s="121"/>
      <c r="N23" s="121"/>
      <c r="O23" s="121"/>
      <c r="P23" s="121"/>
      <c r="Q23" s="121"/>
      <c r="R23" s="121"/>
      <c r="S23" s="121"/>
      <c r="T23" s="121"/>
      <c r="U23" s="121"/>
      <c r="V23" s="121"/>
      <c r="W23" s="121"/>
      <c r="X23" s="121"/>
      <c r="Y23" s="121"/>
      <c r="Z23" s="121"/>
      <c r="AA23" s="121"/>
      <c r="AB23" s="121"/>
    </row>
    <row r="24">
      <c r="A24" s="122" t="s">
        <v>1895</v>
      </c>
      <c r="B24" s="123" t="s">
        <v>1896</v>
      </c>
      <c r="C24" s="123" t="s">
        <v>1889</v>
      </c>
      <c r="D24" s="124" t="s">
        <v>1890</v>
      </c>
      <c r="E24" s="124" t="s">
        <v>1891</v>
      </c>
      <c r="F24" s="125" t="s">
        <v>1847</v>
      </c>
      <c r="G24" s="126" t="s">
        <v>393</v>
      </c>
      <c r="H24" s="127" t="s">
        <v>1892</v>
      </c>
      <c r="I24" s="128" t="s">
        <v>1849</v>
      </c>
      <c r="J24" s="61" t="str">
        <f>IFERROR(IF(G24="Ativo","Ativo",IF(G24="SKU excluído","Vencido",VLOOKUP(A24,Encerramentos!B:G,6,0))),"")</f>
        <v>Ativo</v>
      </c>
      <c r="K24" s="121"/>
      <c r="L24" s="121"/>
      <c r="M24" s="121"/>
      <c r="N24" s="121"/>
      <c r="O24" s="121"/>
      <c r="P24" s="121"/>
      <c r="Q24" s="121"/>
      <c r="R24" s="121"/>
      <c r="S24" s="121"/>
      <c r="T24" s="121"/>
      <c r="U24" s="121"/>
      <c r="V24" s="121"/>
      <c r="W24" s="121"/>
      <c r="X24" s="121"/>
      <c r="Y24" s="121"/>
      <c r="Z24" s="121"/>
      <c r="AA24" s="121"/>
      <c r="AB24" s="121"/>
    </row>
    <row r="25">
      <c r="A25" s="122" t="s">
        <v>1897</v>
      </c>
      <c r="B25" s="123" t="s">
        <v>1898</v>
      </c>
      <c r="C25" s="123" t="s">
        <v>1889</v>
      </c>
      <c r="D25" s="124" t="s">
        <v>1890</v>
      </c>
      <c r="E25" s="124" t="s">
        <v>1891</v>
      </c>
      <c r="F25" s="125" t="s">
        <v>1847</v>
      </c>
      <c r="G25" s="126" t="s">
        <v>393</v>
      </c>
      <c r="H25" s="127" t="s">
        <v>1892</v>
      </c>
      <c r="I25" s="128" t="s">
        <v>1854</v>
      </c>
      <c r="J25" s="61" t="str">
        <f>IFERROR(IF(G25="Ativo","Ativo",IF(G25="SKU excluído","Vencido",VLOOKUP(A25,Encerramentos!B:G,6,0))),"")</f>
        <v>Ativo</v>
      </c>
      <c r="K25" s="121"/>
      <c r="L25" s="121"/>
      <c r="M25" s="121"/>
      <c r="N25" s="121"/>
      <c r="O25" s="121"/>
      <c r="P25" s="121"/>
      <c r="Q25" s="121"/>
      <c r="R25" s="121"/>
      <c r="S25" s="121"/>
      <c r="T25" s="121"/>
      <c r="U25" s="121"/>
      <c r="V25" s="121"/>
      <c r="W25" s="121"/>
      <c r="X25" s="121"/>
      <c r="Y25" s="121"/>
      <c r="Z25" s="121"/>
      <c r="AA25" s="121"/>
      <c r="AB25" s="121"/>
    </row>
    <row r="26">
      <c r="A26" s="122" t="s">
        <v>1899</v>
      </c>
      <c r="B26" s="123" t="s">
        <v>1896</v>
      </c>
      <c r="C26" s="123" t="s">
        <v>1889</v>
      </c>
      <c r="D26" s="124" t="s">
        <v>1890</v>
      </c>
      <c r="E26" s="124" t="s">
        <v>1891</v>
      </c>
      <c r="F26" s="125" t="s">
        <v>1847</v>
      </c>
      <c r="G26" s="126" t="s">
        <v>393</v>
      </c>
      <c r="H26" s="127" t="s">
        <v>1892</v>
      </c>
      <c r="I26" s="128" t="s">
        <v>1849</v>
      </c>
      <c r="J26" s="61" t="str">
        <f>IFERROR(IF(G26="Ativo","Ativo",IF(G26="SKU excluído","Vencido",VLOOKUP(A26,Encerramentos!B:G,6,0))),"")</f>
        <v>Ativo</v>
      </c>
      <c r="K26" s="121"/>
      <c r="L26" s="121"/>
      <c r="M26" s="121"/>
      <c r="N26" s="121"/>
      <c r="O26" s="121"/>
      <c r="P26" s="121"/>
      <c r="Q26" s="121"/>
      <c r="R26" s="121"/>
      <c r="S26" s="121"/>
      <c r="T26" s="121"/>
      <c r="U26" s="121"/>
      <c r="V26" s="121"/>
      <c r="W26" s="121"/>
      <c r="X26" s="121"/>
      <c r="Y26" s="121"/>
      <c r="Z26" s="121"/>
      <c r="AA26" s="121"/>
      <c r="AB26" s="121"/>
    </row>
    <row r="27">
      <c r="A27" s="123" t="s">
        <v>1900</v>
      </c>
      <c r="B27" s="125" t="s">
        <v>1898</v>
      </c>
      <c r="C27" s="125" t="s">
        <v>1889</v>
      </c>
      <c r="D27" s="124" t="s">
        <v>1890</v>
      </c>
      <c r="E27" s="124" t="s">
        <v>1891</v>
      </c>
      <c r="F27" s="125" t="s">
        <v>1847</v>
      </c>
      <c r="G27" s="126" t="s">
        <v>393</v>
      </c>
      <c r="H27" s="129" t="s">
        <v>1892</v>
      </c>
      <c r="I27" s="130" t="s">
        <v>1854</v>
      </c>
      <c r="J27" s="61" t="str">
        <f>IFERROR(IF(G27="Ativo","Ativo",IF(G27="SKU excluído","Vencido",VLOOKUP(A27,Encerramentos!B:G,6,0))),"")</f>
        <v>Ativo</v>
      </c>
      <c r="K27" s="121"/>
      <c r="L27" s="121"/>
      <c r="M27" s="121"/>
      <c r="N27" s="121"/>
      <c r="O27" s="121"/>
      <c r="P27" s="121"/>
      <c r="Q27" s="121"/>
      <c r="R27" s="121"/>
      <c r="S27" s="121"/>
      <c r="T27" s="121"/>
      <c r="U27" s="121"/>
      <c r="V27" s="121"/>
      <c r="W27" s="121"/>
      <c r="X27" s="121"/>
      <c r="Y27" s="121"/>
      <c r="Z27" s="121"/>
      <c r="AA27" s="121"/>
      <c r="AB27" s="121"/>
    </row>
    <row r="28">
      <c r="A28" s="122" t="s">
        <v>1901</v>
      </c>
      <c r="B28" s="123" t="s">
        <v>1902</v>
      </c>
      <c r="C28" s="123" t="s">
        <v>1889</v>
      </c>
      <c r="D28" s="124" t="s">
        <v>1890</v>
      </c>
      <c r="E28" s="124" t="s">
        <v>1891</v>
      </c>
      <c r="F28" s="125" t="s">
        <v>1847</v>
      </c>
      <c r="G28" s="126" t="s">
        <v>393</v>
      </c>
      <c r="H28" s="127" t="s">
        <v>1892</v>
      </c>
      <c r="I28" s="128" t="s">
        <v>1854</v>
      </c>
      <c r="J28" s="61" t="str">
        <f>IFERROR(IF(G28="Ativo","Ativo",IF(G28="SKU excluído","Vencido",VLOOKUP(A28,Encerramentos!B:G,6,0))),"")</f>
        <v>Ativo</v>
      </c>
      <c r="K28" s="121"/>
      <c r="L28" s="121"/>
      <c r="M28" s="121"/>
      <c r="N28" s="121"/>
      <c r="O28" s="121"/>
      <c r="P28" s="121"/>
      <c r="Q28" s="121"/>
      <c r="R28" s="121"/>
      <c r="S28" s="121"/>
      <c r="T28" s="121"/>
      <c r="U28" s="121"/>
      <c r="V28" s="121"/>
      <c r="W28" s="121"/>
      <c r="X28" s="121"/>
      <c r="Y28" s="121"/>
      <c r="Z28" s="121"/>
      <c r="AA28" s="121"/>
      <c r="AB28" s="121"/>
    </row>
    <row r="29">
      <c r="A29" s="122" t="s">
        <v>1903</v>
      </c>
      <c r="B29" s="123" t="s">
        <v>1904</v>
      </c>
      <c r="C29" s="123" t="s">
        <v>1889</v>
      </c>
      <c r="D29" s="124" t="s">
        <v>1890</v>
      </c>
      <c r="E29" s="124" t="s">
        <v>1891</v>
      </c>
      <c r="F29" s="125" t="s">
        <v>1847</v>
      </c>
      <c r="G29" s="126" t="s">
        <v>393</v>
      </c>
      <c r="H29" s="127" t="s">
        <v>1892</v>
      </c>
      <c r="I29" s="128" t="s">
        <v>1854</v>
      </c>
      <c r="J29" s="61" t="str">
        <f>IFERROR(IF(G29="Ativo","Ativo",IF(G29="SKU excluído","Vencido",VLOOKUP(A29,Encerramentos!B:G,6,0))),"")</f>
        <v>Ativo</v>
      </c>
      <c r="K29" s="121"/>
      <c r="L29" s="121"/>
      <c r="M29" s="121"/>
      <c r="N29" s="121"/>
      <c r="O29" s="121"/>
      <c r="P29" s="121"/>
      <c r="Q29" s="121"/>
      <c r="R29" s="121"/>
      <c r="S29" s="121"/>
      <c r="T29" s="121"/>
      <c r="U29" s="121"/>
      <c r="V29" s="121"/>
      <c r="W29" s="121"/>
      <c r="X29" s="121"/>
      <c r="Y29" s="121"/>
      <c r="Z29" s="121"/>
      <c r="AA29" s="121"/>
      <c r="AB29" s="121"/>
    </row>
    <row r="30">
      <c r="A30" s="122" t="s">
        <v>1905</v>
      </c>
      <c r="B30" s="123" t="s">
        <v>1898</v>
      </c>
      <c r="C30" s="123" t="s">
        <v>1889</v>
      </c>
      <c r="D30" s="124" t="s">
        <v>1890</v>
      </c>
      <c r="E30" s="124" t="s">
        <v>1891</v>
      </c>
      <c r="F30" s="125" t="s">
        <v>1847</v>
      </c>
      <c r="G30" s="126" t="s">
        <v>393</v>
      </c>
      <c r="H30" s="127" t="s">
        <v>1892</v>
      </c>
      <c r="I30" s="128" t="s">
        <v>1849</v>
      </c>
      <c r="J30" s="61" t="str">
        <f>IFERROR(IF(G30="Ativo","Ativo",IF(G30="SKU excluído","Vencido",VLOOKUP(A30,Encerramentos!B:G,6,0))),"")</f>
        <v>Ativo</v>
      </c>
      <c r="K30" s="121"/>
      <c r="L30" s="121"/>
      <c r="M30" s="121"/>
      <c r="N30" s="121"/>
      <c r="O30" s="121"/>
      <c r="P30" s="121"/>
      <c r="Q30" s="121"/>
      <c r="R30" s="121"/>
      <c r="S30" s="121"/>
      <c r="T30" s="121"/>
      <c r="U30" s="121"/>
      <c r="V30" s="121"/>
      <c r="W30" s="121"/>
      <c r="X30" s="121"/>
      <c r="Y30" s="121"/>
      <c r="Z30" s="121"/>
      <c r="AA30" s="121"/>
      <c r="AB30" s="121"/>
    </row>
    <row r="31">
      <c r="A31" s="122" t="s">
        <v>1906</v>
      </c>
      <c r="B31" s="123" t="s">
        <v>1888</v>
      </c>
      <c r="C31" s="123" t="s">
        <v>1889</v>
      </c>
      <c r="D31" s="124" t="s">
        <v>1890</v>
      </c>
      <c r="E31" s="124" t="s">
        <v>1891</v>
      </c>
      <c r="F31" s="125" t="s">
        <v>1847</v>
      </c>
      <c r="G31" s="126" t="s">
        <v>393</v>
      </c>
      <c r="H31" s="127" t="s">
        <v>1892</v>
      </c>
      <c r="I31" s="128" t="s">
        <v>1849</v>
      </c>
      <c r="J31" s="61" t="str">
        <f>IFERROR(IF(G31="Ativo","Ativo",IF(G31="SKU excluído","Vencido",VLOOKUP(A31,Encerramentos!B:G,6,0))),"")</f>
        <v>Ativo</v>
      </c>
      <c r="K31" s="121"/>
      <c r="L31" s="121"/>
      <c r="M31" s="121"/>
      <c r="N31" s="121"/>
      <c r="O31" s="121"/>
      <c r="P31" s="121"/>
      <c r="Q31" s="121"/>
      <c r="R31" s="121"/>
      <c r="S31" s="121"/>
      <c r="T31" s="121"/>
      <c r="U31" s="121"/>
      <c r="V31" s="121"/>
      <c r="W31" s="121"/>
      <c r="X31" s="121"/>
      <c r="Y31" s="121"/>
      <c r="Z31" s="121"/>
      <c r="AA31" s="121"/>
      <c r="AB31" s="121"/>
    </row>
    <row r="32">
      <c r="A32" s="122" t="s">
        <v>1907</v>
      </c>
      <c r="B32" s="123" t="s">
        <v>1908</v>
      </c>
      <c r="C32" s="123" t="s">
        <v>1889</v>
      </c>
      <c r="D32" s="124" t="s">
        <v>1890</v>
      </c>
      <c r="E32" s="124" t="s">
        <v>1891</v>
      </c>
      <c r="F32" s="125" t="s">
        <v>1847</v>
      </c>
      <c r="G32" s="126" t="s">
        <v>393</v>
      </c>
      <c r="H32" s="127" t="s">
        <v>1892</v>
      </c>
      <c r="I32" s="128" t="s">
        <v>1849</v>
      </c>
      <c r="J32" s="61" t="str">
        <f>IFERROR(IF(G32="Ativo","Ativo",IF(G32="SKU excluído","Vencido",VLOOKUP(A32,Encerramentos!B:G,6,0))),"")</f>
        <v>Ativo</v>
      </c>
      <c r="K32" s="121"/>
      <c r="L32" s="121"/>
      <c r="M32" s="121"/>
      <c r="N32" s="121"/>
      <c r="O32" s="121"/>
      <c r="P32" s="121"/>
      <c r="Q32" s="121"/>
      <c r="R32" s="121"/>
      <c r="S32" s="121"/>
      <c r="T32" s="121"/>
      <c r="U32" s="121"/>
      <c r="V32" s="121"/>
      <c r="W32" s="121"/>
      <c r="X32" s="121"/>
      <c r="Y32" s="121"/>
      <c r="Z32" s="121"/>
      <c r="AA32" s="121"/>
      <c r="AB32" s="121"/>
    </row>
    <row r="33">
      <c r="A33" s="122" t="s">
        <v>1909</v>
      </c>
      <c r="B33" s="123" t="s">
        <v>1910</v>
      </c>
      <c r="C33" s="123" t="s">
        <v>1889</v>
      </c>
      <c r="D33" s="124" t="s">
        <v>1890</v>
      </c>
      <c r="E33" s="124" t="s">
        <v>1891</v>
      </c>
      <c r="F33" s="125" t="s">
        <v>1847</v>
      </c>
      <c r="G33" s="126" t="s">
        <v>393</v>
      </c>
      <c r="H33" s="127" t="s">
        <v>1892</v>
      </c>
      <c r="I33" s="128" t="s">
        <v>1849</v>
      </c>
      <c r="J33" s="61" t="str">
        <f>IFERROR(IF(G33="Ativo","Ativo",IF(G33="SKU excluído","Vencido",VLOOKUP(A33,Encerramentos!B:G,6,0))),"")</f>
        <v>Ativo</v>
      </c>
      <c r="K33" s="121"/>
      <c r="L33" s="121"/>
      <c r="M33" s="121"/>
      <c r="N33" s="121"/>
      <c r="O33" s="121"/>
      <c r="P33" s="121"/>
      <c r="Q33" s="121"/>
      <c r="R33" s="121"/>
      <c r="S33" s="121"/>
      <c r="T33" s="121"/>
      <c r="U33" s="121"/>
      <c r="V33" s="121"/>
      <c r="W33" s="121"/>
      <c r="X33" s="121"/>
      <c r="Y33" s="121"/>
      <c r="Z33" s="121"/>
      <c r="AA33" s="121"/>
      <c r="AB33" s="121"/>
    </row>
    <row r="34">
      <c r="A34" s="122" t="s">
        <v>1911</v>
      </c>
      <c r="B34" s="123" t="s">
        <v>1888</v>
      </c>
      <c r="C34" s="123" t="s">
        <v>1889</v>
      </c>
      <c r="D34" s="124" t="s">
        <v>1890</v>
      </c>
      <c r="E34" s="124" t="s">
        <v>1891</v>
      </c>
      <c r="F34" s="125" t="s">
        <v>1847</v>
      </c>
      <c r="G34" s="126" t="s">
        <v>393</v>
      </c>
      <c r="H34" s="127" t="s">
        <v>1892</v>
      </c>
      <c r="I34" s="128" t="s">
        <v>1849</v>
      </c>
      <c r="J34" s="61" t="str">
        <f>IFERROR(IF(G34="Ativo","Ativo",IF(G34="SKU excluído","Vencido",VLOOKUP(A34,Encerramentos!B:G,6,0))),"")</f>
        <v>Ativo</v>
      </c>
      <c r="K34" s="121"/>
      <c r="L34" s="121"/>
      <c r="M34" s="121"/>
      <c r="N34" s="121"/>
      <c r="O34" s="121"/>
      <c r="P34" s="121"/>
      <c r="Q34" s="121"/>
      <c r="R34" s="121"/>
      <c r="S34" s="121"/>
      <c r="T34" s="121"/>
      <c r="U34" s="121"/>
      <c r="V34" s="121"/>
      <c r="W34" s="121"/>
      <c r="X34" s="121"/>
      <c r="Y34" s="121"/>
      <c r="Z34" s="121"/>
      <c r="AA34" s="121"/>
      <c r="AB34" s="121"/>
    </row>
    <row r="35">
      <c r="A35" s="123" t="s">
        <v>1912</v>
      </c>
      <c r="B35" s="125" t="s">
        <v>1908</v>
      </c>
      <c r="C35" s="125" t="s">
        <v>1889</v>
      </c>
      <c r="D35" s="124" t="s">
        <v>1890</v>
      </c>
      <c r="E35" s="124" t="s">
        <v>1891</v>
      </c>
      <c r="F35" s="125" t="s">
        <v>1847</v>
      </c>
      <c r="G35" s="126" t="s">
        <v>393</v>
      </c>
      <c r="H35" s="129" t="s">
        <v>1892</v>
      </c>
      <c r="I35" s="130" t="s">
        <v>1849</v>
      </c>
      <c r="J35" s="61" t="str">
        <f>IFERROR(IF(G35="Ativo","Ativo",IF(G35="SKU excluído","Vencido",VLOOKUP(A35,Encerramentos!B:G,6,0))),"")</f>
        <v>Ativo</v>
      </c>
      <c r="K35" s="121"/>
      <c r="L35" s="121"/>
      <c r="M35" s="121"/>
      <c r="N35" s="121"/>
      <c r="O35" s="121"/>
      <c r="P35" s="121"/>
      <c r="Q35" s="121"/>
      <c r="R35" s="121"/>
      <c r="S35" s="121"/>
      <c r="T35" s="121"/>
      <c r="U35" s="121"/>
      <c r="V35" s="121"/>
      <c r="W35" s="121"/>
      <c r="X35" s="121"/>
      <c r="Y35" s="121"/>
      <c r="Z35" s="121"/>
      <c r="AA35" s="121"/>
      <c r="AB35" s="121"/>
    </row>
    <row r="36">
      <c r="A36" s="123" t="s">
        <v>1913</v>
      </c>
      <c r="B36" s="125" t="s">
        <v>1914</v>
      </c>
      <c r="C36" s="125" t="s">
        <v>1889</v>
      </c>
      <c r="D36" s="124" t="s">
        <v>1890</v>
      </c>
      <c r="E36" s="124" t="s">
        <v>1891</v>
      </c>
      <c r="F36" s="125" t="s">
        <v>1847</v>
      </c>
      <c r="G36" s="126" t="s">
        <v>393</v>
      </c>
      <c r="H36" s="129" t="s">
        <v>1892</v>
      </c>
      <c r="I36" s="130" t="s">
        <v>1849</v>
      </c>
      <c r="J36" s="61" t="str">
        <f>IFERROR(IF(G36="Ativo","Ativo",IF(G36="SKU excluído","Vencido",VLOOKUP(A36,Encerramentos!B:G,6,0))),"")</f>
        <v>Ativo</v>
      </c>
      <c r="K36" s="121"/>
      <c r="L36" s="121"/>
      <c r="M36" s="121"/>
      <c r="N36" s="121"/>
      <c r="O36" s="121"/>
      <c r="P36" s="121"/>
      <c r="Q36" s="121"/>
      <c r="R36" s="121"/>
      <c r="S36" s="121"/>
      <c r="T36" s="121"/>
      <c r="U36" s="121"/>
      <c r="V36" s="121"/>
      <c r="W36" s="121"/>
      <c r="X36" s="121"/>
      <c r="Y36" s="121"/>
      <c r="Z36" s="121"/>
      <c r="AA36" s="121"/>
      <c r="AB36" s="121"/>
    </row>
    <row r="37">
      <c r="A37" s="122" t="s">
        <v>1915</v>
      </c>
      <c r="B37" s="123" t="s">
        <v>1916</v>
      </c>
      <c r="C37" s="123" t="s">
        <v>1844</v>
      </c>
      <c r="D37" s="124" t="s">
        <v>1845</v>
      </c>
      <c r="E37" s="124" t="s">
        <v>1846</v>
      </c>
      <c r="F37" s="125" t="s">
        <v>1847</v>
      </c>
      <c r="G37" s="126" t="s">
        <v>393</v>
      </c>
      <c r="H37" s="127" t="s">
        <v>1848</v>
      </c>
      <c r="I37" s="128" t="s">
        <v>1854</v>
      </c>
      <c r="J37" s="61" t="str">
        <f>IFERROR(IF(G37="Ativo","Ativo",IF(G37="SKU excluído","Vencido",VLOOKUP(A37,Encerramentos!B:G,6,0))),"")</f>
        <v>Ativo</v>
      </c>
      <c r="K37" s="121"/>
      <c r="L37" s="121"/>
      <c r="M37" s="121"/>
      <c r="N37" s="121"/>
      <c r="O37" s="121"/>
      <c r="P37" s="121"/>
      <c r="Q37" s="121"/>
      <c r="R37" s="121"/>
      <c r="S37" s="121"/>
      <c r="T37" s="121"/>
      <c r="U37" s="121"/>
      <c r="V37" s="121"/>
      <c r="W37" s="121"/>
      <c r="X37" s="121"/>
      <c r="Y37" s="121"/>
      <c r="Z37" s="121"/>
      <c r="AA37" s="121"/>
      <c r="AB37" s="121"/>
    </row>
    <row r="38">
      <c r="A38" s="122" t="s">
        <v>1917</v>
      </c>
      <c r="B38" s="123" t="s">
        <v>1918</v>
      </c>
      <c r="C38" s="123" t="s">
        <v>1844</v>
      </c>
      <c r="D38" s="124" t="s">
        <v>1845</v>
      </c>
      <c r="E38" s="124" t="s">
        <v>1846</v>
      </c>
      <c r="F38" s="125" t="s">
        <v>1847</v>
      </c>
      <c r="G38" s="126" t="s">
        <v>393</v>
      </c>
      <c r="H38" s="127" t="s">
        <v>1848</v>
      </c>
      <c r="I38" s="128" t="s">
        <v>1849</v>
      </c>
      <c r="J38" s="61" t="str">
        <f>IFERROR(IF(G38="Ativo","Ativo",IF(G38="SKU excluído","Vencido",VLOOKUP(A38,Encerramentos!B:G,6,0))),"")</f>
        <v>Ativo</v>
      </c>
      <c r="K38" s="121"/>
      <c r="L38" s="121"/>
      <c r="M38" s="121"/>
      <c r="N38" s="121"/>
      <c r="O38" s="121"/>
      <c r="P38" s="121"/>
      <c r="Q38" s="121"/>
      <c r="R38" s="121"/>
      <c r="S38" s="121"/>
      <c r="T38" s="121"/>
      <c r="U38" s="121"/>
      <c r="V38" s="121"/>
      <c r="W38" s="121"/>
      <c r="X38" s="121"/>
      <c r="Y38" s="121"/>
      <c r="Z38" s="121"/>
      <c r="AA38" s="121"/>
      <c r="AB38" s="121"/>
    </row>
    <row r="39">
      <c r="A39" s="122" t="s">
        <v>1919</v>
      </c>
      <c r="B39" s="123" t="s">
        <v>1920</v>
      </c>
      <c r="C39" s="123" t="s">
        <v>1844</v>
      </c>
      <c r="D39" s="124" t="s">
        <v>1845</v>
      </c>
      <c r="E39" s="124" t="s">
        <v>1846</v>
      </c>
      <c r="F39" s="125" t="s">
        <v>1847</v>
      </c>
      <c r="G39" s="126" t="s">
        <v>393</v>
      </c>
      <c r="H39" s="127" t="s">
        <v>1848</v>
      </c>
      <c r="I39" s="128" t="s">
        <v>1849</v>
      </c>
      <c r="J39" s="61" t="str">
        <f>IFERROR(IF(G39="Ativo","Ativo",IF(G39="SKU excluído","Vencido",VLOOKUP(A39,Encerramentos!B:G,6,0))),"")</f>
        <v>Ativo</v>
      </c>
      <c r="K39" s="121"/>
      <c r="L39" s="121"/>
      <c r="M39" s="121"/>
      <c r="N39" s="121"/>
      <c r="O39" s="121"/>
      <c r="P39" s="121"/>
      <c r="Q39" s="121"/>
      <c r="R39" s="121"/>
      <c r="S39" s="121"/>
      <c r="T39" s="121"/>
      <c r="U39" s="121"/>
      <c r="V39" s="121"/>
      <c r="W39" s="121"/>
      <c r="X39" s="121"/>
      <c r="Y39" s="121"/>
      <c r="Z39" s="121"/>
      <c r="AA39" s="121"/>
      <c r="AB39" s="121"/>
    </row>
    <row r="40">
      <c r="A40" s="122" t="s">
        <v>1921</v>
      </c>
      <c r="B40" s="123" t="s">
        <v>1922</v>
      </c>
      <c r="C40" s="123" t="s">
        <v>1889</v>
      </c>
      <c r="D40" s="124" t="s">
        <v>1890</v>
      </c>
      <c r="E40" s="124" t="s">
        <v>1891</v>
      </c>
      <c r="F40" s="125" t="s">
        <v>1847</v>
      </c>
      <c r="G40" s="126" t="s">
        <v>393</v>
      </c>
      <c r="H40" s="127" t="s">
        <v>1892</v>
      </c>
      <c r="I40" s="128" t="s">
        <v>1849</v>
      </c>
      <c r="J40" s="61" t="str">
        <f>IFERROR(IF(G40="Ativo","Ativo",IF(G40="SKU excluído","Vencido",VLOOKUP(A40,Encerramentos!B:G,6,0))),"")</f>
        <v>Ativo</v>
      </c>
      <c r="K40" s="121"/>
      <c r="L40" s="121"/>
      <c r="M40" s="121"/>
      <c r="N40" s="121"/>
      <c r="O40" s="121"/>
      <c r="P40" s="121"/>
      <c r="Q40" s="121"/>
      <c r="R40" s="121"/>
      <c r="S40" s="121"/>
      <c r="T40" s="121"/>
      <c r="U40" s="121"/>
      <c r="V40" s="121"/>
      <c r="W40" s="121"/>
      <c r="X40" s="121"/>
      <c r="Y40" s="121"/>
      <c r="Z40" s="121"/>
      <c r="AA40" s="121"/>
      <c r="AB40" s="121"/>
    </row>
    <row r="41">
      <c r="A41" s="122" t="s">
        <v>1923</v>
      </c>
      <c r="B41" s="123" t="s">
        <v>1924</v>
      </c>
      <c r="C41" s="123" t="s">
        <v>1889</v>
      </c>
      <c r="D41" s="124" t="s">
        <v>1890</v>
      </c>
      <c r="E41" s="124" t="s">
        <v>1891</v>
      </c>
      <c r="F41" s="125" t="s">
        <v>1847</v>
      </c>
      <c r="G41" s="126" t="s">
        <v>393</v>
      </c>
      <c r="H41" s="127" t="s">
        <v>1892</v>
      </c>
      <c r="I41" s="128" t="s">
        <v>1854</v>
      </c>
      <c r="J41" s="61" t="str">
        <f>IFERROR(IF(G41="Ativo","Ativo",IF(G41="SKU excluído","Vencido",VLOOKUP(A41,Encerramentos!B:G,6,0))),"")</f>
        <v>Ativo</v>
      </c>
      <c r="K41" s="121"/>
      <c r="L41" s="121"/>
      <c r="M41" s="121"/>
      <c r="N41" s="121"/>
      <c r="O41" s="121"/>
      <c r="P41" s="121"/>
      <c r="Q41" s="121"/>
      <c r="R41" s="121"/>
      <c r="S41" s="121"/>
      <c r="T41" s="121"/>
      <c r="U41" s="121"/>
      <c r="V41" s="121"/>
      <c r="W41" s="121"/>
      <c r="X41" s="121"/>
      <c r="Y41" s="121"/>
      <c r="Z41" s="121"/>
      <c r="AA41" s="121"/>
      <c r="AB41" s="121"/>
    </row>
    <row r="42">
      <c r="A42" s="122" t="s">
        <v>1925</v>
      </c>
      <c r="B42" s="123" t="s">
        <v>1926</v>
      </c>
      <c r="C42" s="123" t="s">
        <v>1844</v>
      </c>
      <c r="D42" s="124" t="s">
        <v>1845</v>
      </c>
      <c r="E42" s="124" t="s">
        <v>1846</v>
      </c>
      <c r="F42" s="125" t="s">
        <v>1927</v>
      </c>
      <c r="G42" s="126" t="s">
        <v>393</v>
      </c>
      <c r="H42" s="127" t="s">
        <v>1848</v>
      </c>
      <c r="I42" s="128" t="s">
        <v>1928</v>
      </c>
      <c r="J42" s="61" t="str">
        <f>IFERROR(IF(G42="Ativo","Ativo",IF(G42="SKU excluído","Vencido",VLOOKUP(A42,Encerramentos!B:G,6,0))),"")</f>
        <v>Ativo</v>
      </c>
      <c r="K42" s="121"/>
      <c r="L42" s="121"/>
      <c r="M42" s="121"/>
      <c r="N42" s="121"/>
      <c r="O42" s="121"/>
      <c r="P42" s="121"/>
      <c r="Q42" s="121"/>
      <c r="R42" s="121"/>
      <c r="S42" s="121"/>
      <c r="T42" s="121"/>
      <c r="U42" s="121"/>
      <c r="V42" s="121"/>
      <c r="W42" s="121"/>
      <c r="X42" s="121"/>
      <c r="Y42" s="121"/>
      <c r="Z42" s="121"/>
      <c r="AA42" s="121"/>
      <c r="AB42" s="121"/>
    </row>
    <row r="43">
      <c r="A43" s="122" t="s">
        <v>1929</v>
      </c>
      <c r="B43" s="123" t="s">
        <v>1930</v>
      </c>
      <c r="C43" s="123" t="s">
        <v>1844</v>
      </c>
      <c r="D43" s="124" t="s">
        <v>1845</v>
      </c>
      <c r="E43" s="124" t="s">
        <v>1846</v>
      </c>
      <c r="F43" s="125" t="s">
        <v>1927</v>
      </c>
      <c r="G43" s="126" t="s">
        <v>393</v>
      </c>
      <c r="H43" s="127" t="s">
        <v>1848</v>
      </c>
      <c r="I43" s="128" t="s">
        <v>1931</v>
      </c>
      <c r="J43" s="61" t="str">
        <f>IFERROR(IF(G43="Ativo","Ativo",IF(G43="SKU excluído","Vencido",VLOOKUP(A43,Encerramentos!B:G,6,0))),"")</f>
        <v>Ativo</v>
      </c>
      <c r="K43" s="121"/>
      <c r="L43" s="121"/>
      <c r="M43" s="121"/>
      <c r="N43" s="121"/>
      <c r="O43" s="121"/>
      <c r="P43" s="121"/>
      <c r="Q43" s="121"/>
      <c r="R43" s="121"/>
      <c r="S43" s="121"/>
      <c r="T43" s="121"/>
      <c r="U43" s="121"/>
      <c r="V43" s="121"/>
      <c r="W43" s="121"/>
      <c r="X43" s="121"/>
      <c r="Y43" s="121"/>
      <c r="Z43" s="121"/>
      <c r="AA43" s="121"/>
      <c r="AB43" s="121"/>
    </row>
    <row r="44">
      <c r="A44" s="122" t="s">
        <v>1932</v>
      </c>
      <c r="B44" s="123" t="s">
        <v>1933</v>
      </c>
      <c r="C44" s="123" t="s">
        <v>1844</v>
      </c>
      <c r="D44" s="124" t="s">
        <v>1845</v>
      </c>
      <c r="E44" s="124" t="s">
        <v>1846</v>
      </c>
      <c r="F44" s="125" t="s">
        <v>1927</v>
      </c>
      <c r="G44" s="126" t="s">
        <v>393</v>
      </c>
      <c r="H44" s="127" t="s">
        <v>1848</v>
      </c>
      <c r="I44" s="128" t="s">
        <v>1928</v>
      </c>
      <c r="J44" s="61" t="str">
        <f>IFERROR(IF(G44="Ativo","Ativo",IF(G44="SKU excluído","Vencido",VLOOKUP(A44,Encerramentos!B:G,6,0))),"")</f>
        <v>Ativo</v>
      </c>
      <c r="K44" s="121"/>
      <c r="L44" s="121"/>
      <c r="M44" s="121"/>
      <c r="N44" s="121"/>
      <c r="O44" s="121"/>
      <c r="P44" s="121"/>
      <c r="Q44" s="121"/>
      <c r="R44" s="121"/>
      <c r="S44" s="121"/>
      <c r="T44" s="121"/>
      <c r="U44" s="121"/>
      <c r="V44" s="121"/>
      <c r="W44" s="121"/>
      <c r="X44" s="121"/>
      <c r="Y44" s="121"/>
      <c r="Z44" s="121"/>
      <c r="AA44" s="121"/>
      <c r="AB44" s="121"/>
    </row>
    <row r="45">
      <c r="A45" s="122" t="s">
        <v>1934</v>
      </c>
      <c r="B45" s="123" t="s">
        <v>1935</v>
      </c>
      <c r="C45" s="123" t="s">
        <v>1844</v>
      </c>
      <c r="D45" s="124" t="s">
        <v>1845</v>
      </c>
      <c r="E45" s="124" t="s">
        <v>1846</v>
      </c>
      <c r="F45" s="125" t="s">
        <v>1927</v>
      </c>
      <c r="G45" s="126" t="s">
        <v>393</v>
      </c>
      <c r="H45" s="127" t="s">
        <v>1848</v>
      </c>
      <c r="I45" s="128" t="s">
        <v>1931</v>
      </c>
      <c r="J45" s="61" t="str">
        <f>IFERROR(IF(G45="Ativo","Ativo",IF(G45="SKU excluído","Vencido",VLOOKUP(A45,Encerramentos!B:G,6,0))),"")</f>
        <v>Ativo</v>
      </c>
      <c r="K45" s="121"/>
      <c r="L45" s="121"/>
      <c r="M45" s="121"/>
      <c r="N45" s="121"/>
      <c r="O45" s="121"/>
      <c r="P45" s="121"/>
      <c r="Q45" s="121"/>
      <c r="R45" s="121"/>
      <c r="S45" s="121"/>
      <c r="T45" s="121"/>
      <c r="U45" s="121"/>
      <c r="V45" s="121"/>
      <c r="W45" s="121"/>
      <c r="X45" s="121"/>
      <c r="Y45" s="121"/>
      <c r="Z45" s="121"/>
      <c r="AA45" s="121"/>
      <c r="AB45" s="121"/>
    </row>
    <row r="46">
      <c r="A46" s="122" t="s">
        <v>1936</v>
      </c>
      <c r="B46" s="123" t="s">
        <v>1937</v>
      </c>
      <c r="C46" s="123" t="s">
        <v>1844</v>
      </c>
      <c r="D46" s="124" t="s">
        <v>1845</v>
      </c>
      <c r="E46" s="124" t="s">
        <v>1846</v>
      </c>
      <c r="F46" s="125" t="s">
        <v>1927</v>
      </c>
      <c r="G46" s="126" t="s">
        <v>393</v>
      </c>
      <c r="H46" s="127" t="s">
        <v>1848</v>
      </c>
      <c r="I46" s="128" t="s">
        <v>1931</v>
      </c>
      <c r="J46" s="61" t="str">
        <f>IFERROR(IF(G46="Ativo","Ativo",IF(G46="SKU excluído","Vencido",VLOOKUP(A46,Encerramentos!B:G,6,0))),"")</f>
        <v>Ativo</v>
      </c>
      <c r="K46" s="121"/>
      <c r="L46" s="121"/>
      <c r="M46" s="121"/>
      <c r="N46" s="121"/>
      <c r="O46" s="121"/>
      <c r="P46" s="121"/>
      <c r="Q46" s="121"/>
      <c r="R46" s="121"/>
      <c r="S46" s="121"/>
      <c r="T46" s="121"/>
      <c r="U46" s="121"/>
      <c r="V46" s="121"/>
      <c r="W46" s="121"/>
      <c r="X46" s="121"/>
      <c r="Y46" s="121"/>
      <c r="Z46" s="121"/>
      <c r="AA46" s="121"/>
      <c r="AB46" s="121"/>
    </row>
    <row r="47">
      <c r="A47" s="122" t="s">
        <v>1938</v>
      </c>
      <c r="B47" s="123" t="s">
        <v>1939</v>
      </c>
      <c r="C47" s="123" t="s">
        <v>1844</v>
      </c>
      <c r="D47" s="124" t="s">
        <v>1845</v>
      </c>
      <c r="E47" s="124" t="s">
        <v>1846</v>
      </c>
      <c r="F47" s="125" t="s">
        <v>1927</v>
      </c>
      <c r="G47" s="126" t="s">
        <v>393</v>
      </c>
      <c r="H47" s="127" t="s">
        <v>1848</v>
      </c>
      <c r="I47" s="128" t="s">
        <v>1928</v>
      </c>
      <c r="J47" s="61" t="str">
        <f>IFERROR(IF(G47="Ativo","Ativo",IF(G47="SKU excluído","Vencido",VLOOKUP(A47,Encerramentos!B:G,6,0))),"")</f>
        <v>Ativo</v>
      </c>
      <c r="K47" s="121"/>
      <c r="L47" s="121"/>
      <c r="M47" s="121"/>
      <c r="N47" s="121"/>
      <c r="O47" s="121"/>
      <c r="P47" s="121"/>
      <c r="Q47" s="121"/>
      <c r="R47" s="121"/>
      <c r="S47" s="121"/>
      <c r="T47" s="121"/>
      <c r="U47" s="121"/>
      <c r="V47" s="121"/>
      <c r="W47" s="121"/>
      <c r="X47" s="121"/>
      <c r="Y47" s="121"/>
      <c r="Z47" s="121"/>
      <c r="AA47" s="121"/>
      <c r="AB47" s="121"/>
    </row>
    <row r="48">
      <c r="A48" s="122" t="s">
        <v>1940</v>
      </c>
      <c r="B48" s="123" t="s">
        <v>1941</v>
      </c>
      <c r="C48" s="123" t="s">
        <v>1844</v>
      </c>
      <c r="D48" s="124" t="s">
        <v>1845</v>
      </c>
      <c r="E48" s="124" t="s">
        <v>1846</v>
      </c>
      <c r="F48" s="125" t="s">
        <v>1927</v>
      </c>
      <c r="G48" s="126" t="s">
        <v>393</v>
      </c>
      <c r="H48" s="127" t="s">
        <v>1848</v>
      </c>
      <c r="I48" s="128" t="s">
        <v>1928</v>
      </c>
      <c r="J48" s="61" t="str">
        <f>IFERROR(IF(G48="Ativo","Ativo",IF(G48="SKU excluído","Vencido",VLOOKUP(A48,Encerramentos!B:G,6,0))),"")</f>
        <v>Ativo</v>
      </c>
      <c r="K48" s="121"/>
      <c r="L48" s="121"/>
      <c r="M48" s="121"/>
      <c r="N48" s="121"/>
      <c r="O48" s="121"/>
      <c r="P48" s="121"/>
      <c r="Q48" s="121"/>
      <c r="R48" s="121"/>
      <c r="S48" s="121"/>
      <c r="T48" s="121"/>
      <c r="U48" s="121"/>
      <c r="V48" s="121"/>
      <c r="W48" s="121"/>
      <c r="X48" s="121"/>
      <c r="Y48" s="121"/>
      <c r="Z48" s="121"/>
      <c r="AA48" s="121"/>
      <c r="AB48" s="121"/>
    </row>
    <row r="49">
      <c r="A49" s="122" t="s">
        <v>1942</v>
      </c>
      <c r="B49" s="123" t="s">
        <v>1943</v>
      </c>
      <c r="C49" s="123" t="s">
        <v>1889</v>
      </c>
      <c r="D49" s="124" t="s">
        <v>1890</v>
      </c>
      <c r="E49" s="124" t="s">
        <v>1891</v>
      </c>
      <c r="F49" s="125" t="s">
        <v>1927</v>
      </c>
      <c r="G49" s="126" t="s">
        <v>393</v>
      </c>
      <c r="H49" s="127" t="s">
        <v>1892</v>
      </c>
      <c r="I49" s="128" t="s">
        <v>1928</v>
      </c>
      <c r="J49" s="61" t="str">
        <f>IFERROR(IF(G49="Ativo","Ativo",IF(G49="SKU excluído","Vencido",VLOOKUP(A49,Encerramentos!B:G,6,0))),"")</f>
        <v>Ativo</v>
      </c>
      <c r="K49" s="121"/>
      <c r="L49" s="121"/>
      <c r="M49" s="121"/>
      <c r="N49" s="121"/>
      <c r="O49" s="121"/>
      <c r="P49" s="121"/>
      <c r="Q49" s="121"/>
      <c r="R49" s="121"/>
      <c r="S49" s="121"/>
      <c r="T49" s="121"/>
      <c r="U49" s="121"/>
      <c r="V49" s="121"/>
      <c r="W49" s="121"/>
      <c r="X49" s="121"/>
      <c r="Y49" s="121"/>
      <c r="Z49" s="121"/>
      <c r="AA49" s="121"/>
      <c r="AB49" s="121"/>
    </row>
    <row r="50">
      <c r="A50" s="122" t="s">
        <v>1944</v>
      </c>
      <c r="B50" s="123" t="s">
        <v>1945</v>
      </c>
      <c r="C50" s="123" t="s">
        <v>1889</v>
      </c>
      <c r="D50" s="124" t="s">
        <v>1890</v>
      </c>
      <c r="E50" s="124" t="s">
        <v>1891</v>
      </c>
      <c r="F50" s="125" t="s">
        <v>1927</v>
      </c>
      <c r="G50" s="126" t="s">
        <v>393</v>
      </c>
      <c r="H50" s="127" t="s">
        <v>1892</v>
      </c>
      <c r="I50" s="128" t="s">
        <v>1928</v>
      </c>
      <c r="J50" s="61" t="str">
        <f>IFERROR(IF(G50="Ativo","Ativo",IF(G50="SKU excluído","Vencido",VLOOKUP(A50,Encerramentos!B:G,6,0))),"")</f>
        <v>Ativo</v>
      </c>
      <c r="K50" s="121"/>
      <c r="L50" s="121"/>
      <c r="M50" s="121"/>
      <c r="N50" s="121"/>
      <c r="O50" s="121"/>
      <c r="P50" s="121"/>
      <c r="Q50" s="121"/>
      <c r="R50" s="121"/>
      <c r="S50" s="121"/>
      <c r="T50" s="121"/>
      <c r="U50" s="121"/>
      <c r="V50" s="121"/>
      <c r="W50" s="121"/>
      <c r="X50" s="121"/>
      <c r="Y50" s="121"/>
      <c r="Z50" s="121"/>
      <c r="AA50" s="121"/>
      <c r="AB50" s="121"/>
    </row>
    <row r="51">
      <c r="A51" s="122" t="s">
        <v>1946</v>
      </c>
      <c r="B51" s="123" t="s">
        <v>1947</v>
      </c>
      <c r="C51" s="123" t="s">
        <v>1889</v>
      </c>
      <c r="D51" s="124" t="s">
        <v>1890</v>
      </c>
      <c r="E51" s="124" t="s">
        <v>1891</v>
      </c>
      <c r="F51" s="125" t="s">
        <v>1927</v>
      </c>
      <c r="G51" s="126" t="s">
        <v>393</v>
      </c>
      <c r="H51" s="127" t="s">
        <v>1892</v>
      </c>
      <c r="I51" s="128" t="s">
        <v>1928</v>
      </c>
      <c r="J51" s="61" t="str">
        <f>IFERROR(IF(G51="Ativo","Ativo",IF(G51="SKU excluído","Vencido",VLOOKUP(A51,Encerramentos!B:G,6,0))),"")</f>
        <v>Ativo</v>
      </c>
      <c r="K51" s="121"/>
      <c r="L51" s="121"/>
      <c r="M51" s="121"/>
      <c r="N51" s="121"/>
      <c r="O51" s="121"/>
      <c r="P51" s="121"/>
      <c r="Q51" s="121"/>
      <c r="R51" s="121"/>
      <c r="S51" s="121"/>
      <c r="T51" s="121"/>
      <c r="U51" s="121"/>
      <c r="V51" s="121"/>
      <c r="W51" s="121"/>
      <c r="X51" s="121"/>
      <c r="Y51" s="121"/>
      <c r="Z51" s="121"/>
      <c r="AA51" s="121"/>
      <c r="AB51" s="121"/>
    </row>
    <row r="52">
      <c r="A52" s="122" t="s">
        <v>1948</v>
      </c>
      <c r="B52" s="123" t="s">
        <v>1949</v>
      </c>
      <c r="C52" s="123" t="s">
        <v>1889</v>
      </c>
      <c r="D52" s="124" t="s">
        <v>1890</v>
      </c>
      <c r="E52" s="124" t="s">
        <v>1891</v>
      </c>
      <c r="F52" s="125" t="s">
        <v>1927</v>
      </c>
      <c r="G52" s="126" t="s">
        <v>393</v>
      </c>
      <c r="H52" s="127" t="s">
        <v>1892</v>
      </c>
      <c r="I52" s="128" t="s">
        <v>1928</v>
      </c>
      <c r="J52" s="61" t="str">
        <f>IFERROR(IF(G52="Ativo","Ativo",IF(G52="SKU excluído","Vencido",VLOOKUP(A52,Encerramentos!B:G,6,0))),"")</f>
        <v>Ativo</v>
      </c>
      <c r="K52" s="121"/>
      <c r="L52" s="121"/>
      <c r="M52" s="121"/>
      <c r="N52" s="121"/>
      <c r="O52" s="121"/>
      <c r="P52" s="121"/>
      <c r="Q52" s="121"/>
      <c r="R52" s="121"/>
      <c r="S52" s="121"/>
      <c r="T52" s="121"/>
      <c r="U52" s="121"/>
      <c r="V52" s="121"/>
      <c r="W52" s="121"/>
      <c r="X52" s="121"/>
      <c r="Y52" s="121"/>
      <c r="Z52" s="121"/>
      <c r="AA52" s="121"/>
      <c r="AB52" s="121"/>
    </row>
    <row r="53">
      <c r="A53" s="122" t="s">
        <v>1950</v>
      </c>
      <c r="B53" s="123" t="s">
        <v>1951</v>
      </c>
      <c r="C53" s="123" t="s">
        <v>1889</v>
      </c>
      <c r="D53" s="124" t="s">
        <v>1890</v>
      </c>
      <c r="E53" s="124" t="s">
        <v>1891</v>
      </c>
      <c r="F53" s="125" t="s">
        <v>1927</v>
      </c>
      <c r="G53" s="126" t="s">
        <v>393</v>
      </c>
      <c r="H53" s="127" t="s">
        <v>1892</v>
      </c>
      <c r="I53" s="128" t="s">
        <v>1931</v>
      </c>
      <c r="J53" s="61" t="str">
        <f>IFERROR(IF(G53="Ativo","Ativo",IF(G53="SKU excluído","Vencido",VLOOKUP(A53,Encerramentos!B:G,6,0))),"")</f>
        <v>Ativo</v>
      </c>
      <c r="K53" s="121"/>
      <c r="L53" s="121"/>
      <c r="M53" s="121"/>
      <c r="N53" s="121"/>
      <c r="O53" s="121"/>
      <c r="P53" s="121"/>
      <c r="Q53" s="121"/>
      <c r="R53" s="121"/>
      <c r="S53" s="121"/>
      <c r="T53" s="121"/>
      <c r="U53" s="121"/>
      <c r="V53" s="121"/>
      <c r="W53" s="121"/>
      <c r="X53" s="121"/>
      <c r="Y53" s="121"/>
      <c r="Z53" s="121"/>
      <c r="AA53" s="121"/>
      <c r="AB53" s="121"/>
    </row>
    <row r="54">
      <c r="A54" s="122" t="s">
        <v>1952</v>
      </c>
      <c r="B54" s="123" t="s">
        <v>1953</v>
      </c>
      <c r="C54" s="123" t="s">
        <v>1889</v>
      </c>
      <c r="D54" s="124" t="s">
        <v>1890</v>
      </c>
      <c r="E54" s="124" t="s">
        <v>1891</v>
      </c>
      <c r="F54" s="125" t="s">
        <v>1927</v>
      </c>
      <c r="G54" s="126" t="s">
        <v>393</v>
      </c>
      <c r="H54" s="127" t="s">
        <v>1892</v>
      </c>
      <c r="I54" s="128" t="s">
        <v>1931</v>
      </c>
      <c r="J54" s="61" t="str">
        <f>IFERROR(IF(G54="Ativo","Ativo",IF(G54="SKU excluído","Vencido",VLOOKUP(A54,Encerramentos!B:G,6,0))),"")</f>
        <v>Ativo</v>
      </c>
      <c r="K54" s="121"/>
      <c r="L54" s="121"/>
      <c r="M54" s="121"/>
      <c r="N54" s="121"/>
      <c r="O54" s="121"/>
      <c r="P54" s="121"/>
      <c r="Q54" s="121"/>
      <c r="R54" s="121"/>
      <c r="S54" s="121"/>
      <c r="T54" s="121"/>
      <c r="U54" s="121"/>
      <c r="V54" s="121"/>
      <c r="W54" s="121"/>
      <c r="X54" s="121"/>
      <c r="Y54" s="121"/>
      <c r="Z54" s="121"/>
      <c r="AA54" s="121"/>
      <c r="AB54" s="121"/>
    </row>
    <row r="55">
      <c r="A55" s="122" t="s">
        <v>1954</v>
      </c>
      <c r="B55" s="123" t="s">
        <v>1955</v>
      </c>
      <c r="C55" s="123" t="s">
        <v>1889</v>
      </c>
      <c r="D55" s="124" t="s">
        <v>1890</v>
      </c>
      <c r="E55" s="124" t="s">
        <v>1891</v>
      </c>
      <c r="F55" s="125" t="s">
        <v>1927</v>
      </c>
      <c r="G55" s="126" t="s">
        <v>393</v>
      </c>
      <c r="H55" s="127" t="s">
        <v>1892</v>
      </c>
      <c r="I55" s="128" t="s">
        <v>1931</v>
      </c>
      <c r="J55" s="61" t="str">
        <f>IFERROR(IF(G55="Ativo","Ativo",IF(G55="SKU excluído","Vencido",VLOOKUP(A55,Encerramentos!B:G,6,0))),"")</f>
        <v>Ativo</v>
      </c>
      <c r="K55" s="121"/>
      <c r="L55" s="121"/>
      <c r="M55" s="121"/>
      <c r="N55" s="121"/>
      <c r="O55" s="121"/>
      <c r="P55" s="121"/>
      <c r="Q55" s="121"/>
      <c r="R55" s="121"/>
      <c r="S55" s="121"/>
      <c r="T55" s="121"/>
      <c r="U55" s="121"/>
      <c r="V55" s="121"/>
      <c r="W55" s="121"/>
      <c r="X55" s="121"/>
      <c r="Y55" s="121"/>
      <c r="Z55" s="121"/>
      <c r="AA55" s="121"/>
      <c r="AB55" s="121"/>
    </row>
    <row r="56">
      <c r="A56" s="122" t="s">
        <v>1956</v>
      </c>
      <c r="B56" s="123" t="s">
        <v>1945</v>
      </c>
      <c r="C56" s="123" t="s">
        <v>1889</v>
      </c>
      <c r="D56" s="124" t="s">
        <v>1890</v>
      </c>
      <c r="E56" s="124" t="s">
        <v>1891</v>
      </c>
      <c r="F56" s="125" t="s">
        <v>1927</v>
      </c>
      <c r="G56" s="126" t="s">
        <v>393</v>
      </c>
      <c r="H56" s="127" t="s">
        <v>1892</v>
      </c>
      <c r="I56" s="128" t="s">
        <v>1931</v>
      </c>
      <c r="J56" s="61" t="str">
        <f>IFERROR(IF(G56="Ativo","Ativo",IF(G56="SKU excluído","Vencido",VLOOKUP(A56,Encerramentos!B:G,6,0))),"")</f>
        <v>Ativo</v>
      </c>
      <c r="K56" s="121"/>
      <c r="L56" s="121"/>
      <c r="M56" s="121"/>
      <c r="N56" s="121"/>
      <c r="O56" s="121"/>
      <c r="P56" s="121"/>
      <c r="Q56" s="121"/>
      <c r="R56" s="121"/>
      <c r="S56" s="121"/>
      <c r="T56" s="121"/>
      <c r="U56" s="121"/>
      <c r="V56" s="121"/>
      <c r="W56" s="121"/>
      <c r="X56" s="121"/>
      <c r="Y56" s="121"/>
      <c r="Z56" s="121"/>
      <c r="AA56" s="121"/>
      <c r="AB56" s="121"/>
    </row>
    <row r="57">
      <c r="A57" s="122" t="s">
        <v>1957</v>
      </c>
      <c r="B57" s="123" t="s">
        <v>1958</v>
      </c>
      <c r="C57" s="123" t="s">
        <v>1889</v>
      </c>
      <c r="D57" s="124" t="s">
        <v>1890</v>
      </c>
      <c r="E57" s="124" t="s">
        <v>1891</v>
      </c>
      <c r="F57" s="125" t="s">
        <v>1927</v>
      </c>
      <c r="G57" s="126" t="s">
        <v>393</v>
      </c>
      <c r="H57" s="127" t="s">
        <v>1892</v>
      </c>
      <c r="I57" s="128" t="s">
        <v>1931</v>
      </c>
      <c r="J57" s="61" t="str">
        <f>IFERROR(IF(G57="Ativo","Ativo",IF(G57="SKU excluído","Vencido",VLOOKUP(A57,Encerramentos!B:G,6,0))),"")</f>
        <v>Ativo</v>
      </c>
      <c r="K57" s="121"/>
      <c r="L57" s="121"/>
      <c r="M57" s="121"/>
      <c r="N57" s="121"/>
      <c r="O57" s="121"/>
      <c r="P57" s="121"/>
      <c r="Q57" s="121"/>
      <c r="R57" s="121"/>
      <c r="S57" s="121"/>
      <c r="T57" s="121"/>
      <c r="U57" s="121"/>
      <c r="V57" s="121"/>
      <c r="W57" s="121"/>
      <c r="X57" s="121"/>
      <c r="Y57" s="121"/>
      <c r="Z57" s="121"/>
      <c r="AA57" s="121"/>
      <c r="AB57" s="121"/>
    </row>
    <row r="58">
      <c r="A58" s="122" t="s">
        <v>1959</v>
      </c>
      <c r="B58" s="123" t="s">
        <v>1960</v>
      </c>
      <c r="C58" s="123" t="s">
        <v>1889</v>
      </c>
      <c r="D58" s="124" t="s">
        <v>1890</v>
      </c>
      <c r="E58" s="124" t="s">
        <v>1891</v>
      </c>
      <c r="F58" s="125" t="s">
        <v>1927</v>
      </c>
      <c r="G58" s="126" t="s">
        <v>393</v>
      </c>
      <c r="H58" s="127" t="s">
        <v>1892</v>
      </c>
      <c r="I58" s="128" t="s">
        <v>1931</v>
      </c>
      <c r="J58" s="61" t="str">
        <f>IFERROR(IF(G58="Ativo","Ativo",IF(G58="SKU excluído","Vencido",VLOOKUP(A58,Encerramentos!B:G,6,0))),"")</f>
        <v>Ativo</v>
      </c>
      <c r="K58" s="121"/>
      <c r="L58" s="121"/>
      <c r="M58" s="121"/>
      <c r="N58" s="121"/>
      <c r="O58" s="121"/>
      <c r="P58" s="121"/>
      <c r="Q58" s="121"/>
      <c r="R58" s="121"/>
      <c r="S58" s="121"/>
      <c r="T58" s="121"/>
      <c r="U58" s="121"/>
      <c r="V58" s="121"/>
      <c r="W58" s="121"/>
      <c r="X58" s="121"/>
      <c r="Y58" s="121"/>
      <c r="Z58" s="121"/>
      <c r="AA58" s="121"/>
      <c r="AB58" s="121"/>
    </row>
    <row r="59">
      <c r="A59" s="122" t="s">
        <v>1961</v>
      </c>
      <c r="B59" s="123" t="s">
        <v>1962</v>
      </c>
      <c r="C59" s="123" t="s">
        <v>1889</v>
      </c>
      <c r="D59" s="124" t="s">
        <v>1890</v>
      </c>
      <c r="E59" s="124" t="s">
        <v>1891</v>
      </c>
      <c r="F59" s="125" t="s">
        <v>1927</v>
      </c>
      <c r="G59" s="126" t="s">
        <v>393</v>
      </c>
      <c r="H59" s="127" t="s">
        <v>1892</v>
      </c>
      <c r="I59" s="128" t="s">
        <v>1931</v>
      </c>
      <c r="J59" s="61" t="str">
        <f>IFERROR(IF(G59="Ativo","Ativo",IF(G59="SKU excluído","Vencido",VLOOKUP(A59,Encerramentos!B:G,6,0))),"")</f>
        <v>Ativo</v>
      </c>
      <c r="K59" s="121"/>
      <c r="L59" s="121"/>
      <c r="M59" s="121"/>
      <c r="N59" s="121"/>
      <c r="O59" s="121"/>
      <c r="P59" s="121"/>
      <c r="Q59" s="121"/>
      <c r="R59" s="121"/>
      <c r="S59" s="121"/>
      <c r="T59" s="121"/>
      <c r="U59" s="121"/>
      <c r="V59" s="121"/>
      <c r="W59" s="121"/>
      <c r="X59" s="121"/>
      <c r="Y59" s="121"/>
      <c r="Z59" s="121"/>
      <c r="AA59" s="121"/>
      <c r="AB59" s="121"/>
    </row>
    <row r="60">
      <c r="A60" s="122" t="s">
        <v>1963</v>
      </c>
      <c r="B60" s="123" t="s">
        <v>1964</v>
      </c>
      <c r="C60" s="123" t="s">
        <v>1844</v>
      </c>
      <c r="D60" s="124" t="s">
        <v>1845</v>
      </c>
      <c r="E60" s="124" t="s">
        <v>1846</v>
      </c>
      <c r="F60" s="125" t="s">
        <v>1927</v>
      </c>
      <c r="G60" s="126" t="s">
        <v>393</v>
      </c>
      <c r="H60" s="127" t="s">
        <v>1848</v>
      </c>
      <c r="I60" s="128" t="s">
        <v>1931</v>
      </c>
      <c r="J60" s="61" t="str">
        <f>IFERROR(IF(G60="Ativo","Ativo",IF(G60="SKU excluído","Vencido",VLOOKUP(A60,Encerramentos!B:G,6,0))),"")</f>
        <v>Ativo</v>
      </c>
      <c r="K60" s="121"/>
      <c r="L60" s="121"/>
      <c r="M60" s="121"/>
      <c r="N60" s="121"/>
      <c r="O60" s="121"/>
      <c r="P60" s="121"/>
      <c r="Q60" s="121"/>
      <c r="R60" s="121"/>
      <c r="S60" s="121"/>
      <c r="T60" s="121"/>
      <c r="U60" s="121"/>
      <c r="V60" s="121"/>
      <c r="W60" s="121"/>
      <c r="X60" s="121"/>
      <c r="Y60" s="121"/>
      <c r="Z60" s="121"/>
      <c r="AA60" s="121"/>
      <c r="AB60" s="121"/>
    </row>
    <row r="61">
      <c r="A61" s="122" t="s">
        <v>1965</v>
      </c>
      <c r="B61" s="123" t="s">
        <v>1966</v>
      </c>
      <c r="C61" s="123" t="s">
        <v>1844</v>
      </c>
      <c r="D61" s="124" t="s">
        <v>1845</v>
      </c>
      <c r="E61" s="124" t="s">
        <v>1846</v>
      </c>
      <c r="F61" s="125" t="s">
        <v>1967</v>
      </c>
      <c r="G61" s="126" t="s">
        <v>393</v>
      </c>
      <c r="H61" s="127" t="s">
        <v>1848</v>
      </c>
      <c r="I61" s="128" t="s">
        <v>1968</v>
      </c>
      <c r="J61" s="61" t="str">
        <f>IFERROR(IF(G61="Ativo","Ativo",IF(G61="SKU excluído","Vencido",VLOOKUP(A61,Encerramentos!B:G,6,0))),"")</f>
        <v>Ativo</v>
      </c>
      <c r="K61" s="121"/>
      <c r="L61" s="121"/>
      <c r="M61" s="121"/>
      <c r="N61" s="121"/>
      <c r="O61" s="121"/>
      <c r="P61" s="121"/>
      <c r="Q61" s="121"/>
      <c r="R61" s="121"/>
      <c r="S61" s="121"/>
      <c r="T61" s="121"/>
      <c r="U61" s="121"/>
      <c r="V61" s="121"/>
      <c r="W61" s="121"/>
      <c r="X61" s="121"/>
      <c r="Y61" s="121"/>
      <c r="Z61" s="121"/>
      <c r="AA61" s="121"/>
      <c r="AB61" s="121"/>
    </row>
    <row r="62">
      <c r="A62" s="122" t="s">
        <v>1969</v>
      </c>
      <c r="B62" s="123" t="s">
        <v>1970</v>
      </c>
      <c r="C62" s="123" t="s">
        <v>1844</v>
      </c>
      <c r="D62" s="124" t="s">
        <v>1845</v>
      </c>
      <c r="E62" s="124" t="s">
        <v>1846</v>
      </c>
      <c r="F62" s="125" t="s">
        <v>1967</v>
      </c>
      <c r="G62" s="126" t="s">
        <v>393</v>
      </c>
      <c r="H62" s="127" t="s">
        <v>1848</v>
      </c>
      <c r="I62" s="128" t="s">
        <v>1968</v>
      </c>
      <c r="J62" s="61" t="str">
        <f>IFERROR(IF(G62="Ativo","Ativo",IF(G62="SKU excluído","Vencido",VLOOKUP(A62,Encerramentos!B:G,6,0))),"")</f>
        <v>Ativo</v>
      </c>
      <c r="K62" s="121"/>
      <c r="L62" s="121"/>
      <c r="M62" s="121"/>
      <c r="N62" s="121"/>
      <c r="O62" s="121"/>
      <c r="P62" s="121"/>
      <c r="Q62" s="121"/>
      <c r="R62" s="121"/>
      <c r="S62" s="121"/>
      <c r="T62" s="121"/>
      <c r="U62" s="121"/>
      <c r="V62" s="121"/>
      <c r="W62" s="121"/>
      <c r="X62" s="121"/>
      <c r="Y62" s="121"/>
      <c r="Z62" s="121"/>
      <c r="AA62" s="121"/>
      <c r="AB62" s="121"/>
    </row>
    <row r="63">
      <c r="A63" s="122" t="s">
        <v>1971</v>
      </c>
      <c r="B63" s="123" t="s">
        <v>1972</v>
      </c>
      <c r="C63" s="123" t="s">
        <v>1844</v>
      </c>
      <c r="D63" s="124" t="s">
        <v>1845</v>
      </c>
      <c r="E63" s="124" t="s">
        <v>1846</v>
      </c>
      <c r="F63" s="125" t="s">
        <v>1967</v>
      </c>
      <c r="G63" s="126" t="s">
        <v>393</v>
      </c>
      <c r="H63" s="127" t="s">
        <v>1848</v>
      </c>
      <c r="I63" s="128" t="s">
        <v>1968</v>
      </c>
      <c r="J63" s="61" t="str">
        <f>IFERROR(IF(G63="Ativo","Ativo",IF(G63="SKU excluído","Vencido",VLOOKUP(A63,Encerramentos!B:G,6,0))),"")</f>
        <v>Ativo</v>
      </c>
      <c r="K63" s="121"/>
      <c r="L63" s="121"/>
      <c r="M63" s="121"/>
      <c r="N63" s="121"/>
      <c r="O63" s="121"/>
      <c r="P63" s="121"/>
      <c r="Q63" s="121"/>
      <c r="R63" s="121"/>
      <c r="S63" s="121"/>
      <c r="T63" s="121"/>
      <c r="U63" s="121"/>
      <c r="V63" s="121"/>
      <c r="W63" s="121"/>
      <c r="X63" s="121"/>
      <c r="Y63" s="121"/>
      <c r="Z63" s="121"/>
      <c r="AA63" s="121"/>
      <c r="AB63" s="121"/>
    </row>
    <row r="64">
      <c r="A64" s="122" t="s">
        <v>1973</v>
      </c>
      <c r="B64" s="123" t="s">
        <v>1974</v>
      </c>
      <c r="C64" s="123" t="s">
        <v>1844</v>
      </c>
      <c r="D64" s="124" t="s">
        <v>1845</v>
      </c>
      <c r="E64" s="124" t="s">
        <v>1846</v>
      </c>
      <c r="F64" s="125" t="s">
        <v>1967</v>
      </c>
      <c r="G64" s="126" t="s">
        <v>393</v>
      </c>
      <c r="H64" s="127" t="s">
        <v>1848</v>
      </c>
      <c r="I64" s="128" t="s">
        <v>1975</v>
      </c>
      <c r="J64" s="61" t="str">
        <f>IFERROR(IF(G64="Ativo","Ativo",IF(G64="SKU excluído","Vencido",VLOOKUP(A64,Encerramentos!B:G,6,0))),"")</f>
        <v>Ativo</v>
      </c>
      <c r="K64" s="121"/>
      <c r="L64" s="121"/>
      <c r="M64" s="121"/>
      <c r="N64" s="121"/>
      <c r="O64" s="121"/>
      <c r="P64" s="121"/>
      <c r="Q64" s="121"/>
      <c r="R64" s="121"/>
      <c r="S64" s="121"/>
      <c r="T64" s="121"/>
      <c r="U64" s="121"/>
      <c r="V64" s="121"/>
      <c r="W64" s="121"/>
      <c r="X64" s="121"/>
      <c r="Y64" s="121"/>
      <c r="Z64" s="121"/>
      <c r="AA64" s="121"/>
      <c r="AB64" s="121"/>
    </row>
    <row r="65">
      <c r="A65" s="122" t="s">
        <v>1976</v>
      </c>
      <c r="B65" s="123" t="s">
        <v>1977</v>
      </c>
      <c r="C65" s="123" t="s">
        <v>1844</v>
      </c>
      <c r="D65" s="124" t="s">
        <v>1845</v>
      </c>
      <c r="E65" s="124" t="s">
        <v>1846</v>
      </c>
      <c r="F65" s="125" t="s">
        <v>1967</v>
      </c>
      <c r="G65" s="126" t="s">
        <v>393</v>
      </c>
      <c r="H65" s="127" t="s">
        <v>1848</v>
      </c>
      <c r="I65" s="128" t="s">
        <v>1975</v>
      </c>
      <c r="J65" s="61" t="str">
        <f>IFERROR(IF(G65="Ativo","Ativo",IF(G65="SKU excluído","Vencido",VLOOKUP(A65,Encerramentos!B:G,6,0))),"")</f>
        <v>Ativo</v>
      </c>
      <c r="K65" s="121"/>
      <c r="L65" s="121"/>
      <c r="M65" s="121"/>
      <c r="N65" s="121"/>
      <c r="O65" s="121"/>
      <c r="P65" s="121"/>
      <c r="Q65" s="121"/>
      <c r="R65" s="121"/>
      <c r="S65" s="121"/>
      <c r="T65" s="121"/>
      <c r="U65" s="121"/>
      <c r="V65" s="121"/>
      <c r="W65" s="121"/>
      <c r="X65" s="121"/>
      <c r="Y65" s="121"/>
      <c r="Z65" s="121"/>
      <c r="AA65" s="121"/>
      <c r="AB65" s="121"/>
    </row>
    <row r="66">
      <c r="A66" s="122" t="s">
        <v>1978</v>
      </c>
      <c r="B66" s="123" t="s">
        <v>1979</v>
      </c>
      <c r="C66" s="123" t="s">
        <v>1844</v>
      </c>
      <c r="D66" s="124" t="s">
        <v>1845</v>
      </c>
      <c r="E66" s="124" t="s">
        <v>1846</v>
      </c>
      <c r="F66" s="125" t="s">
        <v>1967</v>
      </c>
      <c r="G66" s="126" t="s">
        <v>393</v>
      </c>
      <c r="H66" s="127" t="s">
        <v>1848</v>
      </c>
      <c r="I66" s="128" t="s">
        <v>1975</v>
      </c>
      <c r="J66" s="61" t="str">
        <f>IFERROR(IF(G66="Ativo","Ativo",IF(G66="SKU excluído","Vencido",VLOOKUP(A66,Encerramentos!B:G,6,0))),"")</f>
        <v>Ativo</v>
      </c>
      <c r="K66" s="121"/>
      <c r="L66" s="121"/>
      <c r="M66" s="121"/>
      <c r="N66" s="121"/>
      <c r="O66" s="121"/>
      <c r="P66" s="121"/>
      <c r="Q66" s="121"/>
      <c r="R66" s="121"/>
      <c r="S66" s="121"/>
      <c r="T66" s="121"/>
      <c r="U66" s="121"/>
      <c r="V66" s="121"/>
      <c r="W66" s="121"/>
      <c r="X66" s="121"/>
      <c r="Y66" s="121"/>
      <c r="Z66" s="121"/>
      <c r="AA66" s="121"/>
      <c r="AB66" s="121"/>
    </row>
    <row r="67">
      <c r="A67" s="122" t="s">
        <v>1980</v>
      </c>
      <c r="B67" s="123" t="s">
        <v>1981</v>
      </c>
      <c r="C67" s="123" t="s">
        <v>1844</v>
      </c>
      <c r="D67" s="124" t="s">
        <v>1845</v>
      </c>
      <c r="E67" s="124" t="s">
        <v>1846</v>
      </c>
      <c r="F67" s="125" t="s">
        <v>1967</v>
      </c>
      <c r="G67" s="126" t="s">
        <v>393</v>
      </c>
      <c r="H67" s="127" t="s">
        <v>1848</v>
      </c>
      <c r="I67" s="128" t="s">
        <v>1975</v>
      </c>
      <c r="J67" s="61" t="str">
        <f>IFERROR(IF(G67="Ativo","Ativo",IF(G67="SKU excluído","Vencido",VLOOKUP(A67,Encerramentos!B:G,6,0))),"")</f>
        <v>Ativo</v>
      </c>
      <c r="K67" s="121"/>
      <c r="L67" s="121"/>
      <c r="M67" s="121"/>
      <c r="N67" s="121"/>
      <c r="O67" s="121"/>
      <c r="P67" s="121"/>
      <c r="Q67" s="121"/>
      <c r="R67" s="121"/>
      <c r="S67" s="121"/>
      <c r="T67" s="121"/>
      <c r="U67" s="121"/>
      <c r="V67" s="121"/>
      <c r="W67" s="121"/>
      <c r="X67" s="121"/>
      <c r="Y67" s="121"/>
      <c r="Z67" s="121"/>
      <c r="AA67" s="121"/>
      <c r="AB67" s="121"/>
    </row>
    <row r="68">
      <c r="A68" s="122" t="s">
        <v>1982</v>
      </c>
      <c r="B68" s="123" t="s">
        <v>1983</v>
      </c>
      <c r="C68" s="123" t="s">
        <v>1844</v>
      </c>
      <c r="D68" s="124" t="s">
        <v>1845</v>
      </c>
      <c r="E68" s="124" t="s">
        <v>1846</v>
      </c>
      <c r="F68" s="125" t="s">
        <v>1967</v>
      </c>
      <c r="G68" s="126" t="s">
        <v>393</v>
      </c>
      <c r="H68" s="127" t="s">
        <v>1848</v>
      </c>
      <c r="I68" s="128" t="s">
        <v>1968</v>
      </c>
      <c r="J68" s="61" t="str">
        <f>IFERROR(IF(G68="Ativo","Ativo",IF(G68="SKU excluído","Vencido",VLOOKUP(A68,Encerramentos!B:G,6,0))),"")</f>
        <v>Ativo</v>
      </c>
      <c r="K68" s="121"/>
      <c r="L68" s="121"/>
      <c r="M68" s="121"/>
      <c r="N68" s="121"/>
      <c r="O68" s="121"/>
      <c r="P68" s="121"/>
      <c r="Q68" s="121"/>
      <c r="R68" s="121"/>
      <c r="S68" s="121"/>
      <c r="T68" s="121"/>
      <c r="U68" s="121"/>
      <c r="V68" s="121"/>
      <c r="W68" s="121"/>
      <c r="X68" s="121"/>
      <c r="Y68" s="121"/>
      <c r="Z68" s="121"/>
      <c r="AA68" s="121"/>
      <c r="AB68" s="121"/>
    </row>
    <row r="69">
      <c r="A69" s="122" t="s">
        <v>1984</v>
      </c>
      <c r="B69" s="123" t="s">
        <v>1920</v>
      </c>
      <c r="C69" s="123" t="s">
        <v>1844</v>
      </c>
      <c r="D69" s="124" t="s">
        <v>1845</v>
      </c>
      <c r="E69" s="124" t="s">
        <v>1846</v>
      </c>
      <c r="F69" s="125" t="s">
        <v>1967</v>
      </c>
      <c r="G69" s="126" t="s">
        <v>393</v>
      </c>
      <c r="H69" s="127" t="s">
        <v>1848</v>
      </c>
      <c r="I69" s="128" t="s">
        <v>1975</v>
      </c>
      <c r="J69" s="61" t="str">
        <f>IFERROR(IF(G69="Ativo","Ativo",IF(G69="SKU excluído","Vencido",VLOOKUP(A69,Encerramentos!B:G,6,0))),"")</f>
        <v>Ativo</v>
      </c>
      <c r="K69" s="121"/>
      <c r="L69" s="121"/>
      <c r="M69" s="121"/>
      <c r="N69" s="121"/>
      <c r="O69" s="121"/>
      <c r="P69" s="121"/>
      <c r="Q69" s="121"/>
      <c r="R69" s="121"/>
      <c r="S69" s="121"/>
      <c r="T69" s="121"/>
      <c r="U69" s="121"/>
      <c r="V69" s="121"/>
      <c r="W69" s="121"/>
      <c r="X69" s="121"/>
      <c r="Y69" s="121"/>
      <c r="Z69" s="121"/>
      <c r="AA69" s="121"/>
      <c r="AB69" s="121"/>
    </row>
    <row r="70">
      <c r="A70" s="122" t="s">
        <v>1985</v>
      </c>
      <c r="B70" s="123" t="s">
        <v>1986</v>
      </c>
      <c r="C70" s="123" t="s">
        <v>1844</v>
      </c>
      <c r="D70" s="124" t="s">
        <v>1845</v>
      </c>
      <c r="E70" s="124" t="s">
        <v>1846</v>
      </c>
      <c r="F70" s="125" t="s">
        <v>1967</v>
      </c>
      <c r="G70" s="126" t="s">
        <v>393</v>
      </c>
      <c r="H70" s="127" t="s">
        <v>1848</v>
      </c>
      <c r="I70" s="128" t="s">
        <v>1975</v>
      </c>
      <c r="J70" s="61" t="str">
        <f>IFERROR(IF(G70="Ativo","Ativo",IF(G70="SKU excluído","Vencido",VLOOKUP(A70,Encerramentos!B:G,6,0))),"")</f>
        <v>Ativo</v>
      </c>
      <c r="K70" s="121"/>
      <c r="L70" s="121"/>
      <c r="M70" s="121"/>
      <c r="N70" s="121"/>
      <c r="O70" s="121"/>
      <c r="P70" s="121"/>
      <c r="Q70" s="121"/>
      <c r="R70" s="121"/>
      <c r="S70" s="121"/>
      <c r="T70" s="121"/>
      <c r="U70" s="121"/>
      <c r="V70" s="121"/>
      <c r="W70" s="121"/>
      <c r="X70" s="121"/>
      <c r="Y70" s="121"/>
      <c r="Z70" s="121"/>
      <c r="AA70" s="121"/>
      <c r="AB70" s="121"/>
    </row>
    <row r="71">
      <c r="A71" s="122" t="s">
        <v>1987</v>
      </c>
      <c r="B71" s="123" t="s">
        <v>1988</v>
      </c>
      <c r="C71" s="123" t="s">
        <v>1844</v>
      </c>
      <c r="D71" s="124" t="s">
        <v>1845</v>
      </c>
      <c r="E71" s="124" t="s">
        <v>1846</v>
      </c>
      <c r="F71" s="125" t="s">
        <v>1967</v>
      </c>
      <c r="G71" s="126" t="s">
        <v>393</v>
      </c>
      <c r="H71" s="127" t="s">
        <v>1848</v>
      </c>
      <c r="I71" s="128" t="s">
        <v>1968</v>
      </c>
      <c r="J71" s="61" t="str">
        <f>IFERROR(IF(G71="Ativo","Ativo",IF(G71="SKU excluído","Vencido",VLOOKUP(A71,Encerramentos!B:G,6,0))),"")</f>
        <v>Ativo</v>
      </c>
      <c r="K71" s="121"/>
      <c r="L71" s="121"/>
      <c r="M71" s="121"/>
      <c r="N71" s="121"/>
      <c r="O71" s="121"/>
      <c r="P71" s="121"/>
      <c r="Q71" s="121"/>
      <c r="R71" s="121"/>
      <c r="S71" s="121"/>
      <c r="T71" s="121"/>
      <c r="U71" s="121"/>
      <c r="V71" s="121"/>
      <c r="W71" s="121"/>
      <c r="X71" s="121"/>
      <c r="Y71" s="121"/>
      <c r="Z71" s="121"/>
      <c r="AA71" s="121"/>
      <c r="AB71" s="121"/>
    </row>
    <row r="72">
      <c r="A72" s="122" t="s">
        <v>1989</v>
      </c>
      <c r="B72" s="123" t="s">
        <v>1990</v>
      </c>
      <c r="C72" s="123" t="s">
        <v>1844</v>
      </c>
      <c r="D72" s="124" t="s">
        <v>1845</v>
      </c>
      <c r="E72" s="124" t="s">
        <v>1846</v>
      </c>
      <c r="F72" s="125" t="s">
        <v>1967</v>
      </c>
      <c r="G72" s="126" t="s">
        <v>393</v>
      </c>
      <c r="H72" s="127" t="s">
        <v>1848</v>
      </c>
      <c r="I72" s="128" t="s">
        <v>1968</v>
      </c>
      <c r="J72" s="61" t="str">
        <f>IFERROR(IF(G72="Ativo","Ativo",IF(G72="SKU excluído","Vencido",VLOOKUP(A72,Encerramentos!B:G,6,0))),"")</f>
        <v>Ativo</v>
      </c>
      <c r="K72" s="121"/>
      <c r="L72" s="121"/>
      <c r="M72" s="121"/>
      <c r="N72" s="121"/>
      <c r="O72" s="121"/>
      <c r="P72" s="121"/>
      <c r="Q72" s="121"/>
      <c r="R72" s="121"/>
      <c r="S72" s="121"/>
      <c r="T72" s="121"/>
      <c r="U72" s="121"/>
      <c r="V72" s="121"/>
      <c r="W72" s="121"/>
      <c r="X72" s="121"/>
      <c r="Y72" s="121"/>
      <c r="Z72" s="121"/>
      <c r="AA72" s="121"/>
      <c r="AB72" s="121"/>
    </row>
    <row r="73">
      <c r="A73" s="122" t="s">
        <v>1991</v>
      </c>
      <c r="B73" s="123" t="s">
        <v>1992</v>
      </c>
      <c r="C73" s="123" t="s">
        <v>1844</v>
      </c>
      <c r="D73" s="124" t="s">
        <v>1845</v>
      </c>
      <c r="E73" s="124" t="s">
        <v>1846</v>
      </c>
      <c r="F73" s="125" t="s">
        <v>1967</v>
      </c>
      <c r="G73" s="126" t="s">
        <v>393</v>
      </c>
      <c r="H73" s="127" t="s">
        <v>1848</v>
      </c>
      <c r="I73" s="128" t="s">
        <v>1975</v>
      </c>
      <c r="J73" s="61" t="str">
        <f>IFERROR(IF(G73="Ativo","Ativo",IF(G73="SKU excluído","Vencido",VLOOKUP(A73,Encerramentos!B:G,6,0))),"")</f>
        <v>Ativo</v>
      </c>
      <c r="K73" s="121"/>
      <c r="L73" s="121"/>
      <c r="M73" s="121"/>
      <c r="N73" s="121"/>
      <c r="O73" s="121"/>
      <c r="P73" s="121"/>
      <c r="Q73" s="121"/>
      <c r="R73" s="121"/>
      <c r="S73" s="121"/>
      <c r="T73" s="121"/>
      <c r="U73" s="121"/>
      <c r="V73" s="121"/>
      <c r="W73" s="121"/>
      <c r="X73" s="121"/>
      <c r="Y73" s="121"/>
      <c r="Z73" s="121"/>
      <c r="AA73" s="121"/>
      <c r="AB73" s="121"/>
    </row>
    <row r="74">
      <c r="A74" s="122" t="s">
        <v>1993</v>
      </c>
      <c r="B74" s="123" t="s">
        <v>1994</v>
      </c>
      <c r="C74" s="123" t="s">
        <v>1844</v>
      </c>
      <c r="D74" s="124" t="s">
        <v>1845</v>
      </c>
      <c r="E74" s="124" t="s">
        <v>1846</v>
      </c>
      <c r="F74" s="125" t="s">
        <v>1967</v>
      </c>
      <c r="G74" s="126" t="s">
        <v>393</v>
      </c>
      <c r="H74" s="127" t="s">
        <v>1848</v>
      </c>
      <c r="I74" s="128" t="s">
        <v>1968</v>
      </c>
      <c r="J74" s="61" t="str">
        <f>IFERROR(IF(G74="Ativo","Ativo",IF(G74="SKU excluído","Vencido",VLOOKUP(A74,Encerramentos!B:G,6,0))),"")</f>
        <v>Ativo</v>
      </c>
      <c r="K74" s="121"/>
      <c r="L74" s="121"/>
      <c r="M74" s="121"/>
      <c r="N74" s="121"/>
      <c r="O74" s="121"/>
      <c r="P74" s="121"/>
      <c r="Q74" s="121"/>
      <c r="R74" s="121"/>
      <c r="S74" s="121"/>
      <c r="T74" s="121"/>
      <c r="U74" s="121"/>
      <c r="V74" s="121"/>
      <c r="W74" s="121"/>
      <c r="X74" s="121"/>
      <c r="Y74" s="121"/>
      <c r="Z74" s="121"/>
      <c r="AA74" s="121"/>
      <c r="AB74" s="121"/>
    </row>
    <row r="75">
      <c r="A75" s="122" t="s">
        <v>1995</v>
      </c>
      <c r="B75" s="123" t="s">
        <v>1996</v>
      </c>
      <c r="C75" s="123" t="s">
        <v>1844</v>
      </c>
      <c r="D75" s="124" t="s">
        <v>1845</v>
      </c>
      <c r="E75" s="124" t="s">
        <v>1846</v>
      </c>
      <c r="F75" s="125" t="s">
        <v>1967</v>
      </c>
      <c r="G75" s="126" t="s">
        <v>393</v>
      </c>
      <c r="H75" s="127" t="s">
        <v>1848</v>
      </c>
      <c r="I75" s="128" t="s">
        <v>1975</v>
      </c>
      <c r="J75" s="61" t="str">
        <f>IFERROR(IF(G75="Ativo","Ativo",IF(G75="SKU excluído","Vencido",VLOOKUP(A75,Encerramentos!B:G,6,0))),"")</f>
        <v>Ativo</v>
      </c>
      <c r="K75" s="121"/>
      <c r="L75" s="121"/>
      <c r="M75" s="121"/>
      <c r="N75" s="121"/>
      <c r="O75" s="121"/>
      <c r="P75" s="121"/>
      <c r="Q75" s="121"/>
      <c r="R75" s="121"/>
      <c r="S75" s="121"/>
      <c r="T75" s="121"/>
      <c r="U75" s="121"/>
      <c r="V75" s="121"/>
      <c r="W75" s="121"/>
      <c r="X75" s="121"/>
      <c r="Y75" s="121"/>
      <c r="Z75" s="121"/>
      <c r="AA75" s="121"/>
      <c r="AB75" s="121"/>
    </row>
    <row r="76">
      <c r="A76" s="122" t="s">
        <v>1997</v>
      </c>
      <c r="B76" s="123" t="s">
        <v>1998</v>
      </c>
      <c r="C76" s="123" t="s">
        <v>1844</v>
      </c>
      <c r="D76" s="124" t="s">
        <v>1845</v>
      </c>
      <c r="E76" s="124" t="s">
        <v>1846</v>
      </c>
      <c r="F76" s="125" t="s">
        <v>1967</v>
      </c>
      <c r="G76" s="126" t="s">
        <v>393</v>
      </c>
      <c r="H76" s="127" t="s">
        <v>1848</v>
      </c>
      <c r="I76" s="128" t="s">
        <v>1975</v>
      </c>
      <c r="J76" s="61" t="str">
        <f>IFERROR(IF(G76="Ativo","Ativo",IF(G76="SKU excluído","Vencido",VLOOKUP(A76,Encerramentos!B:G,6,0))),"")</f>
        <v>Ativo</v>
      </c>
      <c r="K76" s="121"/>
      <c r="L76" s="121"/>
      <c r="M76" s="121"/>
      <c r="N76" s="121"/>
      <c r="O76" s="121"/>
      <c r="P76" s="121"/>
      <c r="Q76" s="121"/>
      <c r="R76" s="121"/>
      <c r="S76" s="121"/>
      <c r="T76" s="121"/>
      <c r="U76" s="121"/>
      <c r="V76" s="121"/>
      <c r="W76" s="121"/>
      <c r="X76" s="121"/>
      <c r="Y76" s="121"/>
      <c r="Z76" s="121"/>
      <c r="AA76" s="121"/>
      <c r="AB76" s="121"/>
    </row>
    <row r="77">
      <c r="A77" s="122" t="s">
        <v>1999</v>
      </c>
      <c r="B77" s="123" t="s">
        <v>1916</v>
      </c>
      <c r="C77" s="123" t="s">
        <v>1844</v>
      </c>
      <c r="D77" s="124" t="s">
        <v>1845</v>
      </c>
      <c r="E77" s="124" t="s">
        <v>1846</v>
      </c>
      <c r="F77" s="125" t="s">
        <v>1967</v>
      </c>
      <c r="G77" s="126" t="s">
        <v>393</v>
      </c>
      <c r="H77" s="127" t="s">
        <v>1848</v>
      </c>
      <c r="I77" s="128" t="s">
        <v>1975</v>
      </c>
      <c r="J77" s="61" t="str">
        <f>IFERROR(IF(G77="Ativo","Ativo",IF(G77="SKU excluído","Vencido",VLOOKUP(A77,Encerramentos!B:G,6,0))),"")</f>
        <v>Ativo</v>
      </c>
      <c r="K77" s="121"/>
      <c r="L77" s="121"/>
      <c r="M77" s="121"/>
      <c r="N77" s="121"/>
      <c r="O77" s="121"/>
      <c r="P77" s="121"/>
      <c r="Q77" s="121"/>
      <c r="R77" s="121"/>
      <c r="S77" s="121"/>
      <c r="T77" s="121"/>
      <c r="U77" s="121"/>
      <c r="V77" s="121"/>
      <c r="W77" s="121"/>
      <c r="X77" s="121"/>
      <c r="Y77" s="121"/>
      <c r="Z77" s="121"/>
      <c r="AA77" s="121"/>
      <c r="AB77" s="121"/>
    </row>
    <row r="78">
      <c r="A78" s="122" t="s">
        <v>2000</v>
      </c>
      <c r="B78" s="123" t="s">
        <v>2001</v>
      </c>
      <c r="C78" s="123" t="s">
        <v>1844</v>
      </c>
      <c r="D78" s="124" t="s">
        <v>1845</v>
      </c>
      <c r="E78" s="124" t="s">
        <v>1846</v>
      </c>
      <c r="F78" s="125" t="s">
        <v>1967</v>
      </c>
      <c r="G78" s="126" t="s">
        <v>393</v>
      </c>
      <c r="H78" s="127" t="s">
        <v>1848</v>
      </c>
      <c r="I78" s="128" t="s">
        <v>1975</v>
      </c>
      <c r="J78" s="61" t="str">
        <f>IFERROR(IF(G78="Ativo","Ativo",IF(G78="SKU excluído","Vencido",VLOOKUP(A78,Encerramentos!B:G,6,0))),"")</f>
        <v>Ativo</v>
      </c>
      <c r="K78" s="121"/>
      <c r="L78" s="121"/>
      <c r="M78" s="121"/>
      <c r="N78" s="121"/>
      <c r="O78" s="121"/>
      <c r="P78" s="121"/>
      <c r="Q78" s="121"/>
      <c r="R78" s="121"/>
      <c r="S78" s="121"/>
      <c r="T78" s="121"/>
      <c r="U78" s="121"/>
      <c r="V78" s="121"/>
      <c r="W78" s="121"/>
      <c r="X78" s="121"/>
      <c r="Y78" s="121"/>
      <c r="Z78" s="121"/>
      <c r="AA78" s="121"/>
      <c r="AB78" s="121"/>
    </row>
    <row r="79">
      <c r="A79" s="122" t="s">
        <v>2002</v>
      </c>
      <c r="B79" s="123" t="s">
        <v>2003</v>
      </c>
      <c r="C79" s="123" t="s">
        <v>1844</v>
      </c>
      <c r="D79" s="124" t="s">
        <v>1845</v>
      </c>
      <c r="E79" s="124" t="s">
        <v>1846</v>
      </c>
      <c r="F79" s="125" t="s">
        <v>1967</v>
      </c>
      <c r="G79" s="126" t="s">
        <v>393</v>
      </c>
      <c r="H79" s="127" t="s">
        <v>1848</v>
      </c>
      <c r="I79" s="128" t="s">
        <v>1968</v>
      </c>
      <c r="J79" s="61" t="str">
        <f>IFERROR(IF(G79="Ativo","Ativo",IF(G79="SKU excluído","Vencido",VLOOKUP(A79,Encerramentos!B:G,6,0))),"")</f>
        <v>Ativo</v>
      </c>
      <c r="K79" s="121"/>
      <c r="L79" s="121"/>
      <c r="M79" s="121"/>
      <c r="N79" s="121"/>
      <c r="O79" s="121"/>
      <c r="P79" s="121"/>
      <c r="Q79" s="121"/>
      <c r="R79" s="121"/>
      <c r="S79" s="121"/>
      <c r="T79" s="121"/>
      <c r="U79" s="121"/>
      <c r="V79" s="121"/>
      <c r="W79" s="121"/>
      <c r="X79" s="121"/>
      <c r="Y79" s="121"/>
      <c r="Z79" s="121"/>
      <c r="AA79" s="121"/>
      <c r="AB79" s="121"/>
    </row>
    <row r="80">
      <c r="A80" s="122" t="s">
        <v>2004</v>
      </c>
      <c r="B80" s="123" t="s">
        <v>2005</v>
      </c>
      <c r="C80" s="123" t="s">
        <v>1844</v>
      </c>
      <c r="D80" s="124" t="s">
        <v>1845</v>
      </c>
      <c r="E80" s="124" t="s">
        <v>1846</v>
      </c>
      <c r="F80" s="125" t="s">
        <v>1967</v>
      </c>
      <c r="G80" s="126" t="s">
        <v>393</v>
      </c>
      <c r="H80" s="127" t="s">
        <v>1848</v>
      </c>
      <c r="I80" s="128" t="s">
        <v>1975</v>
      </c>
      <c r="J80" s="61" t="str">
        <f>IFERROR(IF(G80="Ativo","Ativo",IF(G80="SKU excluído","Vencido",VLOOKUP(A80,Encerramentos!B:G,6,0))),"")</f>
        <v>Ativo</v>
      </c>
      <c r="K80" s="121"/>
      <c r="L80" s="121"/>
      <c r="M80" s="121"/>
      <c r="N80" s="121"/>
      <c r="O80" s="121"/>
      <c r="P80" s="121"/>
      <c r="Q80" s="121"/>
      <c r="R80" s="121"/>
      <c r="S80" s="121"/>
      <c r="T80" s="121"/>
      <c r="U80" s="121"/>
      <c r="V80" s="121"/>
      <c r="W80" s="121"/>
      <c r="X80" s="121"/>
      <c r="Y80" s="121"/>
      <c r="Z80" s="121"/>
      <c r="AA80" s="121"/>
      <c r="AB80" s="121"/>
    </row>
    <row r="81">
      <c r="A81" s="122" t="s">
        <v>2006</v>
      </c>
      <c r="B81" s="123" t="s">
        <v>2007</v>
      </c>
      <c r="C81" s="123" t="s">
        <v>1844</v>
      </c>
      <c r="D81" s="124" t="s">
        <v>1845</v>
      </c>
      <c r="E81" s="124" t="s">
        <v>1846</v>
      </c>
      <c r="F81" s="125" t="s">
        <v>1967</v>
      </c>
      <c r="G81" s="126" t="s">
        <v>393</v>
      </c>
      <c r="H81" s="127" t="s">
        <v>1848</v>
      </c>
      <c r="I81" s="128" t="s">
        <v>1975</v>
      </c>
      <c r="J81" s="61" t="str">
        <f>IFERROR(IF(G81="Ativo","Ativo",IF(G81="SKU excluído","Vencido",VLOOKUP(A81,Encerramentos!B:G,6,0))),"")</f>
        <v>Ativo</v>
      </c>
      <c r="K81" s="121"/>
      <c r="L81" s="121"/>
      <c r="M81" s="121"/>
      <c r="N81" s="121"/>
      <c r="O81" s="121"/>
      <c r="P81" s="121"/>
      <c r="Q81" s="121"/>
      <c r="R81" s="121"/>
      <c r="S81" s="121"/>
      <c r="T81" s="121"/>
      <c r="U81" s="121"/>
      <c r="V81" s="121"/>
      <c r="W81" s="121"/>
      <c r="X81" s="121"/>
      <c r="Y81" s="121"/>
      <c r="Z81" s="121"/>
      <c r="AA81" s="121"/>
      <c r="AB81" s="121"/>
    </row>
    <row r="82">
      <c r="A82" s="122" t="s">
        <v>2008</v>
      </c>
      <c r="B82" s="123" t="s">
        <v>2009</v>
      </c>
      <c r="C82" s="123" t="s">
        <v>1844</v>
      </c>
      <c r="D82" s="124" t="s">
        <v>1845</v>
      </c>
      <c r="E82" s="124" t="s">
        <v>1846</v>
      </c>
      <c r="F82" s="125" t="s">
        <v>1967</v>
      </c>
      <c r="G82" s="126" t="s">
        <v>393</v>
      </c>
      <c r="H82" s="127" t="s">
        <v>1848</v>
      </c>
      <c r="I82" s="128" t="s">
        <v>1968</v>
      </c>
      <c r="J82" s="61" t="str">
        <f>IFERROR(IF(G82="Ativo","Ativo",IF(G82="SKU excluído","Vencido",VLOOKUP(A82,Encerramentos!B:G,6,0))),"")</f>
        <v>Ativo</v>
      </c>
      <c r="K82" s="121"/>
      <c r="L82" s="121"/>
      <c r="M82" s="121"/>
      <c r="N82" s="121"/>
      <c r="O82" s="121"/>
      <c r="P82" s="121"/>
      <c r="Q82" s="121"/>
      <c r="R82" s="121"/>
      <c r="S82" s="121"/>
      <c r="T82" s="121"/>
      <c r="U82" s="121"/>
      <c r="V82" s="121"/>
      <c r="W82" s="121"/>
      <c r="X82" s="121"/>
      <c r="Y82" s="121"/>
      <c r="Z82" s="121"/>
      <c r="AA82" s="121"/>
      <c r="AB82" s="121"/>
    </row>
    <row r="83">
      <c r="A83" s="122" t="s">
        <v>2010</v>
      </c>
      <c r="B83" s="123" t="s">
        <v>2011</v>
      </c>
      <c r="C83" s="123" t="s">
        <v>1844</v>
      </c>
      <c r="D83" s="124" t="s">
        <v>1845</v>
      </c>
      <c r="E83" s="124" t="s">
        <v>1846</v>
      </c>
      <c r="F83" s="125" t="s">
        <v>1967</v>
      </c>
      <c r="G83" s="126" t="s">
        <v>393</v>
      </c>
      <c r="H83" s="127" t="s">
        <v>1848</v>
      </c>
      <c r="I83" s="128" t="s">
        <v>1975</v>
      </c>
      <c r="J83" s="61" t="str">
        <f>IFERROR(IF(G83="Ativo","Ativo",IF(G83="SKU excluído","Vencido",VLOOKUP(A83,Encerramentos!B:G,6,0))),"")</f>
        <v>Ativo</v>
      </c>
      <c r="K83" s="121"/>
      <c r="L83" s="121"/>
      <c r="M83" s="121"/>
      <c r="N83" s="121"/>
      <c r="O83" s="121"/>
      <c r="P83" s="121"/>
      <c r="Q83" s="121"/>
      <c r="R83" s="121"/>
      <c r="S83" s="121"/>
      <c r="T83" s="121"/>
      <c r="U83" s="121"/>
      <c r="V83" s="121"/>
      <c r="W83" s="121"/>
      <c r="X83" s="121"/>
      <c r="Y83" s="121"/>
      <c r="Z83" s="121"/>
      <c r="AA83" s="121"/>
      <c r="AB83" s="121"/>
    </row>
    <row r="84">
      <c r="A84" s="122" t="s">
        <v>2012</v>
      </c>
      <c r="B84" s="123" t="s">
        <v>2013</v>
      </c>
      <c r="C84" s="123" t="s">
        <v>1889</v>
      </c>
      <c r="D84" s="124" t="s">
        <v>1890</v>
      </c>
      <c r="E84" s="124" t="s">
        <v>1891</v>
      </c>
      <c r="F84" s="125" t="s">
        <v>1967</v>
      </c>
      <c r="G84" s="126" t="s">
        <v>393</v>
      </c>
      <c r="H84" s="127" t="s">
        <v>1892</v>
      </c>
      <c r="I84" s="128" t="s">
        <v>1968</v>
      </c>
      <c r="J84" s="61" t="str">
        <f>IFERROR(IF(G84="Ativo","Ativo",IF(G84="SKU excluído","Vencido",VLOOKUP(A84,Encerramentos!B:G,6,0))),"")</f>
        <v>Ativo</v>
      </c>
      <c r="K84" s="121"/>
      <c r="L84" s="121"/>
      <c r="M84" s="121"/>
      <c r="N84" s="121"/>
      <c r="O84" s="121"/>
      <c r="P84" s="121"/>
      <c r="Q84" s="121"/>
      <c r="R84" s="121"/>
      <c r="S84" s="121"/>
      <c r="T84" s="121"/>
      <c r="U84" s="121"/>
      <c r="V84" s="121"/>
      <c r="W84" s="121"/>
      <c r="X84" s="121"/>
      <c r="Y84" s="121"/>
      <c r="Z84" s="121"/>
      <c r="AA84" s="121"/>
      <c r="AB84" s="121"/>
    </row>
    <row r="85">
      <c r="A85" s="122" t="s">
        <v>2014</v>
      </c>
      <c r="B85" s="123" t="s">
        <v>2015</v>
      </c>
      <c r="C85" s="123" t="s">
        <v>1889</v>
      </c>
      <c r="D85" s="124" t="s">
        <v>1890</v>
      </c>
      <c r="E85" s="124" t="s">
        <v>1891</v>
      </c>
      <c r="F85" s="125" t="s">
        <v>1967</v>
      </c>
      <c r="G85" s="126" t="s">
        <v>393</v>
      </c>
      <c r="H85" s="127" t="s">
        <v>1892</v>
      </c>
      <c r="I85" s="128" t="s">
        <v>1968</v>
      </c>
      <c r="J85" s="61" t="str">
        <f>IFERROR(IF(G85="Ativo","Ativo",IF(G85="SKU excluído","Vencido",VLOOKUP(A85,Encerramentos!B:G,6,0))),"")</f>
        <v>Ativo</v>
      </c>
      <c r="K85" s="121"/>
      <c r="L85" s="121"/>
      <c r="M85" s="121"/>
      <c r="N85" s="121"/>
      <c r="O85" s="121"/>
      <c r="P85" s="121"/>
      <c r="Q85" s="121"/>
      <c r="R85" s="121"/>
      <c r="S85" s="121"/>
      <c r="T85" s="121"/>
      <c r="U85" s="121"/>
      <c r="V85" s="121"/>
      <c r="W85" s="121"/>
      <c r="X85" s="121"/>
      <c r="Y85" s="121"/>
      <c r="Z85" s="121"/>
      <c r="AA85" s="121"/>
      <c r="AB85" s="121"/>
    </row>
    <row r="86">
      <c r="A86" s="122" t="s">
        <v>2016</v>
      </c>
      <c r="B86" s="123" t="s">
        <v>2017</v>
      </c>
      <c r="C86" s="123" t="s">
        <v>1889</v>
      </c>
      <c r="D86" s="124" t="s">
        <v>1890</v>
      </c>
      <c r="E86" s="124" t="s">
        <v>1891</v>
      </c>
      <c r="F86" s="125" t="s">
        <v>1967</v>
      </c>
      <c r="G86" s="126" t="s">
        <v>393</v>
      </c>
      <c r="H86" s="127" t="s">
        <v>1892</v>
      </c>
      <c r="I86" s="128" t="s">
        <v>1968</v>
      </c>
      <c r="J86" s="61" t="str">
        <f>IFERROR(IF(G86="Ativo","Ativo",IF(G86="SKU excluído","Vencido",VLOOKUP(A86,Encerramentos!B:G,6,0))),"")</f>
        <v>Ativo</v>
      </c>
      <c r="K86" s="121"/>
      <c r="L86" s="121"/>
      <c r="M86" s="121"/>
      <c r="N86" s="121"/>
      <c r="O86" s="121"/>
      <c r="P86" s="121"/>
      <c r="Q86" s="121"/>
      <c r="R86" s="121"/>
      <c r="S86" s="121"/>
      <c r="T86" s="121"/>
      <c r="U86" s="121"/>
      <c r="V86" s="121"/>
      <c r="W86" s="121"/>
      <c r="X86" s="121"/>
      <c r="Y86" s="121"/>
      <c r="Z86" s="121"/>
      <c r="AA86" s="121"/>
      <c r="AB86" s="121"/>
    </row>
    <row r="87">
      <c r="A87" s="122" t="s">
        <v>2018</v>
      </c>
      <c r="B87" s="123" t="s">
        <v>2019</v>
      </c>
      <c r="C87" s="123" t="s">
        <v>1889</v>
      </c>
      <c r="D87" s="124" t="s">
        <v>1890</v>
      </c>
      <c r="E87" s="124" t="s">
        <v>1891</v>
      </c>
      <c r="F87" s="125" t="s">
        <v>1967</v>
      </c>
      <c r="G87" s="126" t="s">
        <v>393</v>
      </c>
      <c r="H87" s="127" t="s">
        <v>1892</v>
      </c>
      <c r="I87" s="128" t="s">
        <v>1975</v>
      </c>
      <c r="J87" s="61" t="str">
        <f>IFERROR(IF(G87="Ativo","Ativo",IF(G87="SKU excluído","Vencido",VLOOKUP(A87,Encerramentos!B:G,6,0))),"")</f>
        <v>Ativo</v>
      </c>
      <c r="K87" s="121"/>
      <c r="L87" s="121"/>
      <c r="M87" s="121"/>
      <c r="N87" s="121"/>
      <c r="O87" s="121"/>
      <c r="P87" s="121"/>
      <c r="Q87" s="121"/>
      <c r="R87" s="121"/>
      <c r="S87" s="121"/>
      <c r="T87" s="121"/>
      <c r="U87" s="121"/>
      <c r="V87" s="121"/>
      <c r="W87" s="121"/>
      <c r="X87" s="121"/>
      <c r="Y87" s="121"/>
      <c r="Z87" s="121"/>
      <c r="AA87" s="121"/>
      <c r="AB87" s="121"/>
    </row>
    <row r="88">
      <c r="A88" s="122" t="s">
        <v>2020</v>
      </c>
      <c r="B88" s="123" t="s">
        <v>2021</v>
      </c>
      <c r="C88" s="123" t="s">
        <v>1889</v>
      </c>
      <c r="D88" s="124" t="s">
        <v>1890</v>
      </c>
      <c r="E88" s="124" t="s">
        <v>1891</v>
      </c>
      <c r="F88" s="125" t="s">
        <v>1967</v>
      </c>
      <c r="G88" s="126" t="s">
        <v>393</v>
      </c>
      <c r="H88" s="127" t="s">
        <v>1892</v>
      </c>
      <c r="I88" s="128" t="s">
        <v>1975</v>
      </c>
      <c r="J88" s="61" t="str">
        <f>IFERROR(IF(G88="Ativo","Ativo",IF(G88="SKU excluído","Vencido",VLOOKUP(A88,Encerramentos!B:G,6,0))),"")</f>
        <v>Ativo</v>
      </c>
      <c r="K88" s="121"/>
      <c r="L88" s="121"/>
      <c r="M88" s="121"/>
      <c r="N88" s="121"/>
      <c r="O88" s="121"/>
      <c r="P88" s="121"/>
      <c r="Q88" s="121"/>
      <c r="R88" s="121"/>
      <c r="S88" s="121"/>
      <c r="T88" s="121"/>
      <c r="U88" s="121"/>
      <c r="V88" s="121"/>
      <c r="W88" s="121"/>
      <c r="X88" s="121"/>
      <c r="Y88" s="121"/>
      <c r="Z88" s="121"/>
      <c r="AA88" s="121"/>
      <c r="AB88" s="121"/>
    </row>
    <row r="89">
      <c r="A89" s="122" t="s">
        <v>2022</v>
      </c>
      <c r="B89" s="123" t="s">
        <v>2023</v>
      </c>
      <c r="C89" s="123" t="s">
        <v>1889</v>
      </c>
      <c r="D89" s="124" t="s">
        <v>1890</v>
      </c>
      <c r="E89" s="124" t="s">
        <v>1891</v>
      </c>
      <c r="F89" s="125" t="s">
        <v>1967</v>
      </c>
      <c r="G89" s="126" t="s">
        <v>393</v>
      </c>
      <c r="H89" s="127" t="s">
        <v>1892</v>
      </c>
      <c r="I89" s="128" t="s">
        <v>1968</v>
      </c>
      <c r="J89" s="61" t="str">
        <f>IFERROR(IF(G89="Ativo","Ativo",IF(G89="SKU excluído","Vencido",VLOOKUP(A89,Encerramentos!B:G,6,0))),"")</f>
        <v>Ativo</v>
      </c>
      <c r="K89" s="121"/>
      <c r="L89" s="121"/>
      <c r="M89" s="121"/>
      <c r="N89" s="121"/>
      <c r="O89" s="121"/>
      <c r="P89" s="121"/>
      <c r="Q89" s="121"/>
      <c r="R89" s="121"/>
      <c r="S89" s="121"/>
      <c r="T89" s="121"/>
      <c r="U89" s="121"/>
      <c r="V89" s="121"/>
      <c r="W89" s="121"/>
      <c r="X89" s="121"/>
      <c r="Y89" s="121"/>
      <c r="Z89" s="121"/>
      <c r="AA89" s="121"/>
      <c r="AB89" s="121"/>
    </row>
    <row r="90">
      <c r="A90" s="122" t="s">
        <v>2024</v>
      </c>
      <c r="B90" s="123" t="s">
        <v>2025</v>
      </c>
      <c r="C90" s="123" t="s">
        <v>1889</v>
      </c>
      <c r="D90" s="124" t="s">
        <v>1890</v>
      </c>
      <c r="E90" s="124" t="s">
        <v>1891</v>
      </c>
      <c r="F90" s="125" t="s">
        <v>1967</v>
      </c>
      <c r="G90" s="126" t="s">
        <v>393</v>
      </c>
      <c r="H90" s="127" t="s">
        <v>1892</v>
      </c>
      <c r="I90" s="128" t="s">
        <v>1975</v>
      </c>
      <c r="J90" s="61" t="str">
        <f>IFERROR(IF(G90="Ativo","Ativo",IF(G90="SKU excluído","Vencido",VLOOKUP(A90,Encerramentos!B:G,6,0))),"")</f>
        <v>Ativo</v>
      </c>
      <c r="K90" s="121"/>
      <c r="L90" s="121"/>
      <c r="M90" s="121"/>
      <c r="N90" s="121"/>
      <c r="O90" s="121"/>
      <c r="P90" s="121"/>
      <c r="Q90" s="121"/>
      <c r="R90" s="121"/>
      <c r="S90" s="121"/>
      <c r="T90" s="121"/>
      <c r="U90" s="121"/>
      <c r="V90" s="121"/>
      <c r="W90" s="121"/>
      <c r="X90" s="121"/>
      <c r="Y90" s="121"/>
      <c r="Z90" s="121"/>
      <c r="AA90" s="121"/>
      <c r="AB90" s="121"/>
    </row>
    <row r="91">
      <c r="A91" s="122" t="s">
        <v>2026</v>
      </c>
      <c r="B91" s="123" t="s">
        <v>2027</v>
      </c>
      <c r="C91" s="123" t="s">
        <v>1889</v>
      </c>
      <c r="D91" s="124" t="s">
        <v>1890</v>
      </c>
      <c r="E91" s="124" t="s">
        <v>1891</v>
      </c>
      <c r="F91" s="125" t="s">
        <v>1967</v>
      </c>
      <c r="G91" s="126" t="s">
        <v>393</v>
      </c>
      <c r="H91" s="127" t="s">
        <v>1892</v>
      </c>
      <c r="I91" s="128" t="s">
        <v>1975</v>
      </c>
      <c r="J91" s="61" t="str">
        <f>IFERROR(IF(G91="Ativo","Ativo",IF(G91="SKU excluído","Vencido",VLOOKUP(A91,Encerramentos!B:G,6,0))),"")</f>
        <v>Ativo</v>
      </c>
      <c r="K91" s="121"/>
      <c r="L91" s="121"/>
      <c r="M91" s="121"/>
      <c r="N91" s="121"/>
      <c r="O91" s="121"/>
      <c r="P91" s="121"/>
      <c r="Q91" s="121"/>
      <c r="R91" s="121"/>
      <c r="S91" s="121"/>
      <c r="T91" s="121"/>
      <c r="U91" s="121"/>
      <c r="V91" s="121"/>
      <c r="W91" s="121"/>
      <c r="X91" s="121"/>
      <c r="Y91" s="121"/>
      <c r="Z91" s="121"/>
      <c r="AA91" s="121"/>
      <c r="AB91" s="121"/>
    </row>
    <row r="92">
      <c r="A92" s="122" t="s">
        <v>2028</v>
      </c>
      <c r="B92" s="123" t="s">
        <v>2029</v>
      </c>
      <c r="C92" s="123" t="s">
        <v>1889</v>
      </c>
      <c r="D92" s="124" t="s">
        <v>1890</v>
      </c>
      <c r="E92" s="124" t="s">
        <v>1891</v>
      </c>
      <c r="F92" s="125" t="s">
        <v>1967</v>
      </c>
      <c r="G92" s="126" t="s">
        <v>393</v>
      </c>
      <c r="H92" s="127" t="s">
        <v>1892</v>
      </c>
      <c r="I92" s="128" t="s">
        <v>1975</v>
      </c>
      <c r="J92" s="61" t="str">
        <f>IFERROR(IF(G92="Ativo","Ativo",IF(G92="SKU excluído","Vencido",VLOOKUP(A92,Encerramentos!B:G,6,0))),"")</f>
        <v>Ativo</v>
      </c>
      <c r="K92" s="121"/>
      <c r="L92" s="121"/>
      <c r="M92" s="121"/>
      <c r="N92" s="121"/>
      <c r="O92" s="121"/>
      <c r="P92" s="121"/>
      <c r="Q92" s="121"/>
      <c r="R92" s="121"/>
      <c r="S92" s="121"/>
      <c r="T92" s="121"/>
      <c r="U92" s="121"/>
      <c r="V92" s="121"/>
      <c r="W92" s="121"/>
      <c r="X92" s="121"/>
      <c r="Y92" s="121"/>
      <c r="Z92" s="121"/>
      <c r="AA92" s="121"/>
      <c r="AB92" s="121"/>
    </row>
    <row r="93">
      <c r="A93" s="122" t="s">
        <v>2030</v>
      </c>
      <c r="B93" s="123" t="s">
        <v>2031</v>
      </c>
      <c r="C93" s="123" t="s">
        <v>1889</v>
      </c>
      <c r="D93" s="124" t="s">
        <v>1890</v>
      </c>
      <c r="E93" s="124" t="s">
        <v>1891</v>
      </c>
      <c r="F93" s="125" t="s">
        <v>1967</v>
      </c>
      <c r="G93" s="126" t="s">
        <v>393</v>
      </c>
      <c r="H93" s="127" t="s">
        <v>1892</v>
      </c>
      <c r="I93" s="128" t="s">
        <v>1975</v>
      </c>
      <c r="J93" s="61" t="str">
        <f>IFERROR(IF(G93="Ativo","Ativo",IF(G93="SKU excluído","Vencido",VLOOKUP(A93,Encerramentos!B:G,6,0))),"")</f>
        <v>Ativo</v>
      </c>
      <c r="K93" s="121"/>
      <c r="L93" s="121"/>
      <c r="M93" s="121"/>
      <c r="N93" s="121"/>
      <c r="O93" s="121"/>
      <c r="P93" s="121"/>
      <c r="Q93" s="121"/>
      <c r="R93" s="121"/>
      <c r="S93" s="121"/>
      <c r="T93" s="121"/>
      <c r="U93" s="121"/>
      <c r="V93" s="121"/>
      <c r="W93" s="121"/>
      <c r="X93" s="121"/>
      <c r="Y93" s="121"/>
      <c r="Z93" s="121"/>
      <c r="AA93" s="121"/>
      <c r="AB93" s="121"/>
    </row>
    <row r="94">
      <c r="A94" s="122" t="s">
        <v>2032</v>
      </c>
      <c r="B94" s="123" t="s">
        <v>1922</v>
      </c>
      <c r="C94" s="123" t="s">
        <v>1889</v>
      </c>
      <c r="D94" s="124" t="s">
        <v>1890</v>
      </c>
      <c r="E94" s="124" t="s">
        <v>1891</v>
      </c>
      <c r="F94" s="125" t="s">
        <v>1967</v>
      </c>
      <c r="G94" s="126" t="s">
        <v>393</v>
      </c>
      <c r="H94" s="127" t="s">
        <v>1892</v>
      </c>
      <c r="I94" s="128" t="s">
        <v>1975</v>
      </c>
      <c r="J94" s="61" t="str">
        <f>IFERROR(IF(G94="Ativo","Ativo",IF(G94="SKU excluído","Vencido",VLOOKUP(A94,Encerramentos!B:G,6,0))),"")</f>
        <v>Ativo</v>
      </c>
      <c r="K94" s="121"/>
      <c r="L94" s="121"/>
      <c r="M94" s="121"/>
      <c r="N94" s="121"/>
      <c r="O94" s="121"/>
      <c r="P94" s="121"/>
      <c r="Q94" s="121"/>
      <c r="R94" s="121"/>
      <c r="S94" s="121"/>
      <c r="T94" s="121"/>
      <c r="U94" s="121"/>
      <c r="V94" s="121"/>
      <c r="W94" s="121"/>
      <c r="X94" s="121"/>
      <c r="Y94" s="121"/>
      <c r="Z94" s="121"/>
      <c r="AA94" s="121"/>
      <c r="AB94" s="121"/>
    </row>
    <row r="95">
      <c r="A95" s="122" t="s">
        <v>2033</v>
      </c>
      <c r="B95" s="123" t="s">
        <v>2034</v>
      </c>
      <c r="C95" s="123" t="s">
        <v>1889</v>
      </c>
      <c r="D95" s="124" t="s">
        <v>1890</v>
      </c>
      <c r="E95" s="124" t="s">
        <v>1891</v>
      </c>
      <c r="F95" s="125" t="s">
        <v>1967</v>
      </c>
      <c r="G95" s="126" t="s">
        <v>393</v>
      </c>
      <c r="H95" s="127" t="s">
        <v>1892</v>
      </c>
      <c r="I95" s="128" t="s">
        <v>1975</v>
      </c>
      <c r="J95" s="61" t="str">
        <f>IFERROR(IF(G95="Ativo","Ativo",IF(G95="SKU excluído","Vencido",VLOOKUP(A95,Encerramentos!B:G,6,0))),"")</f>
        <v>Ativo</v>
      </c>
      <c r="K95" s="121"/>
      <c r="L95" s="121"/>
      <c r="M95" s="121"/>
      <c r="N95" s="121"/>
      <c r="O95" s="121"/>
      <c r="P95" s="121"/>
      <c r="Q95" s="121"/>
      <c r="R95" s="121"/>
      <c r="S95" s="121"/>
      <c r="T95" s="121"/>
      <c r="U95" s="121"/>
      <c r="V95" s="121"/>
      <c r="W95" s="121"/>
      <c r="X95" s="121"/>
      <c r="Y95" s="121"/>
      <c r="Z95" s="121"/>
      <c r="AA95" s="121"/>
      <c r="AB95" s="121"/>
    </row>
    <row r="96">
      <c r="A96" s="122" t="s">
        <v>2035</v>
      </c>
      <c r="B96" s="123" t="s">
        <v>2036</v>
      </c>
      <c r="C96" s="123" t="s">
        <v>1889</v>
      </c>
      <c r="D96" s="124" t="s">
        <v>1890</v>
      </c>
      <c r="E96" s="124" t="s">
        <v>1891</v>
      </c>
      <c r="F96" s="125" t="s">
        <v>1967</v>
      </c>
      <c r="G96" s="126" t="s">
        <v>393</v>
      </c>
      <c r="H96" s="127" t="s">
        <v>1892</v>
      </c>
      <c r="I96" s="128" t="s">
        <v>1975</v>
      </c>
      <c r="J96" s="61" t="str">
        <f>IFERROR(IF(G96="Ativo","Ativo",IF(G96="SKU excluído","Vencido",VLOOKUP(A96,Encerramentos!B:G,6,0))),"")</f>
        <v>Ativo</v>
      </c>
      <c r="K96" s="121"/>
      <c r="L96" s="121"/>
      <c r="M96" s="121"/>
      <c r="N96" s="121"/>
      <c r="O96" s="121"/>
      <c r="P96" s="121"/>
      <c r="Q96" s="121"/>
      <c r="R96" s="121"/>
      <c r="S96" s="121"/>
      <c r="T96" s="121"/>
      <c r="U96" s="121"/>
      <c r="V96" s="121"/>
      <c r="W96" s="121"/>
      <c r="X96" s="121"/>
      <c r="Y96" s="121"/>
      <c r="Z96" s="121"/>
      <c r="AA96" s="121"/>
      <c r="AB96" s="121"/>
    </row>
    <row r="97">
      <c r="A97" s="122" t="s">
        <v>2037</v>
      </c>
      <c r="B97" s="123" t="s">
        <v>2038</v>
      </c>
      <c r="C97" s="123" t="s">
        <v>1889</v>
      </c>
      <c r="D97" s="124" t="s">
        <v>1890</v>
      </c>
      <c r="E97" s="124" t="s">
        <v>1891</v>
      </c>
      <c r="F97" s="125" t="s">
        <v>1967</v>
      </c>
      <c r="G97" s="126" t="s">
        <v>393</v>
      </c>
      <c r="H97" s="127" t="s">
        <v>1892</v>
      </c>
      <c r="I97" s="128" t="s">
        <v>1975</v>
      </c>
      <c r="J97" s="61" t="str">
        <f>IFERROR(IF(G97="Ativo","Ativo",IF(G97="SKU excluído","Vencido",VLOOKUP(A97,Encerramentos!B:G,6,0))),"")</f>
        <v>Ativo</v>
      </c>
      <c r="K97" s="121"/>
      <c r="L97" s="121"/>
      <c r="M97" s="121"/>
      <c r="N97" s="121"/>
      <c r="O97" s="121"/>
      <c r="P97" s="121"/>
      <c r="Q97" s="121"/>
      <c r="R97" s="121"/>
      <c r="S97" s="121"/>
      <c r="T97" s="121"/>
      <c r="U97" s="121"/>
      <c r="V97" s="121"/>
      <c r="W97" s="121"/>
      <c r="X97" s="121"/>
      <c r="Y97" s="121"/>
      <c r="Z97" s="121"/>
      <c r="AA97" s="121"/>
      <c r="AB97" s="121"/>
    </row>
    <row r="98">
      <c r="A98" s="122" t="s">
        <v>2039</v>
      </c>
      <c r="B98" s="123" t="s">
        <v>2040</v>
      </c>
      <c r="C98" s="123" t="s">
        <v>1889</v>
      </c>
      <c r="D98" s="124" t="s">
        <v>1890</v>
      </c>
      <c r="E98" s="124" t="s">
        <v>1891</v>
      </c>
      <c r="F98" s="125" t="s">
        <v>1967</v>
      </c>
      <c r="G98" s="126" t="s">
        <v>393</v>
      </c>
      <c r="H98" s="127" t="s">
        <v>1892</v>
      </c>
      <c r="I98" s="128" t="s">
        <v>1975</v>
      </c>
      <c r="J98" s="61" t="str">
        <f>IFERROR(IF(G98="Ativo","Ativo",IF(G98="SKU excluído","Vencido",VLOOKUP(A98,Encerramentos!B:G,6,0))),"")</f>
        <v>Ativo</v>
      </c>
      <c r="K98" s="121"/>
      <c r="L98" s="121"/>
      <c r="M98" s="121"/>
      <c r="N98" s="121"/>
      <c r="O98" s="121"/>
      <c r="P98" s="121"/>
      <c r="Q98" s="121"/>
      <c r="R98" s="121"/>
      <c r="S98" s="121"/>
      <c r="T98" s="121"/>
      <c r="U98" s="121"/>
      <c r="V98" s="121"/>
      <c r="W98" s="121"/>
      <c r="X98" s="121"/>
      <c r="Y98" s="121"/>
      <c r="Z98" s="121"/>
      <c r="AA98" s="121"/>
      <c r="AB98" s="121"/>
    </row>
    <row r="99">
      <c r="A99" s="122" t="s">
        <v>2041</v>
      </c>
      <c r="B99" s="123" t="s">
        <v>2042</v>
      </c>
      <c r="C99" s="123" t="s">
        <v>1889</v>
      </c>
      <c r="D99" s="124" t="s">
        <v>1890</v>
      </c>
      <c r="E99" s="124" t="s">
        <v>1891</v>
      </c>
      <c r="F99" s="125" t="s">
        <v>1967</v>
      </c>
      <c r="G99" s="126" t="s">
        <v>393</v>
      </c>
      <c r="H99" s="127" t="s">
        <v>1892</v>
      </c>
      <c r="I99" s="128" t="s">
        <v>1975</v>
      </c>
      <c r="J99" s="61" t="str">
        <f>IFERROR(IF(G99="Ativo","Ativo",IF(G99="SKU excluído","Vencido",VLOOKUP(A99,Encerramentos!B:G,6,0))),"")</f>
        <v>Ativo</v>
      </c>
      <c r="K99" s="121"/>
      <c r="L99" s="121"/>
      <c r="M99" s="121"/>
      <c r="N99" s="121"/>
      <c r="O99" s="121"/>
      <c r="P99" s="121"/>
      <c r="Q99" s="121"/>
      <c r="R99" s="121"/>
      <c r="S99" s="121"/>
      <c r="T99" s="121"/>
      <c r="U99" s="121"/>
      <c r="V99" s="121"/>
      <c r="W99" s="121"/>
      <c r="X99" s="121"/>
      <c r="Y99" s="121"/>
      <c r="Z99" s="121"/>
      <c r="AA99" s="121"/>
      <c r="AB99" s="121"/>
    </row>
    <row r="100">
      <c r="A100" s="122" t="s">
        <v>2043</v>
      </c>
      <c r="B100" s="123" t="s">
        <v>2042</v>
      </c>
      <c r="C100" s="123" t="s">
        <v>1889</v>
      </c>
      <c r="D100" s="124" t="s">
        <v>1890</v>
      </c>
      <c r="E100" s="124" t="s">
        <v>1891</v>
      </c>
      <c r="F100" s="125" t="s">
        <v>1967</v>
      </c>
      <c r="G100" s="126" t="s">
        <v>393</v>
      </c>
      <c r="H100" s="127" t="s">
        <v>1892</v>
      </c>
      <c r="I100" s="128" t="s">
        <v>1968</v>
      </c>
      <c r="J100" s="61" t="str">
        <f>IFERROR(IF(G100="Ativo","Ativo",IF(G100="SKU excluído","Vencido",VLOOKUP(A100,Encerramentos!B:G,6,0))),"")</f>
        <v>Ativo</v>
      </c>
      <c r="K100" s="121"/>
      <c r="L100" s="121"/>
      <c r="M100" s="121"/>
      <c r="N100" s="121"/>
      <c r="O100" s="121"/>
      <c r="P100" s="121"/>
      <c r="Q100" s="121"/>
      <c r="R100" s="121"/>
      <c r="S100" s="121"/>
      <c r="T100" s="121"/>
      <c r="U100" s="121"/>
      <c r="V100" s="121"/>
      <c r="W100" s="121"/>
      <c r="X100" s="121"/>
      <c r="Y100" s="121"/>
      <c r="Z100" s="121"/>
      <c r="AA100" s="121"/>
      <c r="AB100" s="121"/>
    </row>
    <row r="101">
      <c r="A101" s="122" t="s">
        <v>2044</v>
      </c>
      <c r="B101" s="123" t="s">
        <v>2038</v>
      </c>
      <c r="C101" s="123" t="s">
        <v>1889</v>
      </c>
      <c r="D101" s="124" t="s">
        <v>1890</v>
      </c>
      <c r="E101" s="124" t="s">
        <v>1891</v>
      </c>
      <c r="F101" s="125" t="s">
        <v>1967</v>
      </c>
      <c r="G101" s="126" t="s">
        <v>393</v>
      </c>
      <c r="H101" s="127" t="s">
        <v>1892</v>
      </c>
      <c r="I101" s="128" t="s">
        <v>1968</v>
      </c>
      <c r="J101" s="61" t="str">
        <f>IFERROR(IF(G101="Ativo","Ativo",IF(G101="SKU excluído","Vencido",VLOOKUP(A101,Encerramentos!B:G,6,0))),"")</f>
        <v>Ativo</v>
      </c>
      <c r="K101" s="121"/>
      <c r="L101" s="121"/>
      <c r="M101" s="121"/>
      <c r="N101" s="121"/>
      <c r="O101" s="121"/>
      <c r="P101" s="121"/>
      <c r="Q101" s="121"/>
      <c r="R101" s="121"/>
      <c r="S101" s="121"/>
      <c r="T101" s="121"/>
      <c r="U101" s="121"/>
      <c r="V101" s="121"/>
      <c r="W101" s="121"/>
      <c r="X101" s="121"/>
      <c r="Y101" s="121"/>
      <c r="Z101" s="121"/>
      <c r="AA101" s="121"/>
      <c r="AB101" s="121"/>
    </row>
    <row r="102">
      <c r="A102" s="122" t="s">
        <v>2045</v>
      </c>
      <c r="B102" s="123" t="s">
        <v>2040</v>
      </c>
      <c r="C102" s="123" t="s">
        <v>1889</v>
      </c>
      <c r="D102" s="124" t="s">
        <v>1890</v>
      </c>
      <c r="E102" s="124" t="s">
        <v>1891</v>
      </c>
      <c r="F102" s="125" t="s">
        <v>1967</v>
      </c>
      <c r="G102" s="126" t="s">
        <v>393</v>
      </c>
      <c r="H102" s="127" t="s">
        <v>1892</v>
      </c>
      <c r="I102" s="128" t="s">
        <v>1968</v>
      </c>
      <c r="J102" s="61" t="str">
        <f>IFERROR(IF(G102="Ativo","Ativo",IF(G102="SKU excluído","Vencido",VLOOKUP(A102,Encerramentos!B:G,6,0))),"")</f>
        <v>Ativo</v>
      </c>
      <c r="K102" s="121"/>
      <c r="L102" s="121"/>
      <c r="M102" s="121"/>
      <c r="N102" s="121"/>
      <c r="O102" s="121"/>
      <c r="P102" s="121"/>
      <c r="Q102" s="121"/>
      <c r="R102" s="121"/>
      <c r="S102" s="121"/>
      <c r="T102" s="121"/>
      <c r="U102" s="121"/>
      <c r="V102" s="121"/>
      <c r="W102" s="121"/>
      <c r="X102" s="121"/>
      <c r="Y102" s="121"/>
      <c r="Z102" s="121"/>
      <c r="AA102" s="121"/>
      <c r="AB102" s="121"/>
    </row>
    <row r="103">
      <c r="A103" s="122" t="s">
        <v>2046</v>
      </c>
      <c r="B103" s="123" t="s">
        <v>2047</v>
      </c>
      <c r="C103" s="123" t="s">
        <v>1889</v>
      </c>
      <c r="D103" s="124" t="s">
        <v>1890</v>
      </c>
      <c r="E103" s="124" t="s">
        <v>1891</v>
      </c>
      <c r="F103" s="125" t="s">
        <v>2048</v>
      </c>
      <c r="G103" s="126" t="s">
        <v>393</v>
      </c>
      <c r="H103" s="127" t="s">
        <v>1892</v>
      </c>
      <c r="I103" s="128" t="s">
        <v>1968</v>
      </c>
      <c r="J103" s="61" t="str">
        <f>IFERROR(IF(G103="Ativo","Ativo",IF(G103="SKU excluído","Vencido",VLOOKUP(A103,Encerramentos!B:G,6,0))),"")</f>
        <v>Ativo</v>
      </c>
      <c r="K103" s="121"/>
      <c r="L103" s="121"/>
      <c r="M103" s="121"/>
      <c r="N103" s="121"/>
      <c r="O103" s="121"/>
      <c r="P103" s="121"/>
      <c r="Q103" s="121"/>
      <c r="R103" s="121"/>
      <c r="S103" s="121"/>
      <c r="T103" s="121"/>
      <c r="U103" s="121"/>
      <c r="V103" s="121"/>
      <c r="W103" s="121"/>
      <c r="X103" s="121"/>
      <c r="Y103" s="121"/>
      <c r="Z103" s="121"/>
      <c r="AA103" s="121"/>
      <c r="AB103" s="121"/>
    </row>
    <row r="104">
      <c r="A104" s="122" t="s">
        <v>2049</v>
      </c>
      <c r="B104" s="123" t="s">
        <v>2050</v>
      </c>
      <c r="C104" s="123" t="s">
        <v>1889</v>
      </c>
      <c r="D104" s="124" t="s">
        <v>1890</v>
      </c>
      <c r="E104" s="124" t="s">
        <v>1891</v>
      </c>
      <c r="F104" s="125" t="s">
        <v>2048</v>
      </c>
      <c r="G104" s="126" t="s">
        <v>393</v>
      </c>
      <c r="H104" s="127" t="s">
        <v>1892</v>
      </c>
      <c r="I104" s="128" t="s">
        <v>1968</v>
      </c>
      <c r="J104" s="61" t="str">
        <f>IFERROR(IF(G104="Ativo","Ativo",IF(G104="SKU excluído","Vencido",VLOOKUP(A104,Encerramentos!B:G,6,0))),"")</f>
        <v>Ativo</v>
      </c>
      <c r="K104" s="121"/>
      <c r="L104" s="121"/>
      <c r="M104" s="121"/>
      <c r="N104" s="121"/>
      <c r="O104" s="121"/>
      <c r="P104" s="121"/>
      <c r="Q104" s="121"/>
      <c r="R104" s="121"/>
      <c r="S104" s="121"/>
      <c r="T104" s="121"/>
      <c r="U104" s="121"/>
      <c r="V104" s="121"/>
      <c r="W104" s="121"/>
      <c r="X104" s="121"/>
      <c r="Y104" s="121"/>
      <c r="Z104" s="121"/>
      <c r="AA104" s="121"/>
      <c r="AB104" s="121"/>
    </row>
    <row r="105">
      <c r="A105" s="122" t="s">
        <v>2051</v>
      </c>
      <c r="B105" s="123" t="s">
        <v>2052</v>
      </c>
      <c r="C105" s="123" t="s">
        <v>1889</v>
      </c>
      <c r="D105" s="124" t="s">
        <v>1890</v>
      </c>
      <c r="E105" s="124" t="s">
        <v>1891</v>
      </c>
      <c r="F105" s="125" t="s">
        <v>2048</v>
      </c>
      <c r="G105" s="126" t="s">
        <v>393</v>
      </c>
      <c r="H105" s="127" t="s">
        <v>1892</v>
      </c>
      <c r="I105" s="128" t="s">
        <v>1968</v>
      </c>
      <c r="J105" s="61" t="str">
        <f>IFERROR(IF(G105="Ativo","Ativo",IF(G105="SKU excluído","Vencido",VLOOKUP(A105,Encerramentos!B:G,6,0))),"")</f>
        <v>Ativo</v>
      </c>
      <c r="K105" s="121"/>
      <c r="L105" s="121"/>
      <c r="M105" s="121"/>
      <c r="N105" s="121"/>
      <c r="O105" s="121"/>
      <c r="P105" s="121"/>
      <c r="Q105" s="121"/>
      <c r="R105" s="121"/>
      <c r="S105" s="121"/>
      <c r="T105" s="121"/>
      <c r="U105" s="121"/>
      <c r="V105" s="121"/>
      <c r="W105" s="121"/>
      <c r="X105" s="121"/>
      <c r="Y105" s="121"/>
      <c r="Z105" s="121"/>
      <c r="AA105" s="121"/>
      <c r="AB105" s="121"/>
    </row>
    <row r="106">
      <c r="A106" s="122" t="s">
        <v>2053</v>
      </c>
      <c r="B106" s="123" t="s">
        <v>1910</v>
      </c>
      <c r="C106" s="123" t="s">
        <v>1889</v>
      </c>
      <c r="D106" s="124" t="s">
        <v>1890</v>
      </c>
      <c r="E106" s="124" t="s">
        <v>1891</v>
      </c>
      <c r="F106" s="125" t="s">
        <v>2048</v>
      </c>
      <c r="G106" s="126" t="s">
        <v>393</v>
      </c>
      <c r="H106" s="127" t="s">
        <v>1892</v>
      </c>
      <c r="I106" s="128" t="s">
        <v>1968</v>
      </c>
      <c r="J106" s="61" t="str">
        <f>IFERROR(IF(G106="Ativo","Ativo",IF(G106="SKU excluído","Vencido",VLOOKUP(A106,Encerramentos!B:G,6,0))),"")</f>
        <v>Ativo</v>
      </c>
      <c r="K106" s="121"/>
      <c r="L106" s="121"/>
      <c r="M106" s="121"/>
      <c r="N106" s="121"/>
      <c r="O106" s="121"/>
      <c r="P106" s="121"/>
      <c r="Q106" s="121"/>
      <c r="R106" s="121"/>
      <c r="S106" s="121"/>
      <c r="T106" s="121"/>
      <c r="U106" s="121"/>
      <c r="V106" s="121"/>
      <c r="W106" s="121"/>
      <c r="X106" s="121"/>
      <c r="Y106" s="121"/>
      <c r="Z106" s="121"/>
      <c r="AA106" s="121"/>
      <c r="AB106" s="121"/>
    </row>
    <row r="107">
      <c r="A107" s="122" t="s">
        <v>2054</v>
      </c>
      <c r="B107" s="123" t="s">
        <v>2055</v>
      </c>
      <c r="C107" s="123" t="s">
        <v>1844</v>
      </c>
      <c r="D107" s="124" t="s">
        <v>1845</v>
      </c>
      <c r="E107" s="124" t="s">
        <v>1846</v>
      </c>
      <c r="F107" s="125" t="s">
        <v>2048</v>
      </c>
      <c r="G107" s="126" t="s">
        <v>393</v>
      </c>
      <c r="H107" s="127" t="s">
        <v>1848</v>
      </c>
      <c r="I107" s="128" t="s">
        <v>1968</v>
      </c>
      <c r="J107" s="61" t="str">
        <f>IFERROR(IF(G107="Ativo","Ativo",IF(G107="SKU excluído","Vencido",VLOOKUP(A107,Encerramentos!B:G,6,0))),"")</f>
        <v>Ativo</v>
      </c>
      <c r="K107" s="121"/>
      <c r="L107" s="121"/>
      <c r="M107" s="121"/>
      <c r="N107" s="121"/>
      <c r="O107" s="121"/>
      <c r="P107" s="121"/>
      <c r="Q107" s="121"/>
      <c r="R107" s="121"/>
      <c r="S107" s="121"/>
      <c r="T107" s="121"/>
      <c r="U107" s="121"/>
      <c r="V107" s="121"/>
      <c r="W107" s="121"/>
      <c r="X107" s="121"/>
      <c r="Y107" s="121"/>
      <c r="Z107" s="121"/>
      <c r="AA107" s="121"/>
      <c r="AB107" s="121"/>
    </row>
    <row r="108">
      <c r="A108" s="122" t="s">
        <v>2056</v>
      </c>
      <c r="B108" s="123" t="s">
        <v>2057</v>
      </c>
      <c r="C108" s="123" t="s">
        <v>1844</v>
      </c>
      <c r="D108" s="124" t="s">
        <v>1845</v>
      </c>
      <c r="E108" s="124" t="s">
        <v>1846</v>
      </c>
      <c r="F108" s="125" t="s">
        <v>2048</v>
      </c>
      <c r="G108" s="126" t="s">
        <v>393</v>
      </c>
      <c r="H108" s="127" t="s">
        <v>1848</v>
      </c>
      <c r="I108" s="128" t="s">
        <v>1968</v>
      </c>
      <c r="J108" s="61" t="str">
        <f>IFERROR(IF(G108="Ativo","Ativo",IF(G108="SKU excluído","Vencido",VLOOKUP(A108,Encerramentos!B:G,6,0))),"")</f>
        <v>Ativo</v>
      </c>
      <c r="K108" s="121"/>
      <c r="L108" s="121"/>
      <c r="M108" s="121"/>
      <c r="N108" s="121"/>
      <c r="O108" s="121"/>
      <c r="P108" s="121"/>
      <c r="Q108" s="121"/>
      <c r="R108" s="121"/>
      <c r="S108" s="121"/>
      <c r="T108" s="121"/>
      <c r="U108" s="121"/>
      <c r="V108" s="121"/>
      <c r="W108" s="121"/>
      <c r="X108" s="121"/>
      <c r="Y108" s="121"/>
      <c r="Z108" s="121"/>
      <c r="AA108" s="121"/>
      <c r="AB108" s="121"/>
    </row>
    <row r="109">
      <c r="A109" s="122" t="s">
        <v>2058</v>
      </c>
      <c r="B109" s="123" t="s">
        <v>2059</v>
      </c>
      <c r="C109" s="123" t="s">
        <v>1844</v>
      </c>
      <c r="D109" s="124" t="s">
        <v>1845</v>
      </c>
      <c r="E109" s="124" t="s">
        <v>1846</v>
      </c>
      <c r="F109" s="125" t="s">
        <v>2048</v>
      </c>
      <c r="G109" s="126" t="s">
        <v>393</v>
      </c>
      <c r="H109" s="127" t="s">
        <v>1848</v>
      </c>
      <c r="I109" s="128" t="s">
        <v>1968</v>
      </c>
      <c r="J109" s="61" t="str">
        <f>IFERROR(IF(G109="Ativo","Ativo",IF(G109="SKU excluído","Vencido",VLOOKUP(A109,Encerramentos!B:G,6,0))),"")</f>
        <v>Ativo</v>
      </c>
      <c r="K109" s="121"/>
      <c r="L109" s="121"/>
      <c r="M109" s="121"/>
      <c r="N109" s="121"/>
      <c r="O109" s="121"/>
      <c r="P109" s="121"/>
      <c r="Q109" s="121"/>
      <c r="R109" s="121"/>
      <c r="S109" s="121"/>
      <c r="T109" s="121"/>
      <c r="U109" s="121"/>
      <c r="V109" s="121"/>
      <c r="W109" s="121"/>
      <c r="X109" s="121"/>
      <c r="Y109" s="121"/>
      <c r="Z109" s="121"/>
      <c r="AA109" s="121"/>
      <c r="AB109" s="121"/>
    </row>
    <row r="110">
      <c r="A110" s="122" t="s">
        <v>2060</v>
      </c>
      <c r="B110" s="123" t="s">
        <v>2061</v>
      </c>
      <c r="C110" s="123" t="s">
        <v>1844</v>
      </c>
      <c r="D110" s="124" t="s">
        <v>1845</v>
      </c>
      <c r="E110" s="124" t="s">
        <v>1846</v>
      </c>
      <c r="F110" s="125" t="s">
        <v>2062</v>
      </c>
      <c r="G110" s="126" t="s">
        <v>393</v>
      </c>
      <c r="H110" s="127" t="s">
        <v>1848</v>
      </c>
      <c r="I110" s="128" t="s">
        <v>1968</v>
      </c>
      <c r="J110" s="61" t="str">
        <f>IFERROR(IF(G110="Ativo","Ativo",IF(G110="SKU excluído","Vencido",VLOOKUP(A110,Encerramentos!B:G,6,0))),"")</f>
        <v>Ativo</v>
      </c>
      <c r="K110" s="121"/>
      <c r="L110" s="121"/>
      <c r="M110" s="121"/>
      <c r="N110" s="121"/>
      <c r="O110" s="121"/>
      <c r="P110" s="121"/>
      <c r="Q110" s="121"/>
      <c r="R110" s="121"/>
      <c r="S110" s="121"/>
      <c r="T110" s="121"/>
      <c r="U110" s="121"/>
      <c r="V110" s="121"/>
      <c r="W110" s="121"/>
      <c r="X110" s="121"/>
      <c r="Y110" s="121"/>
      <c r="Z110" s="121"/>
      <c r="AA110" s="121"/>
      <c r="AB110" s="121"/>
    </row>
    <row r="111">
      <c r="A111" s="122" t="s">
        <v>2063</v>
      </c>
      <c r="B111" s="123" t="s">
        <v>2061</v>
      </c>
      <c r="C111" s="123" t="s">
        <v>1844</v>
      </c>
      <c r="D111" s="124" t="s">
        <v>1845</v>
      </c>
      <c r="E111" s="124" t="s">
        <v>1846</v>
      </c>
      <c r="F111" s="125" t="s">
        <v>2064</v>
      </c>
      <c r="G111" s="126" t="s">
        <v>393</v>
      </c>
      <c r="H111" s="127" t="s">
        <v>1848</v>
      </c>
      <c r="I111" s="128" t="s">
        <v>2065</v>
      </c>
      <c r="J111" s="61" t="str">
        <f>IFERROR(IF(G111="Ativo","Ativo",IF(G111="SKU excluído","Vencido",VLOOKUP(A111,Encerramentos!B:G,6,0))),"")</f>
        <v>Ativo</v>
      </c>
      <c r="K111" s="121"/>
      <c r="L111" s="121"/>
      <c r="M111" s="121"/>
      <c r="N111" s="121"/>
      <c r="O111" s="121"/>
      <c r="P111" s="121"/>
      <c r="Q111" s="121"/>
      <c r="R111" s="121"/>
      <c r="S111" s="121"/>
      <c r="T111" s="121"/>
      <c r="U111" s="121"/>
      <c r="V111" s="121"/>
      <c r="W111" s="121"/>
      <c r="X111" s="121"/>
      <c r="Y111" s="121"/>
      <c r="Z111" s="121"/>
      <c r="AA111" s="121"/>
      <c r="AB111" s="121"/>
    </row>
    <row r="112">
      <c r="A112" s="122" t="s">
        <v>2066</v>
      </c>
      <c r="B112" s="123" t="s">
        <v>2067</v>
      </c>
      <c r="C112" s="123" t="s">
        <v>1844</v>
      </c>
      <c r="D112" s="124" t="s">
        <v>1845</v>
      </c>
      <c r="E112" s="124" t="s">
        <v>1846</v>
      </c>
      <c r="F112" s="125" t="s">
        <v>2064</v>
      </c>
      <c r="G112" s="126" t="s">
        <v>393</v>
      </c>
      <c r="H112" s="127" t="s">
        <v>1848</v>
      </c>
      <c r="I112" s="128" t="s">
        <v>2068</v>
      </c>
      <c r="J112" s="61" t="str">
        <f>IFERROR(IF(G112="Ativo","Ativo",IF(G112="SKU excluído","Vencido",VLOOKUP(A112,Encerramentos!B:G,6,0))),"")</f>
        <v>Ativo</v>
      </c>
      <c r="K112" s="121"/>
      <c r="L112" s="121"/>
      <c r="M112" s="121"/>
      <c r="N112" s="121"/>
      <c r="O112" s="121"/>
      <c r="P112" s="121"/>
      <c r="Q112" s="121"/>
      <c r="R112" s="121"/>
      <c r="S112" s="121"/>
      <c r="T112" s="121"/>
      <c r="U112" s="121"/>
      <c r="V112" s="121"/>
      <c r="W112" s="121"/>
      <c r="X112" s="121"/>
      <c r="Y112" s="121"/>
      <c r="Z112" s="121"/>
      <c r="AA112" s="121"/>
      <c r="AB112" s="121"/>
    </row>
    <row r="113">
      <c r="A113" s="122" t="s">
        <v>2069</v>
      </c>
      <c r="B113" s="123" t="s">
        <v>2070</v>
      </c>
      <c r="C113" s="123" t="s">
        <v>1844</v>
      </c>
      <c r="D113" s="124" t="s">
        <v>1845</v>
      </c>
      <c r="E113" s="124" t="s">
        <v>1846</v>
      </c>
      <c r="F113" s="125" t="s">
        <v>2064</v>
      </c>
      <c r="G113" s="126" t="s">
        <v>393</v>
      </c>
      <c r="H113" s="127" t="s">
        <v>1848</v>
      </c>
      <c r="I113" s="128" t="s">
        <v>2068</v>
      </c>
      <c r="J113" s="61" t="str">
        <f>IFERROR(IF(G113="Ativo","Ativo",IF(G113="SKU excluído","Vencido",VLOOKUP(A113,Encerramentos!B:G,6,0))),"")</f>
        <v>Ativo</v>
      </c>
      <c r="K113" s="121"/>
      <c r="L113" s="121"/>
      <c r="M113" s="121"/>
      <c r="N113" s="121"/>
      <c r="O113" s="121"/>
      <c r="P113" s="121"/>
      <c r="Q113" s="121"/>
      <c r="R113" s="121"/>
      <c r="S113" s="121"/>
      <c r="T113" s="121"/>
      <c r="U113" s="121"/>
      <c r="V113" s="121"/>
      <c r="W113" s="121"/>
      <c r="X113" s="121"/>
      <c r="Y113" s="121"/>
      <c r="Z113" s="121"/>
      <c r="AA113" s="121"/>
      <c r="AB113" s="121"/>
    </row>
    <row r="114">
      <c r="A114" s="122" t="s">
        <v>2071</v>
      </c>
      <c r="B114" s="123" t="s">
        <v>2072</v>
      </c>
      <c r="C114" s="123" t="s">
        <v>1844</v>
      </c>
      <c r="D114" s="124" t="s">
        <v>1845</v>
      </c>
      <c r="E114" s="124" t="s">
        <v>1846</v>
      </c>
      <c r="F114" s="125" t="s">
        <v>2064</v>
      </c>
      <c r="G114" s="126" t="s">
        <v>393</v>
      </c>
      <c r="H114" s="127" t="s">
        <v>1848</v>
      </c>
      <c r="I114" s="128" t="s">
        <v>2065</v>
      </c>
      <c r="J114" s="61" t="str">
        <f>IFERROR(IF(G114="Ativo","Ativo",IF(G114="SKU excluído","Vencido",VLOOKUP(A114,Encerramentos!B:G,6,0))),"")</f>
        <v>Ativo</v>
      </c>
      <c r="K114" s="121"/>
      <c r="L114" s="121"/>
      <c r="M114" s="121"/>
      <c r="N114" s="121"/>
      <c r="O114" s="121"/>
      <c r="P114" s="121"/>
      <c r="Q114" s="121"/>
      <c r="R114" s="121"/>
      <c r="S114" s="121"/>
      <c r="T114" s="121"/>
      <c r="U114" s="121"/>
      <c r="V114" s="121"/>
      <c r="W114" s="121"/>
      <c r="X114" s="121"/>
      <c r="Y114" s="121"/>
      <c r="Z114" s="121"/>
      <c r="AA114" s="121"/>
      <c r="AB114" s="121"/>
    </row>
    <row r="115">
      <c r="A115" s="122" t="s">
        <v>2073</v>
      </c>
      <c r="B115" s="123" t="s">
        <v>2074</v>
      </c>
      <c r="C115" s="123" t="s">
        <v>1889</v>
      </c>
      <c r="D115" s="124" t="s">
        <v>1890</v>
      </c>
      <c r="E115" s="124" t="s">
        <v>1891</v>
      </c>
      <c r="F115" s="125" t="s">
        <v>2064</v>
      </c>
      <c r="G115" s="126" t="s">
        <v>393</v>
      </c>
      <c r="H115" s="127" t="s">
        <v>1892</v>
      </c>
      <c r="I115" s="128" t="s">
        <v>2068</v>
      </c>
      <c r="J115" s="61" t="str">
        <f>IFERROR(IF(G115="Ativo","Ativo",IF(G115="SKU excluído","Vencido",VLOOKUP(A115,Encerramentos!B:G,6,0))),"")</f>
        <v>Ativo</v>
      </c>
      <c r="K115" s="121"/>
      <c r="L115" s="121"/>
      <c r="M115" s="121"/>
      <c r="N115" s="121"/>
      <c r="O115" s="121"/>
      <c r="P115" s="121"/>
      <c r="Q115" s="121"/>
      <c r="R115" s="121"/>
      <c r="S115" s="121"/>
      <c r="T115" s="121"/>
      <c r="U115" s="121"/>
      <c r="V115" s="121"/>
      <c r="W115" s="121"/>
      <c r="X115" s="121"/>
      <c r="Y115" s="121"/>
      <c r="Z115" s="121"/>
      <c r="AA115" s="121"/>
      <c r="AB115" s="121"/>
    </row>
    <row r="116">
      <c r="A116" s="122" t="s">
        <v>2075</v>
      </c>
      <c r="B116" s="123" t="s">
        <v>2031</v>
      </c>
      <c r="C116" s="123" t="s">
        <v>1889</v>
      </c>
      <c r="D116" s="124" t="s">
        <v>1890</v>
      </c>
      <c r="E116" s="124" t="s">
        <v>1891</v>
      </c>
      <c r="F116" s="125" t="s">
        <v>2064</v>
      </c>
      <c r="G116" s="126" t="s">
        <v>393</v>
      </c>
      <c r="H116" s="127" t="s">
        <v>1892</v>
      </c>
      <c r="I116" s="128" t="s">
        <v>2065</v>
      </c>
      <c r="J116" s="61" t="str">
        <f>IFERROR(IF(G116="Ativo","Ativo",IF(G116="SKU excluído","Vencido",VLOOKUP(A116,Encerramentos!B:G,6,0))),"")</f>
        <v>Ativo</v>
      </c>
      <c r="K116" s="121"/>
      <c r="L116" s="121"/>
      <c r="M116" s="121"/>
      <c r="N116" s="121"/>
      <c r="O116" s="121"/>
      <c r="P116" s="121"/>
      <c r="Q116" s="121"/>
      <c r="R116" s="121"/>
      <c r="S116" s="121"/>
      <c r="T116" s="121"/>
      <c r="U116" s="121"/>
      <c r="V116" s="121"/>
      <c r="W116" s="121"/>
      <c r="X116" s="121"/>
      <c r="Y116" s="121"/>
      <c r="Z116" s="121"/>
      <c r="AA116" s="121"/>
      <c r="AB116" s="121"/>
    </row>
    <row r="117">
      <c r="A117" s="122" t="s">
        <v>2076</v>
      </c>
      <c r="B117" s="123" t="s">
        <v>2077</v>
      </c>
      <c r="C117" s="123" t="s">
        <v>1889</v>
      </c>
      <c r="D117" s="124" t="s">
        <v>1890</v>
      </c>
      <c r="E117" s="124" t="s">
        <v>1891</v>
      </c>
      <c r="F117" s="125" t="s">
        <v>2064</v>
      </c>
      <c r="G117" s="126" t="s">
        <v>393</v>
      </c>
      <c r="H117" s="127" t="s">
        <v>1892</v>
      </c>
      <c r="I117" s="128" t="s">
        <v>2068</v>
      </c>
      <c r="J117" s="61" t="str">
        <f>IFERROR(IF(G117="Ativo","Ativo",IF(G117="SKU excluído","Vencido",VLOOKUP(A117,Encerramentos!B:G,6,0))),"")</f>
        <v>Ativo</v>
      </c>
      <c r="K117" s="121"/>
      <c r="L117" s="121"/>
      <c r="M117" s="121"/>
      <c r="N117" s="121"/>
      <c r="O117" s="121"/>
      <c r="P117" s="121"/>
      <c r="Q117" s="121"/>
      <c r="R117" s="121"/>
      <c r="S117" s="121"/>
      <c r="T117" s="121"/>
      <c r="U117" s="121"/>
      <c r="V117" s="121"/>
      <c r="W117" s="121"/>
      <c r="X117" s="121"/>
      <c r="Y117" s="121"/>
      <c r="Z117" s="121"/>
      <c r="AA117" s="121"/>
      <c r="AB117" s="121"/>
    </row>
    <row r="118">
      <c r="A118" s="122" t="s">
        <v>2078</v>
      </c>
      <c r="B118" s="123" t="s">
        <v>2079</v>
      </c>
      <c r="C118" s="123" t="s">
        <v>1889</v>
      </c>
      <c r="D118" s="124" t="s">
        <v>1890</v>
      </c>
      <c r="E118" s="124" t="s">
        <v>1891</v>
      </c>
      <c r="F118" s="125" t="s">
        <v>2064</v>
      </c>
      <c r="G118" s="126" t="s">
        <v>393</v>
      </c>
      <c r="H118" s="127" t="s">
        <v>1892</v>
      </c>
      <c r="I118" s="128" t="s">
        <v>2065</v>
      </c>
      <c r="J118" s="61" t="str">
        <f>IFERROR(IF(G118="Ativo","Ativo",IF(G118="SKU excluído","Vencido",VLOOKUP(A118,Encerramentos!B:G,6,0))),"")</f>
        <v>Ativo</v>
      </c>
      <c r="K118" s="121"/>
      <c r="L118" s="121"/>
      <c r="M118" s="121"/>
      <c r="N118" s="121"/>
      <c r="O118" s="121"/>
      <c r="P118" s="121"/>
      <c r="Q118" s="121"/>
      <c r="R118" s="121"/>
      <c r="S118" s="121"/>
      <c r="T118" s="121"/>
      <c r="U118" s="121"/>
      <c r="V118" s="121"/>
      <c r="W118" s="121"/>
      <c r="X118" s="121"/>
      <c r="Y118" s="121"/>
      <c r="Z118" s="121"/>
      <c r="AA118" s="121"/>
      <c r="AB118" s="121"/>
    </row>
    <row r="119">
      <c r="A119" s="131"/>
      <c r="B119" s="131"/>
      <c r="C119" s="131"/>
      <c r="D119" s="131"/>
      <c r="E119" s="131"/>
      <c r="F119" s="131"/>
      <c r="G119" s="131"/>
      <c r="H119" s="121"/>
      <c r="I119" s="121"/>
      <c r="J119" s="121"/>
      <c r="K119" s="121"/>
      <c r="L119" s="121"/>
      <c r="M119" s="121"/>
      <c r="N119" s="121"/>
      <c r="O119" s="121"/>
      <c r="P119" s="121"/>
      <c r="Q119" s="121"/>
      <c r="R119" s="121"/>
      <c r="S119" s="121"/>
      <c r="T119" s="121"/>
      <c r="U119" s="121"/>
      <c r="V119" s="121"/>
      <c r="W119" s="121"/>
      <c r="X119" s="121"/>
      <c r="Y119" s="121"/>
      <c r="Z119" s="121"/>
      <c r="AA119" s="121"/>
      <c r="AB119" s="121"/>
    </row>
    <row r="120">
      <c r="A120" s="131"/>
      <c r="B120" s="131"/>
      <c r="C120" s="131"/>
      <c r="D120" s="131"/>
      <c r="E120" s="131"/>
      <c r="F120" s="131"/>
      <c r="G120" s="131"/>
      <c r="H120" s="121"/>
      <c r="I120" s="121"/>
      <c r="J120" s="121"/>
      <c r="K120" s="121"/>
      <c r="L120" s="121"/>
      <c r="M120" s="121"/>
      <c r="N120" s="121"/>
      <c r="O120" s="121"/>
      <c r="P120" s="121"/>
      <c r="Q120" s="121"/>
      <c r="R120" s="121"/>
      <c r="S120" s="121"/>
      <c r="T120" s="121"/>
      <c r="U120" s="121"/>
      <c r="V120" s="121"/>
      <c r="W120" s="121"/>
      <c r="X120" s="121"/>
      <c r="Y120" s="121"/>
      <c r="Z120" s="121"/>
      <c r="AA120" s="121"/>
      <c r="AB120" s="121"/>
    </row>
    <row r="121">
      <c r="A121" s="131"/>
      <c r="B121" s="131"/>
      <c r="C121" s="131"/>
      <c r="D121" s="131"/>
      <c r="E121" s="131"/>
      <c r="F121" s="131"/>
      <c r="G121" s="131"/>
      <c r="H121" s="121"/>
      <c r="I121" s="121"/>
      <c r="J121" s="121"/>
      <c r="K121" s="121"/>
      <c r="L121" s="121"/>
      <c r="M121" s="121"/>
      <c r="N121" s="121"/>
      <c r="O121" s="121"/>
      <c r="P121" s="121"/>
      <c r="Q121" s="121"/>
      <c r="R121" s="121"/>
      <c r="S121" s="121"/>
      <c r="T121" s="121"/>
      <c r="U121" s="121"/>
      <c r="V121" s="121"/>
      <c r="W121" s="121"/>
      <c r="X121" s="121"/>
      <c r="Y121" s="121"/>
      <c r="Z121" s="121"/>
      <c r="AA121" s="121"/>
      <c r="AB121" s="121"/>
    </row>
    <row r="122">
      <c r="A122" s="131"/>
      <c r="B122" s="131"/>
      <c r="C122" s="131"/>
      <c r="D122" s="131"/>
      <c r="E122" s="131"/>
      <c r="F122" s="131"/>
      <c r="G122" s="131"/>
      <c r="H122" s="121"/>
      <c r="I122" s="121"/>
      <c r="J122" s="121"/>
      <c r="K122" s="121"/>
      <c r="L122" s="121"/>
      <c r="M122" s="121"/>
      <c r="N122" s="121"/>
      <c r="O122" s="121"/>
      <c r="P122" s="121"/>
      <c r="Q122" s="121"/>
      <c r="R122" s="121"/>
      <c r="S122" s="121"/>
      <c r="T122" s="121"/>
      <c r="U122" s="121"/>
      <c r="V122" s="121"/>
      <c r="W122" s="121"/>
      <c r="X122" s="121"/>
      <c r="Y122" s="121"/>
      <c r="Z122" s="121"/>
      <c r="AA122" s="121"/>
      <c r="AB122" s="121"/>
    </row>
    <row r="123">
      <c r="A123" s="131"/>
      <c r="B123" s="131"/>
      <c r="C123" s="131"/>
      <c r="D123" s="131"/>
      <c r="E123" s="131"/>
      <c r="F123" s="131"/>
      <c r="G123" s="131"/>
      <c r="H123" s="121"/>
      <c r="I123" s="121"/>
      <c r="J123" s="121"/>
      <c r="K123" s="121"/>
      <c r="L123" s="121"/>
      <c r="M123" s="121"/>
      <c r="N123" s="121"/>
      <c r="O123" s="121"/>
      <c r="P123" s="121"/>
      <c r="Q123" s="121"/>
      <c r="R123" s="121"/>
      <c r="S123" s="121"/>
      <c r="T123" s="121"/>
      <c r="U123" s="121"/>
      <c r="V123" s="121"/>
      <c r="W123" s="121"/>
      <c r="X123" s="121"/>
      <c r="Y123" s="121"/>
      <c r="Z123" s="121"/>
      <c r="AA123" s="121"/>
      <c r="AB123" s="121"/>
    </row>
    <row r="124">
      <c r="A124" s="131"/>
      <c r="B124" s="131"/>
      <c r="C124" s="131"/>
      <c r="D124" s="131"/>
      <c r="E124" s="131"/>
      <c r="F124" s="131"/>
      <c r="G124" s="131"/>
      <c r="H124" s="121"/>
      <c r="I124" s="121"/>
      <c r="J124" s="121"/>
      <c r="K124" s="121"/>
      <c r="L124" s="121"/>
      <c r="M124" s="121"/>
      <c r="N124" s="121"/>
      <c r="O124" s="121"/>
      <c r="P124" s="121"/>
      <c r="Q124" s="121"/>
      <c r="R124" s="121"/>
      <c r="S124" s="121"/>
      <c r="T124" s="121"/>
      <c r="U124" s="121"/>
      <c r="V124" s="121"/>
      <c r="W124" s="121"/>
      <c r="X124" s="121"/>
      <c r="Y124" s="121"/>
      <c r="Z124" s="121"/>
      <c r="AA124" s="121"/>
      <c r="AB124" s="121"/>
    </row>
    <row r="125">
      <c r="A125" s="131"/>
      <c r="B125" s="131"/>
      <c r="C125" s="131"/>
      <c r="D125" s="131"/>
      <c r="E125" s="131"/>
      <c r="F125" s="131"/>
      <c r="G125" s="131"/>
      <c r="H125" s="121"/>
      <c r="I125" s="121"/>
      <c r="J125" s="121"/>
      <c r="K125" s="121"/>
      <c r="L125" s="121"/>
      <c r="M125" s="121"/>
      <c r="N125" s="121"/>
      <c r="O125" s="121"/>
      <c r="P125" s="121"/>
      <c r="Q125" s="121"/>
      <c r="R125" s="121"/>
      <c r="S125" s="121"/>
      <c r="T125" s="121"/>
      <c r="U125" s="121"/>
      <c r="V125" s="121"/>
      <c r="W125" s="121"/>
      <c r="X125" s="121"/>
      <c r="Y125" s="121"/>
      <c r="Z125" s="121"/>
      <c r="AA125" s="121"/>
      <c r="AB125" s="121"/>
    </row>
    <row r="126">
      <c r="A126" s="131"/>
      <c r="B126" s="131"/>
      <c r="C126" s="131"/>
      <c r="D126" s="131"/>
      <c r="E126" s="131"/>
      <c r="F126" s="131"/>
      <c r="G126" s="131"/>
      <c r="H126" s="121"/>
      <c r="I126" s="121"/>
      <c r="J126" s="121"/>
      <c r="K126" s="121"/>
      <c r="L126" s="121"/>
      <c r="M126" s="121"/>
      <c r="N126" s="121"/>
      <c r="O126" s="121"/>
      <c r="P126" s="121"/>
      <c r="Q126" s="121"/>
      <c r="R126" s="121"/>
      <c r="S126" s="121"/>
      <c r="T126" s="121"/>
      <c r="U126" s="121"/>
      <c r="V126" s="121"/>
      <c r="W126" s="121"/>
      <c r="X126" s="121"/>
      <c r="Y126" s="121"/>
      <c r="Z126" s="121"/>
      <c r="AA126" s="121"/>
      <c r="AB126" s="121"/>
    </row>
    <row r="127">
      <c r="A127" s="131"/>
      <c r="B127" s="131"/>
      <c r="C127" s="131"/>
      <c r="D127" s="131"/>
      <c r="E127" s="131"/>
      <c r="F127" s="131"/>
      <c r="G127" s="131"/>
      <c r="H127" s="121"/>
      <c r="I127" s="121"/>
      <c r="J127" s="121"/>
      <c r="K127" s="121"/>
      <c r="L127" s="121"/>
      <c r="M127" s="121"/>
      <c r="N127" s="121"/>
      <c r="O127" s="121"/>
      <c r="P127" s="121"/>
      <c r="Q127" s="121"/>
      <c r="R127" s="121"/>
      <c r="S127" s="121"/>
      <c r="T127" s="121"/>
      <c r="U127" s="121"/>
      <c r="V127" s="121"/>
      <c r="W127" s="121"/>
      <c r="X127" s="121"/>
      <c r="Y127" s="121"/>
      <c r="Z127" s="121"/>
      <c r="AA127" s="121"/>
      <c r="AB127" s="121"/>
    </row>
    <row r="128">
      <c r="A128" s="131"/>
      <c r="B128" s="131"/>
      <c r="C128" s="131"/>
      <c r="D128" s="131"/>
      <c r="E128" s="131"/>
      <c r="F128" s="131"/>
      <c r="G128" s="131"/>
      <c r="H128" s="121"/>
      <c r="I128" s="121"/>
      <c r="J128" s="121"/>
      <c r="K128" s="121"/>
      <c r="L128" s="121"/>
      <c r="M128" s="121"/>
      <c r="N128" s="121"/>
      <c r="O128" s="121"/>
      <c r="P128" s="121"/>
      <c r="Q128" s="121"/>
      <c r="R128" s="121"/>
      <c r="S128" s="121"/>
      <c r="T128" s="121"/>
      <c r="U128" s="121"/>
      <c r="V128" s="121"/>
      <c r="W128" s="121"/>
      <c r="X128" s="121"/>
      <c r="Y128" s="121"/>
      <c r="Z128" s="121"/>
      <c r="AA128" s="121"/>
      <c r="AB128" s="121"/>
    </row>
    <row r="129">
      <c r="A129" s="131"/>
      <c r="B129" s="131"/>
      <c r="C129" s="131"/>
      <c r="D129" s="131"/>
      <c r="E129" s="131"/>
      <c r="F129" s="131"/>
      <c r="G129" s="131"/>
      <c r="H129" s="121"/>
      <c r="I129" s="121"/>
      <c r="J129" s="121"/>
      <c r="K129" s="121"/>
      <c r="L129" s="121"/>
      <c r="M129" s="121"/>
      <c r="N129" s="121"/>
      <c r="O129" s="121"/>
      <c r="P129" s="121"/>
      <c r="Q129" s="121"/>
      <c r="R129" s="121"/>
      <c r="S129" s="121"/>
      <c r="T129" s="121"/>
      <c r="U129" s="121"/>
      <c r="V129" s="121"/>
      <c r="W129" s="121"/>
      <c r="X129" s="121"/>
      <c r="Y129" s="121"/>
      <c r="Z129" s="121"/>
      <c r="AA129" s="121"/>
      <c r="AB129" s="121"/>
    </row>
    <row r="130">
      <c r="A130" s="131"/>
      <c r="B130" s="131"/>
      <c r="C130" s="131"/>
      <c r="D130" s="131"/>
      <c r="E130" s="131"/>
      <c r="F130" s="131"/>
      <c r="G130" s="131"/>
      <c r="H130" s="121"/>
      <c r="I130" s="121"/>
      <c r="J130" s="121"/>
      <c r="K130" s="121"/>
      <c r="L130" s="121"/>
      <c r="M130" s="121"/>
      <c r="N130" s="121"/>
      <c r="O130" s="121"/>
      <c r="P130" s="121"/>
      <c r="Q130" s="121"/>
      <c r="R130" s="121"/>
      <c r="S130" s="121"/>
      <c r="T130" s="121"/>
      <c r="U130" s="121"/>
      <c r="V130" s="121"/>
      <c r="W130" s="121"/>
      <c r="X130" s="121"/>
      <c r="Y130" s="121"/>
      <c r="Z130" s="121"/>
      <c r="AA130" s="121"/>
      <c r="AB130" s="121"/>
    </row>
    <row r="131">
      <c r="A131" s="131"/>
      <c r="B131" s="131"/>
      <c r="C131" s="131"/>
      <c r="D131" s="131"/>
      <c r="E131" s="131"/>
      <c r="F131" s="131"/>
      <c r="G131" s="131"/>
      <c r="H131" s="121"/>
      <c r="I131" s="121"/>
      <c r="J131" s="121"/>
      <c r="K131" s="121"/>
      <c r="L131" s="121"/>
      <c r="M131" s="121"/>
      <c r="N131" s="121"/>
      <c r="O131" s="121"/>
      <c r="P131" s="121"/>
      <c r="Q131" s="121"/>
      <c r="R131" s="121"/>
      <c r="S131" s="121"/>
      <c r="T131" s="121"/>
      <c r="U131" s="121"/>
      <c r="V131" s="121"/>
      <c r="W131" s="121"/>
      <c r="X131" s="121"/>
      <c r="Y131" s="121"/>
      <c r="Z131" s="121"/>
      <c r="AA131" s="121"/>
      <c r="AB131" s="121"/>
    </row>
    <row r="132">
      <c r="A132" s="131"/>
      <c r="B132" s="131"/>
      <c r="C132" s="131"/>
      <c r="D132" s="131"/>
      <c r="E132" s="131"/>
      <c r="F132" s="131"/>
      <c r="G132" s="131"/>
      <c r="H132" s="121"/>
      <c r="I132" s="121"/>
      <c r="J132" s="121"/>
      <c r="K132" s="121"/>
      <c r="L132" s="121"/>
      <c r="M132" s="121"/>
      <c r="N132" s="121"/>
      <c r="O132" s="121"/>
      <c r="P132" s="121"/>
      <c r="Q132" s="121"/>
      <c r="R132" s="121"/>
      <c r="S132" s="121"/>
      <c r="T132" s="121"/>
      <c r="U132" s="121"/>
      <c r="V132" s="121"/>
      <c r="W132" s="121"/>
      <c r="X132" s="121"/>
      <c r="Y132" s="121"/>
      <c r="Z132" s="121"/>
      <c r="AA132" s="121"/>
      <c r="AB132" s="121"/>
    </row>
    <row r="133">
      <c r="A133" s="131"/>
      <c r="B133" s="131"/>
      <c r="C133" s="131"/>
      <c r="D133" s="131"/>
      <c r="E133" s="131"/>
      <c r="F133" s="131"/>
      <c r="G133" s="131"/>
      <c r="H133" s="121"/>
      <c r="I133" s="121"/>
      <c r="J133" s="121"/>
      <c r="K133" s="121"/>
      <c r="L133" s="121"/>
      <c r="M133" s="121"/>
      <c r="N133" s="121"/>
      <c r="O133" s="121"/>
      <c r="P133" s="121"/>
      <c r="Q133" s="121"/>
      <c r="R133" s="121"/>
      <c r="S133" s="121"/>
      <c r="T133" s="121"/>
      <c r="U133" s="121"/>
      <c r="V133" s="121"/>
      <c r="W133" s="121"/>
      <c r="X133" s="121"/>
      <c r="Y133" s="121"/>
      <c r="Z133" s="121"/>
      <c r="AA133" s="121"/>
      <c r="AB133" s="121"/>
    </row>
    <row r="134">
      <c r="A134" s="131"/>
      <c r="B134" s="131"/>
      <c r="C134" s="131"/>
      <c r="D134" s="131"/>
      <c r="E134" s="131"/>
      <c r="F134" s="131"/>
      <c r="G134" s="131"/>
      <c r="H134" s="121"/>
      <c r="I134" s="121"/>
      <c r="J134" s="121"/>
      <c r="K134" s="121"/>
      <c r="L134" s="121"/>
      <c r="M134" s="121"/>
      <c r="N134" s="121"/>
      <c r="O134" s="121"/>
      <c r="P134" s="121"/>
      <c r="Q134" s="121"/>
      <c r="R134" s="121"/>
      <c r="S134" s="121"/>
      <c r="T134" s="121"/>
      <c r="U134" s="121"/>
      <c r="V134" s="121"/>
      <c r="W134" s="121"/>
      <c r="X134" s="121"/>
      <c r="Y134" s="121"/>
      <c r="Z134" s="121"/>
      <c r="AA134" s="121"/>
      <c r="AB134" s="121"/>
    </row>
    <row r="135">
      <c r="A135" s="131"/>
      <c r="B135" s="131"/>
      <c r="C135" s="131"/>
      <c r="D135" s="131"/>
      <c r="E135" s="131"/>
      <c r="F135" s="131"/>
      <c r="G135" s="131"/>
      <c r="H135" s="121"/>
      <c r="I135" s="121"/>
      <c r="J135" s="121"/>
      <c r="K135" s="121"/>
      <c r="L135" s="121"/>
      <c r="M135" s="121"/>
      <c r="N135" s="121"/>
      <c r="O135" s="121"/>
      <c r="P135" s="121"/>
      <c r="Q135" s="121"/>
      <c r="R135" s="121"/>
      <c r="S135" s="121"/>
      <c r="T135" s="121"/>
      <c r="U135" s="121"/>
      <c r="V135" s="121"/>
      <c r="W135" s="121"/>
      <c r="X135" s="121"/>
      <c r="Y135" s="121"/>
      <c r="Z135" s="121"/>
      <c r="AA135" s="121"/>
      <c r="AB135" s="121"/>
    </row>
    <row r="136">
      <c r="A136" s="131"/>
      <c r="B136" s="131"/>
      <c r="C136" s="131"/>
      <c r="D136" s="131"/>
      <c r="E136" s="131"/>
      <c r="F136" s="131"/>
      <c r="G136" s="131"/>
      <c r="H136" s="121"/>
      <c r="I136" s="121"/>
      <c r="J136" s="121"/>
      <c r="K136" s="121"/>
      <c r="L136" s="121"/>
      <c r="M136" s="121"/>
      <c r="N136" s="121"/>
      <c r="O136" s="121"/>
      <c r="P136" s="121"/>
      <c r="Q136" s="121"/>
      <c r="R136" s="121"/>
      <c r="S136" s="121"/>
      <c r="T136" s="121"/>
      <c r="U136" s="121"/>
      <c r="V136" s="121"/>
      <c r="W136" s="121"/>
      <c r="X136" s="121"/>
      <c r="Y136" s="121"/>
      <c r="Z136" s="121"/>
      <c r="AA136" s="121"/>
      <c r="AB136" s="121"/>
    </row>
    <row r="137">
      <c r="A137" s="131"/>
      <c r="B137" s="131"/>
      <c r="C137" s="131"/>
      <c r="D137" s="131"/>
      <c r="E137" s="131"/>
      <c r="F137" s="131"/>
      <c r="G137" s="131"/>
      <c r="H137" s="121"/>
      <c r="I137" s="121"/>
      <c r="J137" s="121"/>
      <c r="K137" s="121"/>
      <c r="L137" s="121"/>
      <c r="M137" s="121"/>
      <c r="N137" s="121"/>
      <c r="O137" s="121"/>
      <c r="P137" s="121"/>
      <c r="Q137" s="121"/>
      <c r="R137" s="121"/>
      <c r="S137" s="121"/>
      <c r="T137" s="121"/>
      <c r="U137" s="121"/>
      <c r="V137" s="121"/>
      <c r="W137" s="121"/>
      <c r="X137" s="121"/>
      <c r="Y137" s="121"/>
      <c r="Z137" s="121"/>
      <c r="AA137" s="121"/>
      <c r="AB137" s="121"/>
    </row>
    <row r="138">
      <c r="A138" s="131"/>
      <c r="B138" s="131"/>
      <c r="C138" s="131"/>
      <c r="D138" s="131"/>
      <c r="E138" s="131"/>
      <c r="F138" s="131"/>
      <c r="G138" s="131"/>
      <c r="H138" s="121"/>
      <c r="I138" s="121"/>
      <c r="J138" s="121"/>
      <c r="K138" s="121"/>
      <c r="L138" s="121"/>
      <c r="M138" s="121"/>
      <c r="N138" s="121"/>
      <c r="O138" s="121"/>
      <c r="P138" s="121"/>
      <c r="Q138" s="121"/>
      <c r="R138" s="121"/>
      <c r="S138" s="121"/>
      <c r="T138" s="121"/>
      <c r="U138" s="121"/>
      <c r="V138" s="121"/>
      <c r="W138" s="121"/>
      <c r="X138" s="121"/>
      <c r="Y138" s="121"/>
      <c r="Z138" s="121"/>
      <c r="AA138" s="121"/>
      <c r="AB138" s="121"/>
    </row>
    <row r="139">
      <c r="A139" s="131"/>
      <c r="B139" s="131"/>
      <c r="C139" s="131"/>
      <c r="D139" s="131"/>
      <c r="E139" s="131"/>
      <c r="F139" s="131"/>
      <c r="G139" s="131"/>
      <c r="H139" s="121"/>
      <c r="I139" s="121"/>
      <c r="J139" s="121"/>
      <c r="K139" s="121"/>
      <c r="L139" s="121"/>
      <c r="M139" s="121"/>
      <c r="N139" s="121"/>
      <c r="O139" s="121"/>
      <c r="P139" s="121"/>
      <c r="Q139" s="121"/>
      <c r="R139" s="121"/>
      <c r="S139" s="121"/>
      <c r="T139" s="121"/>
      <c r="U139" s="121"/>
      <c r="V139" s="121"/>
      <c r="W139" s="121"/>
      <c r="X139" s="121"/>
      <c r="Y139" s="121"/>
      <c r="Z139" s="121"/>
      <c r="AA139" s="121"/>
      <c r="AB139" s="121"/>
    </row>
    <row r="140">
      <c r="A140" s="131"/>
      <c r="B140" s="131"/>
      <c r="C140" s="131"/>
      <c r="D140" s="131"/>
      <c r="E140" s="131"/>
      <c r="F140" s="131"/>
      <c r="G140" s="131"/>
      <c r="H140" s="121"/>
      <c r="I140" s="121"/>
      <c r="J140" s="121"/>
      <c r="K140" s="121"/>
      <c r="L140" s="121"/>
      <c r="M140" s="121"/>
      <c r="N140" s="121"/>
      <c r="O140" s="121"/>
      <c r="P140" s="121"/>
      <c r="Q140" s="121"/>
      <c r="R140" s="121"/>
      <c r="S140" s="121"/>
      <c r="T140" s="121"/>
      <c r="U140" s="121"/>
      <c r="V140" s="121"/>
      <c r="W140" s="121"/>
      <c r="X140" s="121"/>
      <c r="Y140" s="121"/>
      <c r="Z140" s="121"/>
      <c r="AA140" s="121"/>
      <c r="AB140" s="121"/>
    </row>
    <row r="141">
      <c r="A141" s="131"/>
      <c r="B141" s="131"/>
      <c r="C141" s="131"/>
      <c r="D141" s="131"/>
      <c r="E141" s="131"/>
      <c r="F141" s="131"/>
      <c r="G141" s="131"/>
      <c r="H141" s="121"/>
      <c r="I141" s="121"/>
      <c r="J141" s="121"/>
      <c r="K141" s="121"/>
      <c r="L141" s="121"/>
      <c r="M141" s="121"/>
      <c r="N141" s="121"/>
      <c r="O141" s="121"/>
      <c r="P141" s="121"/>
      <c r="Q141" s="121"/>
      <c r="R141" s="121"/>
      <c r="S141" s="121"/>
      <c r="T141" s="121"/>
      <c r="U141" s="121"/>
      <c r="V141" s="121"/>
      <c r="W141" s="121"/>
      <c r="X141" s="121"/>
      <c r="Y141" s="121"/>
      <c r="Z141" s="121"/>
      <c r="AA141" s="121"/>
      <c r="AB141" s="121"/>
    </row>
    <row r="142">
      <c r="A142" s="131"/>
      <c r="B142" s="131"/>
      <c r="C142" s="131"/>
      <c r="D142" s="131"/>
      <c r="E142" s="131"/>
      <c r="F142" s="131"/>
      <c r="G142" s="131"/>
      <c r="H142" s="121"/>
      <c r="I142" s="121"/>
      <c r="J142" s="121"/>
      <c r="K142" s="121"/>
      <c r="L142" s="121"/>
      <c r="M142" s="121"/>
      <c r="N142" s="121"/>
      <c r="O142" s="121"/>
      <c r="P142" s="121"/>
      <c r="Q142" s="121"/>
      <c r="R142" s="121"/>
      <c r="S142" s="121"/>
      <c r="T142" s="121"/>
      <c r="U142" s="121"/>
      <c r="V142" s="121"/>
      <c r="W142" s="121"/>
      <c r="X142" s="121"/>
      <c r="Y142" s="121"/>
      <c r="Z142" s="121"/>
      <c r="AA142" s="121"/>
      <c r="AB142" s="121"/>
    </row>
    <row r="143">
      <c r="A143" s="131"/>
      <c r="B143" s="131"/>
      <c r="C143" s="131"/>
      <c r="D143" s="131"/>
      <c r="E143" s="131"/>
      <c r="F143" s="131"/>
      <c r="G143" s="131"/>
      <c r="H143" s="121"/>
      <c r="I143" s="121"/>
      <c r="J143" s="121"/>
      <c r="K143" s="121"/>
      <c r="L143" s="121"/>
      <c r="M143" s="121"/>
      <c r="N143" s="121"/>
      <c r="O143" s="121"/>
      <c r="P143" s="121"/>
      <c r="Q143" s="121"/>
      <c r="R143" s="121"/>
      <c r="S143" s="121"/>
      <c r="T143" s="121"/>
      <c r="U143" s="121"/>
      <c r="V143" s="121"/>
      <c r="W143" s="121"/>
      <c r="X143" s="121"/>
      <c r="Y143" s="121"/>
      <c r="Z143" s="121"/>
      <c r="AA143" s="121"/>
      <c r="AB143" s="121"/>
    </row>
    <row r="144">
      <c r="A144" s="131"/>
      <c r="B144" s="131"/>
      <c r="C144" s="131"/>
      <c r="D144" s="131"/>
      <c r="E144" s="131"/>
      <c r="F144" s="131"/>
      <c r="G144" s="131"/>
      <c r="H144" s="121"/>
      <c r="I144" s="121"/>
      <c r="J144" s="121"/>
      <c r="K144" s="121"/>
      <c r="L144" s="121"/>
      <c r="M144" s="121"/>
      <c r="N144" s="121"/>
      <c r="O144" s="121"/>
      <c r="P144" s="121"/>
      <c r="Q144" s="121"/>
      <c r="R144" s="121"/>
      <c r="S144" s="121"/>
      <c r="T144" s="121"/>
      <c r="U144" s="121"/>
      <c r="V144" s="121"/>
      <c r="W144" s="121"/>
      <c r="X144" s="121"/>
      <c r="Y144" s="121"/>
      <c r="Z144" s="121"/>
      <c r="AA144" s="121"/>
      <c r="AB144" s="121"/>
    </row>
    <row r="145">
      <c r="A145" s="131"/>
      <c r="B145" s="131"/>
      <c r="C145" s="131"/>
      <c r="D145" s="131"/>
      <c r="E145" s="131"/>
      <c r="F145" s="131"/>
      <c r="G145" s="131"/>
      <c r="H145" s="121"/>
      <c r="I145" s="121"/>
      <c r="J145" s="121"/>
      <c r="K145" s="121"/>
      <c r="L145" s="121"/>
      <c r="M145" s="121"/>
      <c r="N145" s="121"/>
      <c r="O145" s="121"/>
      <c r="P145" s="121"/>
      <c r="Q145" s="121"/>
      <c r="R145" s="121"/>
      <c r="S145" s="121"/>
      <c r="T145" s="121"/>
      <c r="U145" s="121"/>
      <c r="V145" s="121"/>
      <c r="W145" s="121"/>
      <c r="X145" s="121"/>
      <c r="Y145" s="121"/>
      <c r="Z145" s="121"/>
      <c r="AA145" s="121"/>
      <c r="AB145" s="121"/>
    </row>
    <row r="146">
      <c r="A146" s="131"/>
      <c r="B146" s="131"/>
      <c r="C146" s="131"/>
      <c r="D146" s="131"/>
      <c r="E146" s="131"/>
      <c r="F146" s="131"/>
      <c r="G146" s="131"/>
      <c r="H146" s="121"/>
      <c r="I146" s="121"/>
      <c r="J146" s="121"/>
      <c r="K146" s="121"/>
      <c r="L146" s="121"/>
      <c r="M146" s="121"/>
      <c r="N146" s="121"/>
      <c r="O146" s="121"/>
      <c r="P146" s="121"/>
      <c r="Q146" s="121"/>
      <c r="R146" s="121"/>
      <c r="S146" s="121"/>
      <c r="T146" s="121"/>
      <c r="U146" s="121"/>
      <c r="V146" s="121"/>
      <c r="W146" s="121"/>
      <c r="X146" s="121"/>
      <c r="Y146" s="121"/>
      <c r="Z146" s="121"/>
      <c r="AA146" s="121"/>
      <c r="AB146" s="121"/>
    </row>
    <row r="147">
      <c r="A147" s="131"/>
      <c r="B147" s="131"/>
      <c r="C147" s="131"/>
      <c r="D147" s="131"/>
      <c r="E147" s="131"/>
      <c r="F147" s="131"/>
      <c r="G147" s="131"/>
      <c r="H147" s="121"/>
      <c r="I147" s="121"/>
      <c r="J147" s="121"/>
      <c r="K147" s="121"/>
      <c r="L147" s="121"/>
      <c r="M147" s="121"/>
      <c r="N147" s="121"/>
      <c r="O147" s="121"/>
      <c r="P147" s="121"/>
      <c r="Q147" s="121"/>
      <c r="R147" s="121"/>
      <c r="S147" s="121"/>
      <c r="T147" s="121"/>
      <c r="U147" s="121"/>
      <c r="V147" s="121"/>
      <c r="W147" s="121"/>
      <c r="X147" s="121"/>
      <c r="Y147" s="121"/>
      <c r="Z147" s="121"/>
      <c r="AA147" s="121"/>
      <c r="AB147" s="121"/>
    </row>
    <row r="148">
      <c r="A148" s="131"/>
      <c r="B148" s="131"/>
      <c r="C148" s="131"/>
      <c r="D148" s="131"/>
      <c r="E148" s="131"/>
      <c r="F148" s="131"/>
      <c r="G148" s="131"/>
      <c r="H148" s="121"/>
      <c r="I148" s="121"/>
      <c r="J148" s="121"/>
      <c r="K148" s="121"/>
      <c r="L148" s="121"/>
      <c r="M148" s="121"/>
      <c r="N148" s="121"/>
      <c r="O148" s="121"/>
      <c r="P148" s="121"/>
      <c r="Q148" s="121"/>
      <c r="R148" s="121"/>
      <c r="S148" s="121"/>
      <c r="T148" s="121"/>
      <c r="U148" s="121"/>
      <c r="V148" s="121"/>
      <c r="W148" s="121"/>
      <c r="X148" s="121"/>
      <c r="Y148" s="121"/>
      <c r="Z148" s="121"/>
      <c r="AA148" s="121"/>
      <c r="AB148" s="121"/>
    </row>
    <row r="149">
      <c r="A149" s="131"/>
      <c r="B149" s="131"/>
      <c r="C149" s="131"/>
      <c r="D149" s="131"/>
      <c r="E149" s="131"/>
      <c r="F149" s="131"/>
      <c r="G149" s="131"/>
      <c r="H149" s="121"/>
      <c r="I149" s="121"/>
      <c r="J149" s="121"/>
      <c r="K149" s="121"/>
      <c r="L149" s="121"/>
      <c r="M149" s="121"/>
      <c r="N149" s="121"/>
      <c r="O149" s="121"/>
      <c r="P149" s="121"/>
      <c r="Q149" s="121"/>
      <c r="R149" s="121"/>
      <c r="S149" s="121"/>
      <c r="T149" s="121"/>
      <c r="U149" s="121"/>
      <c r="V149" s="121"/>
      <c r="W149" s="121"/>
      <c r="X149" s="121"/>
      <c r="Y149" s="121"/>
      <c r="Z149" s="121"/>
      <c r="AA149" s="121"/>
      <c r="AB149" s="121"/>
    </row>
    <row r="150">
      <c r="A150" s="131"/>
      <c r="B150" s="131"/>
      <c r="C150" s="131"/>
      <c r="D150" s="131"/>
      <c r="E150" s="131"/>
      <c r="F150" s="131"/>
      <c r="G150" s="131"/>
      <c r="H150" s="121"/>
      <c r="I150" s="121"/>
      <c r="J150" s="121"/>
      <c r="K150" s="121"/>
      <c r="L150" s="121"/>
      <c r="M150" s="121"/>
      <c r="N150" s="121"/>
      <c r="O150" s="121"/>
      <c r="P150" s="121"/>
      <c r="Q150" s="121"/>
      <c r="R150" s="121"/>
      <c r="S150" s="121"/>
      <c r="T150" s="121"/>
      <c r="U150" s="121"/>
      <c r="V150" s="121"/>
      <c r="W150" s="121"/>
      <c r="X150" s="121"/>
      <c r="Y150" s="121"/>
      <c r="Z150" s="121"/>
      <c r="AA150" s="121"/>
      <c r="AB150" s="121"/>
    </row>
    <row r="151">
      <c r="A151" s="131"/>
      <c r="B151" s="131"/>
      <c r="C151" s="131"/>
      <c r="D151" s="131"/>
      <c r="E151" s="131"/>
      <c r="F151" s="131"/>
      <c r="G151" s="131"/>
      <c r="H151" s="121"/>
      <c r="I151" s="121"/>
      <c r="J151" s="121"/>
      <c r="K151" s="121"/>
      <c r="L151" s="121"/>
      <c r="M151" s="121"/>
      <c r="N151" s="121"/>
      <c r="O151" s="121"/>
      <c r="P151" s="121"/>
      <c r="Q151" s="121"/>
      <c r="R151" s="121"/>
      <c r="S151" s="121"/>
      <c r="T151" s="121"/>
      <c r="U151" s="121"/>
      <c r="V151" s="121"/>
      <c r="W151" s="121"/>
      <c r="X151" s="121"/>
      <c r="Y151" s="121"/>
      <c r="Z151" s="121"/>
      <c r="AA151" s="121"/>
      <c r="AB151" s="121"/>
    </row>
    <row r="152">
      <c r="A152" s="131"/>
      <c r="B152" s="131"/>
      <c r="C152" s="131"/>
      <c r="D152" s="131"/>
      <c r="E152" s="131"/>
      <c r="F152" s="131"/>
      <c r="G152" s="131"/>
      <c r="H152" s="121"/>
      <c r="I152" s="121"/>
      <c r="J152" s="121"/>
      <c r="K152" s="121"/>
      <c r="L152" s="121"/>
      <c r="M152" s="121"/>
      <c r="N152" s="121"/>
      <c r="O152" s="121"/>
      <c r="P152" s="121"/>
      <c r="Q152" s="121"/>
      <c r="R152" s="121"/>
      <c r="S152" s="121"/>
      <c r="T152" s="121"/>
      <c r="U152" s="121"/>
      <c r="V152" s="121"/>
      <c r="W152" s="121"/>
      <c r="X152" s="121"/>
      <c r="Y152" s="121"/>
      <c r="Z152" s="121"/>
      <c r="AA152" s="121"/>
      <c r="AB152" s="121"/>
    </row>
    <row r="153">
      <c r="A153" s="131"/>
      <c r="B153" s="131"/>
      <c r="C153" s="131"/>
      <c r="D153" s="131"/>
      <c r="E153" s="131"/>
      <c r="F153" s="131"/>
      <c r="G153" s="131"/>
      <c r="H153" s="121"/>
      <c r="I153" s="121"/>
      <c r="J153" s="121"/>
      <c r="K153" s="121"/>
      <c r="L153" s="121"/>
      <c r="M153" s="121"/>
      <c r="N153" s="121"/>
      <c r="O153" s="121"/>
      <c r="P153" s="121"/>
      <c r="Q153" s="121"/>
      <c r="R153" s="121"/>
      <c r="S153" s="121"/>
      <c r="T153" s="121"/>
      <c r="U153" s="121"/>
      <c r="V153" s="121"/>
      <c r="W153" s="121"/>
      <c r="X153" s="121"/>
      <c r="Y153" s="121"/>
      <c r="Z153" s="121"/>
      <c r="AA153" s="121"/>
      <c r="AB153" s="121"/>
    </row>
    <row r="154">
      <c r="A154" s="131"/>
      <c r="B154" s="131"/>
      <c r="C154" s="131"/>
      <c r="D154" s="131"/>
      <c r="E154" s="131"/>
      <c r="F154" s="131"/>
      <c r="G154" s="131"/>
      <c r="H154" s="121"/>
      <c r="I154" s="121"/>
      <c r="J154" s="121"/>
      <c r="K154" s="121"/>
      <c r="L154" s="121"/>
      <c r="M154" s="121"/>
      <c r="N154" s="121"/>
      <c r="O154" s="121"/>
      <c r="P154" s="121"/>
      <c r="Q154" s="121"/>
      <c r="R154" s="121"/>
      <c r="S154" s="121"/>
      <c r="T154" s="121"/>
      <c r="U154" s="121"/>
      <c r="V154" s="121"/>
      <c r="W154" s="121"/>
      <c r="X154" s="121"/>
      <c r="Y154" s="121"/>
      <c r="Z154" s="121"/>
      <c r="AA154" s="121"/>
      <c r="AB154" s="121"/>
    </row>
    <row r="155">
      <c r="A155" s="131"/>
      <c r="B155" s="131"/>
      <c r="C155" s="131"/>
      <c r="D155" s="131"/>
      <c r="E155" s="131"/>
      <c r="F155" s="131"/>
      <c r="G155" s="131"/>
      <c r="H155" s="121"/>
      <c r="I155" s="121"/>
      <c r="J155" s="121"/>
      <c r="K155" s="121"/>
      <c r="L155" s="121"/>
      <c r="M155" s="121"/>
      <c r="N155" s="121"/>
      <c r="O155" s="121"/>
      <c r="P155" s="121"/>
      <c r="Q155" s="121"/>
      <c r="R155" s="121"/>
      <c r="S155" s="121"/>
      <c r="T155" s="121"/>
      <c r="U155" s="121"/>
      <c r="V155" s="121"/>
      <c r="W155" s="121"/>
      <c r="X155" s="121"/>
      <c r="Y155" s="121"/>
      <c r="Z155" s="121"/>
      <c r="AA155" s="121"/>
      <c r="AB155" s="121"/>
    </row>
    <row r="156">
      <c r="A156" s="131"/>
      <c r="B156" s="131"/>
      <c r="C156" s="131"/>
      <c r="D156" s="131"/>
      <c r="E156" s="131"/>
      <c r="F156" s="131"/>
      <c r="G156" s="131"/>
      <c r="H156" s="121"/>
      <c r="I156" s="121"/>
      <c r="J156" s="121"/>
      <c r="K156" s="121"/>
      <c r="L156" s="121"/>
      <c r="M156" s="121"/>
      <c r="N156" s="121"/>
      <c r="O156" s="121"/>
      <c r="P156" s="121"/>
      <c r="Q156" s="121"/>
      <c r="R156" s="121"/>
      <c r="S156" s="121"/>
      <c r="T156" s="121"/>
      <c r="U156" s="121"/>
      <c r="V156" s="121"/>
      <c r="W156" s="121"/>
      <c r="X156" s="121"/>
      <c r="Y156" s="121"/>
      <c r="Z156" s="121"/>
      <c r="AA156" s="121"/>
      <c r="AB156" s="121"/>
    </row>
    <row r="157">
      <c r="A157" s="131"/>
      <c r="B157" s="131"/>
      <c r="C157" s="131"/>
      <c r="D157" s="131"/>
      <c r="E157" s="131"/>
      <c r="F157" s="131"/>
      <c r="G157" s="131"/>
      <c r="H157" s="121"/>
      <c r="I157" s="121"/>
      <c r="J157" s="121"/>
      <c r="K157" s="121"/>
      <c r="L157" s="121"/>
      <c r="M157" s="121"/>
      <c r="N157" s="121"/>
      <c r="O157" s="121"/>
      <c r="P157" s="121"/>
      <c r="Q157" s="121"/>
      <c r="R157" s="121"/>
      <c r="S157" s="121"/>
      <c r="T157" s="121"/>
      <c r="U157" s="121"/>
      <c r="V157" s="121"/>
      <c r="W157" s="121"/>
      <c r="X157" s="121"/>
      <c r="Y157" s="121"/>
      <c r="Z157" s="121"/>
      <c r="AA157" s="121"/>
      <c r="AB157" s="121"/>
    </row>
    <row r="158">
      <c r="A158" s="131"/>
      <c r="B158" s="131"/>
      <c r="C158" s="131"/>
      <c r="D158" s="131"/>
      <c r="E158" s="131"/>
      <c r="F158" s="131"/>
      <c r="G158" s="131"/>
      <c r="H158" s="121"/>
      <c r="I158" s="121"/>
      <c r="J158" s="121"/>
      <c r="K158" s="121"/>
      <c r="L158" s="121"/>
      <c r="M158" s="121"/>
      <c r="N158" s="121"/>
      <c r="O158" s="121"/>
      <c r="P158" s="121"/>
      <c r="Q158" s="121"/>
      <c r="R158" s="121"/>
      <c r="S158" s="121"/>
      <c r="T158" s="121"/>
      <c r="U158" s="121"/>
      <c r="V158" s="121"/>
      <c r="W158" s="121"/>
      <c r="X158" s="121"/>
      <c r="Y158" s="121"/>
      <c r="Z158" s="121"/>
      <c r="AA158" s="121"/>
      <c r="AB158" s="121"/>
    </row>
    <row r="159">
      <c r="A159" s="131"/>
      <c r="B159" s="131"/>
      <c r="C159" s="131"/>
      <c r="D159" s="131"/>
      <c r="E159" s="131"/>
      <c r="F159" s="131"/>
      <c r="G159" s="131"/>
      <c r="H159" s="121"/>
      <c r="I159" s="121"/>
      <c r="J159" s="121"/>
      <c r="K159" s="121"/>
      <c r="L159" s="121"/>
      <c r="M159" s="121"/>
      <c r="N159" s="121"/>
      <c r="O159" s="121"/>
      <c r="P159" s="121"/>
      <c r="Q159" s="121"/>
      <c r="R159" s="121"/>
      <c r="S159" s="121"/>
      <c r="T159" s="121"/>
      <c r="U159" s="121"/>
      <c r="V159" s="121"/>
      <c r="W159" s="121"/>
      <c r="X159" s="121"/>
      <c r="Y159" s="121"/>
      <c r="Z159" s="121"/>
      <c r="AA159" s="121"/>
      <c r="AB159" s="121"/>
    </row>
    <row r="160">
      <c r="A160" s="131"/>
      <c r="B160" s="131"/>
      <c r="C160" s="131"/>
      <c r="D160" s="131"/>
      <c r="E160" s="131"/>
      <c r="F160" s="131"/>
      <c r="G160" s="131"/>
      <c r="H160" s="121"/>
      <c r="I160" s="121"/>
      <c r="J160" s="121"/>
      <c r="K160" s="121"/>
      <c r="L160" s="121"/>
      <c r="M160" s="121"/>
      <c r="N160" s="121"/>
      <c r="O160" s="121"/>
      <c r="P160" s="121"/>
      <c r="Q160" s="121"/>
      <c r="R160" s="121"/>
      <c r="S160" s="121"/>
      <c r="T160" s="121"/>
      <c r="U160" s="121"/>
      <c r="V160" s="121"/>
      <c r="W160" s="121"/>
      <c r="X160" s="121"/>
      <c r="Y160" s="121"/>
      <c r="Z160" s="121"/>
      <c r="AA160" s="121"/>
      <c r="AB160" s="121"/>
    </row>
    <row r="161">
      <c r="A161" s="131"/>
      <c r="B161" s="131"/>
      <c r="C161" s="131"/>
      <c r="D161" s="131"/>
      <c r="E161" s="131"/>
      <c r="F161" s="131"/>
      <c r="G161" s="131"/>
      <c r="H161" s="121"/>
      <c r="I161" s="121"/>
      <c r="J161" s="121"/>
      <c r="K161" s="121"/>
      <c r="L161" s="121"/>
      <c r="M161" s="121"/>
      <c r="N161" s="121"/>
      <c r="O161" s="121"/>
      <c r="P161" s="121"/>
      <c r="Q161" s="121"/>
      <c r="R161" s="121"/>
      <c r="S161" s="121"/>
      <c r="T161" s="121"/>
      <c r="U161" s="121"/>
      <c r="V161" s="121"/>
      <c r="W161" s="121"/>
      <c r="X161" s="121"/>
      <c r="Y161" s="121"/>
      <c r="Z161" s="121"/>
      <c r="AA161" s="121"/>
      <c r="AB161" s="121"/>
    </row>
    <row r="162">
      <c r="A162" s="131"/>
      <c r="B162" s="131"/>
      <c r="C162" s="131"/>
      <c r="D162" s="131"/>
      <c r="E162" s="131"/>
      <c r="F162" s="131"/>
      <c r="G162" s="131"/>
      <c r="H162" s="121"/>
      <c r="I162" s="121"/>
      <c r="J162" s="121"/>
      <c r="K162" s="121"/>
      <c r="L162" s="121"/>
      <c r="M162" s="121"/>
      <c r="N162" s="121"/>
      <c r="O162" s="121"/>
      <c r="P162" s="121"/>
      <c r="Q162" s="121"/>
      <c r="R162" s="121"/>
      <c r="S162" s="121"/>
      <c r="T162" s="121"/>
      <c r="U162" s="121"/>
      <c r="V162" s="121"/>
      <c r="W162" s="121"/>
      <c r="X162" s="121"/>
      <c r="Y162" s="121"/>
      <c r="Z162" s="121"/>
      <c r="AA162" s="121"/>
      <c r="AB162" s="121"/>
    </row>
    <row r="163">
      <c r="A163" s="131"/>
      <c r="B163" s="131"/>
      <c r="C163" s="131"/>
      <c r="D163" s="131"/>
      <c r="E163" s="131"/>
      <c r="F163" s="131"/>
      <c r="G163" s="131"/>
      <c r="H163" s="121"/>
      <c r="I163" s="121"/>
      <c r="J163" s="121"/>
      <c r="K163" s="121"/>
      <c r="L163" s="121"/>
      <c r="M163" s="121"/>
      <c r="N163" s="121"/>
      <c r="O163" s="121"/>
      <c r="P163" s="121"/>
      <c r="Q163" s="121"/>
      <c r="R163" s="121"/>
      <c r="S163" s="121"/>
      <c r="T163" s="121"/>
      <c r="U163" s="121"/>
      <c r="V163" s="121"/>
      <c r="W163" s="121"/>
      <c r="X163" s="121"/>
      <c r="Y163" s="121"/>
      <c r="Z163" s="121"/>
      <c r="AA163" s="121"/>
      <c r="AB163" s="121"/>
    </row>
    <row r="164">
      <c r="A164" s="131"/>
      <c r="B164" s="131"/>
      <c r="C164" s="131"/>
      <c r="D164" s="131"/>
      <c r="E164" s="131"/>
      <c r="F164" s="131"/>
      <c r="G164" s="131"/>
      <c r="H164" s="121"/>
      <c r="I164" s="121"/>
      <c r="J164" s="121"/>
      <c r="K164" s="121"/>
      <c r="L164" s="121"/>
      <c r="M164" s="121"/>
      <c r="N164" s="121"/>
      <c r="O164" s="121"/>
      <c r="P164" s="121"/>
      <c r="Q164" s="121"/>
      <c r="R164" s="121"/>
      <c r="S164" s="121"/>
      <c r="T164" s="121"/>
      <c r="U164" s="121"/>
      <c r="V164" s="121"/>
      <c r="W164" s="121"/>
      <c r="X164" s="121"/>
      <c r="Y164" s="121"/>
      <c r="Z164" s="121"/>
      <c r="AA164" s="121"/>
      <c r="AB164" s="121"/>
    </row>
    <row r="165">
      <c r="A165" s="131"/>
      <c r="B165" s="131"/>
      <c r="C165" s="131"/>
      <c r="D165" s="131"/>
      <c r="E165" s="131"/>
      <c r="F165" s="131"/>
      <c r="G165" s="131"/>
      <c r="H165" s="121"/>
      <c r="I165" s="121"/>
      <c r="J165" s="121"/>
      <c r="K165" s="121"/>
      <c r="L165" s="121"/>
      <c r="M165" s="121"/>
      <c r="N165" s="121"/>
      <c r="O165" s="121"/>
      <c r="P165" s="121"/>
      <c r="Q165" s="121"/>
      <c r="R165" s="121"/>
      <c r="S165" s="121"/>
      <c r="T165" s="121"/>
      <c r="U165" s="121"/>
      <c r="V165" s="121"/>
      <c r="W165" s="121"/>
      <c r="X165" s="121"/>
      <c r="Y165" s="121"/>
      <c r="Z165" s="121"/>
      <c r="AA165" s="121"/>
      <c r="AB165" s="121"/>
    </row>
    <row r="166">
      <c r="A166" s="131"/>
      <c r="B166" s="131"/>
      <c r="C166" s="131"/>
      <c r="D166" s="131"/>
      <c r="E166" s="131"/>
      <c r="F166" s="131"/>
      <c r="G166" s="131"/>
      <c r="H166" s="121"/>
      <c r="I166" s="121"/>
      <c r="J166" s="121"/>
      <c r="K166" s="121"/>
      <c r="L166" s="121"/>
      <c r="M166" s="121"/>
      <c r="N166" s="121"/>
      <c r="O166" s="121"/>
      <c r="P166" s="121"/>
      <c r="Q166" s="121"/>
      <c r="R166" s="121"/>
      <c r="S166" s="121"/>
      <c r="T166" s="121"/>
      <c r="U166" s="121"/>
      <c r="V166" s="121"/>
      <c r="W166" s="121"/>
      <c r="X166" s="121"/>
      <c r="Y166" s="121"/>
      <c r="Z166" s="121"/>
      <c r="AA166" s="121"/>
      <c r="AB166" s="121"/>
    </row>
    <row r="167">
      <c r="A167" s="131"/>
      <c r="B167" s="131"/>
      <c r="C167" s="131"/>
      <c r="D167" s="131"/>
      <c r="E167" s="131"/>
      <c r="F167" s="131"/>
      <c r="G167" s="131"/>
      <c r="H167" s="121"/>
      <c r="I167" s="121"/>
      <c r="J167" s="121"/>
      <c r="K167" s="121"/>
      <c r="L167" s="121"/>
      <c r="M167" s="121"/>
      <c r="N167" s="121"/>
      <c r="O167" s="121"/>
      <c r="P167" s="121"/>
      <c r="Q167" s="121"/>
      <c r="R167" s="121"/>
      <c r="S167" s="121"/>
      <c r="T167" s="121"/>
      <c r="U167" s="121"/>
      <c r="V167" s="121"/>
      <c r="W167" s="121"/>
      <c r="X167" s="121"/>
      <c r="Y167" s="121"/>
      <c r="Z167" s="121"/>
      <c r="AA167" s="121"/>
      <c r="AB167" s="121"/>
    </row>
    <row r="168">
      <c r="A168" s="131"/>
      <c r="B168" s="131"/>
      <c r="C168" s="131"/>
      <c r="D168" s="131"/>
      <c r="E168" s="131"/>
      <c r="F168" s="131"/>
      <c r="G168" s="131"/>
      <c r="H168" s="121"/>
      <c r="I168" s="121"/>
      <c r="J168" s="121"/>
      <c r="K168" s="121"/>
      <c r="L168" s="121"/>
      <c r="M168" s="121"/>
      <c r="N168" s="121"/>
      <c r="O168" s="121"/>
      <c r="P168" s="121"/>
      <c r="Q168" s="121"/>
      <c r="R168" s="121"/>
      <c r="S168" s="121"/>
      <c r="T168" s="121"/>
      <c r="U168" s="121"/>
      <c r="V168" s="121"/>
      <c r="W168" s="121"/>
      <c r="X168" s="121"/>
      <c r="Y168" s="121"/>
      <c r="Z168" s="121"/>
      <c r="AA168" s="121"/>
      <c r="AB168" s="121"/>
    </row>
    <row r="169">
      <c r="A169" s="131"/>
      <c r="B169" s="131"/>
      <c r="C169" s="131"/>
      <c r="D169" s="131"/>
      <c r="E169" s="131"/>
      <c r="F169" s="131"/>
      <c r="G169" s="131"/>
      <c r="H169" s="121"/>
      <c r="I169" s="121"/>
      <c r="J169" s="121"/>
      <c r="K169" s="121"/>
      <c r="L169" s="121"/>
      <c r="M169" s="121"/>
      <c r="N169" s="121"/>
      <c r="O169" s="121"/>
      <c r="P169" s="121"/>
      <c r="Q169" s="121"/>
      <c r="R169" s="121"/>
      <c r="S169" s="121"/>
      <c r="T169" s="121"/>
      <c r="U169" s="121"/>
      <c r="V169" s="121"/>
      <c r="W169" s="121"/>
      <c r="X169" s="121"/>
      <c r="Y169" s="121"/>
      <c r="Z169" s="121"/>
      <c r="AA169" s="121"/>
      <c r="AB169" s="121"/>
    </row>
    <row r="170">
      <c r="A170" s="131"/>
      <c r="B170" s="131"/>
      <c r="C170" s="131"/>
      <c r="D170" s="131"/>
      <c r="E170" s="131"/>
      <c r="F170" s="131"/>
      <c r="G170" s="131"/>
      <c r="H170" s="121"/>
      <c r="I170" s="121"/>
      <c r="J170" s="121"/>
      <c r="K170" s="121"/>
      <c r="L170" s="121"/>
      <c r="M170" s="121"/>
      <c r="N170" s="121"/>
      <c r="O170" s="121"/>
      <c r="P170" s="121"/>
      <c r="Q170" s="121"/>
      <c r="R170" s="121"/>
      <c r="S170" s="121"/>
      <c r="T170" s="121"/>
      <c r="U170" s="121"/>
      <c r="V170" s="121"/>
      <c r="W170" s="121"/>
      <c r="X170" s="121"/>
      <c r="Y170" s="121"/>
      <c r="Z170" s="121"/>
      <c r="AA170" s="121"/>
      <c r="AB170" s="121"/>
    </row>
    <row r="171">
      <c r="A171" s="131"/>
      <c r="B171" s="131"/>
      <c r="C171" s="131"/>
      <c r="D171" s="131"/>
      <c r="E171" s="131"/>
      <c r="F171" s="131"/>
      <c r="G171" s="131"/>
      <c r="H171" s="121"/>
      <c r="I171" s="121"/>
      <c r="J171" s="121"/>
      <c r="K171" s="121"/>
      <c r="L171" s="121"/>
      <c r="M171" s="121"/>
      <c r="N171" s="121"/>
      <c r="O171" s="121"/>
      <c r="P171" s="121"/>
      <c r="Q171" s="121"/>
      <c r="R171" s="121"/>
      <c r="S171" s="121"/>
      <c r="T171" s="121"/>
      <c r="U171" s="121"/>
      <c r="V171" s="121"/>
      <c r="W171" s="121"/>
      <c r="X171" s="121"/>
      <c r="Y171" s="121"/>
      <c r="Z171" s="121"/>
      <c r="AA171" s="121"/>
      <c r="AB171" s="121"/>
    </row>
    <row r="172">
      <c r="A172" s="131"/>
      <c r="B172" s="131"/>
      <c r="C172" s="131"/>
      <c r="D172" s="131"/>
      <c r="E172" s="131"/>
      <c r="F172" s="131"/>
      <c r="G172" s="131"/>
      <c r="H172" s="121"/>
      <c r="I172" s="121"/>
      <c r="J172" s="121"/>
      <c r="K172" s="121"/>
      <c r="L172" s="121"/>
      <c r="M172" s="121"/>
      <c r="N172" s="121"/>
      <c r="O172" s="121"/>
      <c r="P172" s="121"/>
      <c r="Q172" s="121"/>
      <c r="R172" s="121"/>
      <c r="S172" s="121"/>
      <c r="T172" s="121"/>
      <c r="U172" s="121"/>
      <c r="V172" s="121"/>
      <c r="W172" s="121"/>
      <c r="X172" s="121"/>
      <c r="Y172" s="121"/>
      <c r="Z172" s="121"/>
      <c r="AA172" s="121"/>
      <c r="AB172" s="121"/>
    </row>
    <row r="173">
      <c r="A173" s="131"/>
      <c r="B173" s="131"/>
      <c r="C173" s="131"/>
      <c r="D173" s="131"/>
      <c r="E173" s="131"/>
      <c r="F173" s="131"/>
      <c r="G173" s="131"/>
      <c r="H173" s="121"/>
      <c r="I173" s="121"/>
      <c r="J173" s="121"/>
      <c r="K173" s="121"/>
      <c r="L173" s="121"/>
      <c r="M173" s="121"/>
      <c r="N173" s="121"/>
      <c r="O173" s="121"/>
      <c r="P173" s="121"/>
      <c r="Q173" s="121"/>
      <c r="R173" s="121"/>
      <c r="S173" s="121"/>
      <c r="T173" s="121"/>
      <c r="U173" s="121"/>
      <c r="V173" s="121"/>
      <c r="W173" s="121"/>
      <c r="X173" s="121"/>
      <c r="Y173" s="121"/>
      <c r="Z173" s="121"/>
      <c r="AA173" s="121"/>
      <c r="AB173" s="121"/>
    </row>
    <row r="174">
      <c r="A174" s="131"/>
      <c r="B174" s="131"/>
      <c r="C174" s="131"/>
      <c r="D174" s="131"/>
      <c r="E174" s="131"/>
      <c r="F174" s="131"/>
      <c r="G174" s="131"/>
      <c r="H174" s="121"/>
      <c r="I174" s="121"/>
      <c r="J174" s="121"/>
      <c r="K174" s="121"/>
      <c r="L174" s="121"/>
      <c r="M174" s="121"/>
      <c r="N174" s="121"/>
      <c r="O174" s="121"/>
      <c r="P174" s="121"/>
      <c r="Q174" s="121"/>
      <c r="R174" s="121"/>
      <c r="S174" s="121"/>
      <c r="T174" s="121"/>
      <c r="U174" s="121"/>
      <c r="V174" s="121"/>
      <c r="W174" s="121"/>
      <c r="X174" s="121"/>
      <c r="Y174" s="121"/>
      <c r="Z174" s="121"/>
      <c r="AA174" s="121"/>
      <c r="AB174" s="121"/>
    </row>
    <row r="175">
      <c r="A175" s="131"/>
      <c r="B175" s="131"/>
      <c r="C175" s="131"/>
      <c r="D175" s="131"/>
      <c r="E175" s="131"/>
      <c r="F175" s="131"/>
      <c r="G175" s="131"/>
      <c r="H175" s="121"/>
      <c r="I175" s="121"/>
      <c r="J175" s="121"/>
      <c r="K175" s="121"/>
      <c r="L175" s="121"/>
      <c r="M175" s="121"/>
      <c r="N175" s="121"/>
      <c r="O175" s="121"/>
      <c r="P175" s="121"/>
      <c r="Q175" s="121"/>
      <c r="R175" s="121"/>
      <c r="S175" s="121"/>
      <c r="T175" s="121"/>
      <c r="U175" s="121"/>
      <c r="V175" s="121"/>
      <c r="W175" s="121"/>
      <c r="X175" s="121"/>
      <c r="Y175" s="121"/>
      <c r="Z175" s="121"/>
      <c r="AA175" s="121"/>
      <c r="AB175" s="121"/>
    </row>
    <row r="176">
      <c r="A176" s="131"/>
      <c r="B176" s="131"/>
      <c r="C176" s="131"/>
      <c r="D176" s="131"/>
      <c r="E176" s="131"/>
      <c r="F176" s="131"/>
      <c r="G176" s="131"/>
      <c r="H176" s="121"/>
      <c r="I176" s="121"/>
      <c r="J176" s="121"/>
      <c r="K176" s="121"/>
      <c r="L176" s="121"/>
      <c r="M176" s="121"/>
      <c r="N176" s="121"/>
      <c r="O176" s="121"/>
      <c r="P176" s="121"/>
      <c r="Q176" s="121"/>
      <c r="R176" s="121"/>
      <c r="S176" s="121"/>
      <c r="T176" s="121"/>
      <c r="U176" s="121"/>
      <c r="V176" s="121"/>
      <c r="W176" s="121"/>
      <c r="X176" s="121"/>
      <c r="Y176" s="121"/>
      <c r="Z176" s="121"/>
      <c r="AA176" s="121"/>
      <c r="AB176" s="121"/>
    </row>
    <row r="177">
      <c r="A177" s="131"/>
      <c r="B177" s="131"/>
      <c r="C177" s="131"/>
      <c r="D177" s="131"/>
      <c r="E177" s="131"/>
      <c r="F177" s="131"/>
      <c r="G177" s="131"/>
      <c r="H177" s="121"/>
      <c r="I177" s="121"/>
      <c r="J177" s="121"/>
      <c r="K177" s="121"/>
      <c r="L177" s="121"/>
      <c r="M177" s="121"/>
      <c r="N177" s="121"/>
      <c r="O177" s="121"/>
      <c r="P177" s="121"/>
      <c r="Q177" s="121"/>
      <c r="R177" s="121"/>
      <c r="S177" s="121"/>
      <c r="T177" s="121"/>
      <c r="U177" s="121"/>
      <c r="V177" s="121"/>
      <c r="W177" s="121"/>
      <c r="X177" s="121"/>
      <c r="Y177" s="121"/>
      <c r="Z177" s="121"/>
      <c r="AA177" s="121"/>
      <c r="AB177" s="121"/>
    </row>
    <row r="178">
      <c r="A178" s="131"/>
      <c r="B178" s="131"/>
      <c r="C178" s="131"/>
      <c r="D178" s="131"/>
      <c r="E178" s="131"/>
      <c r="F178" s="131"/>
      <c r="G178" s="131"/>
      <c r="H178" s="121"/>
      <c r="I178" s="121"/>
      <c r="J178" s="121"/>
      <c r="K178" s="121"/>
      <c r="L178" s="121"/>
      <c r="M178" s="121"/>
      <c r="N178" s="121"/>
      <c r="O178" s="121"/>
      <c r="P178" s="121"/>
      <c r="Q178" s="121"/>
      <c r="R178" s="121"/>
      <c r="S178" s="121"/>
      <c r="T178" s="121"/>
      <c r="U178" s="121"/>
      <c r="V178" s="121"/>
      <c r="W178" s="121"/>
      <c r="X178" s="121"/>
      <c r="Y178" s="121"/>
      <c r="Z178" s="121"/>
      <c r="AA178" s="121"/>
      <c r="AB178" s="121"/>
    </row>
    <row r="179">
      <c r="A179" s="131"/>
      <c r="B179" s="131"/>
      <c r="C179" s="131"/>
      <c r="D179" s="131"/>
      <c r="E179" s="131"/>
      <c r="F179" s="131"/>
      <c r="G179" s="131"/>
      <c r="H179" s="121"/>
      <c r="I179" s="121"/>
      <c r="J179" s="121"/>
      <c r="K179" s="121"/>
      <c r="L179" s="121"/>
      <c r="M179" s="121"/>
      <c r="N179" s="121"/>
      <c r="O179" s="121"/>
      <c r="P179" s="121"/>
      <c r="Q179" s="121"/>
      <c r="R179" s="121"/>
      <c r="S179" s="121"/>
      <c r="T179" s="121"/>
      <c r="U179" s="121"/>
      <c r="V179" s="121"/>
      <c r="W179" s="121"/>
      <c r="X179" s="121"/>
      <c r="Y179" s="121"/>
      <c r="Z179" s="121"/>
      <c r="AA179" s="121"/>
      <c r="AB179" s="121"/>
    </row>
    <row r="180">
      <c r="A180" s="131"/>
      <c r="B180" s="131"/>
      <c r="C180" s="131"/>
      <c r="D180" s="131"/>
      <c r="E180" s="131"/>
      <c r="F180" s="131"/>
      <c r="G180" s="131"/>
      <c r="H180" s="121"/>
      <c r="I180" s="121"/>
      <c r="J180" s="121"/>
      <c r="K180" s="121"/>
      <c r="L180" s="121"/>
      <c r="M180" s="121"/>
      <c r="N180" s="121"/>
      <c r="O180" s="121"/>
      <c r="P180" s="121"/>
      <c r="Q180" s="121"/>
      <c r="R180" s="121"/>
      <c r="S180" s="121"/>
      <c r="T180" s="121"/>
      <c r="U180" s="121"/>
      <c r="V180" s="121"/>
      <c r="W180" s="121"/>
      <c r="X180" s="121"/>
      <c r="Y180" s="121"/>
      <c r="Z180" s="121"/>
      <c r="AA180" s="121"/>
      <c r="AB180" s="121"/>
    </row>
    <row r="181">
      <c r="A181" s="131"/>
      <c r="B181" s="131"/>
      <c r="C181" s="131"/>
      <c r="D181" s="131"/>
      <c r="E181" s="131"/>
      <c r="F181" s="131"/>
      <c r="G181" s="131"/>
      <c r="H181" s="121"/>
      <c r="I181" s="121"/>
      <c r="J181" s="121"/>
      <c r="K181" s="121"/>
      <c r="L181" s="121"/>
      <c r="M181" s="121"/>
      <c r="N181" s="121"/>
      <c r="O181" s="121"/>
      <c r="P181" s="121"/>
      <c r="Q181" s="121"/>
      <c r="R181" s="121"/>
      <c r="S181" s="121"/>
      <c r="T181" s="121"/>
      <c r="U181" s="121"/>
      <c r="V181" s="121"/>
      <c r="W181" s="121"/>
      <c r="X181" s="121"/>
      <c r="Y181" s="121"/>
      <c r="Z181" s="121"/>
      <c r="AA181" s="121"/>
      <c r="AB181" s="121"/>
    </row>
    <row r="182">
      <c r="A182" s="131"/>
      <c r="B182" s="131"/>
      <c r="C182" s="131"/>
      <c r="D182" s="131"/>
      <c r="E182" s="131"/>
      <c r="F182" s="131"/>
      <c r="G182" s="131"/>
      <c r="H182" s="121"/>
      <c r="I182" s="121"/>
      <c r="J182" s="121"/>
      <c r="K182" s="121"/>
      <c r="L182" s="121"/>
      <c r="M182" s="121"/>
      <c r="N182" s="121"/>
      <c r="O182" s="121"/>
      <c r="P182" s="121"/>
      <c r="Q182" s="121"/>
      <c r="R182" s="121"/>
      <c r="S182" s="121"/>
      <c r="T182" s="121"/>
      <c r="U182" s="121"/>
      <c r="V182" s="121"/>
      <c r="W182" s="121"/>
      <c r="X182" s="121"/>
      <c r="Y182" s="121"/>
      <c r="Z182" s="121"/>
      <c r="AA182" s="121"/>
      <c r="AB182" s="121"/>
    </row>
    <row r="183">
      <c r="A183" s="131"/>
      <c r="B183" s="131"/>
      <c r="C183" s="131"/>
      <c r="D183" s="131"/>
      <c r="E183" s="131"/>
      <c r="F183" s="131"/>
      <c r="G183" s="131"/>
      <c r="H183" s="121"/>
      <c r="I183" s="121"/>
      <c r="J183" s="121"/>
      <c r="K183" s="121"/>
      <c r="L183" s="121"/>
      <c r="M183" s="121"/>
      <c r="N183" s="121"/>
      <c r="O183" s="121"/>
      <c r="P183" s="121"/>
      <c r="Q183" s="121"/>
      <c r="R183" s="121"/>
      <c r="S183" s="121"/>
      <c r="T183" s="121"/>
      <c r="U183" s="121"/>
      <c r="V183" s="121"/>
      <c r="W183" s="121"/>
      <c r="X183" s="121"/>
      <c r="Y183" s="121"/>
      <c r="Z183" s="121"/>
      <c r="AA183" s="121"/>
      <c r="AB183" s="121"/>
    </row>
    <row r="184">
      <c r="A184" s="131"/>
      <c r="B184" s="131"/>
      <c r="C184" s="131"/>
      <c r="D184" s="131"/>
      <c r="E184" s="131"/>
      <c r="F184" s="131"/>
      <c r="G184" s="131"/>
      <c r="H184" s="121"/>
      <c r="I184" s="121"/>
      <c r="J184" s="121"/>
      <c r="K184" s="121"/>
      <c r="L184" s="121"/>
      <c r="M184" s="121"/>
      <c r="N184" s="121"/>
      <c r="O184" s="121"/>
      <c r="P184" s="121"/>
      <c r="Q184" s="121"/>
      <c r="R184" s="121"/>
      <c r="S184" s="121"/>
      <c r="T184" s="121"/>
      <c r="U184" s="121"/>
      <c r="V184" s="121"/>
      <c r="W184" s="121"/>
      <c r="X184" s="121"/>
      <c r="Y184" s="121"/>
      <c r="Z184" s="121"/>
      <c r="AA184" s="121"/>
      <c r="AB184" s="121"/>
    </row>
    <row r="185">
      <c r="A185" s="131"/>
      <c r="B185" s="131"/>
      <c r="C185" s="131"/>
      <c r="D185" s="131"/>
      <c r="E185" s="131"/>
      <c r="F185" s="131"/>
      <c r="G185" s="131"/>
      <c r="H185" s="121"/>
      <c r="I185" s="121"/>
      <c r="J185" s="121"/>
      <c r="K185" s="121"/>
      <c r="L185" s="121"/>
      <c r="M185" s="121"/>
      <c r="N185" s="121"/>
      <c r="O185" s="121"/>
      <c r="P185" s="121"/>
      <c r="Q185" s="121"/>
      <c r="R185" s="121"/>
      <c r="S185" s="121"/>
      <c r="T185" s="121"/>
      <c r="U185" s="121"/>
      <c r="V185" s="121"/>
      <c r="W185" s="121"/>
      <c r="X185" s="121"/>
      <c r="Y185" s="121"/>
      <c r="Z185" s="121"/>
      <c r="AA185" s="121"/>
      <c r="AB185" s="121"/>
    </row>
    <row r="186">
      <c r="A186" s="131"/>
      <c r="B186" s="131"/>
      <c r="C186" s="131"/>
      <c r="D186" s="131"/>
      <c r="E186" s="131"/>
      <c r="F186" s="131"/>
      <c r="G186" s="131"/>
      <c r="H186" s="121"/>
      <c r="I186" s="121"/>
      <c r="J186" s="121"/>
      <c r="K186" s="121"/>
      <c r="L186" s="121"/>
      <c r="M186" s="121"/>
      <c r="N186" s="121"/>
      <c r="O186" s="121"/>
      <c r="P186" s="121"/>
      <c r="Q186" s="121"/>
      <c r="R186" s="121"/>
      <c r="S186" s="121"/>
      <c r="T186" s="121"/>
      <c r="U186" s="121"/>
      <c r="V186" s="121"/>
      <c r="W186" s="121"/>
      <c r="X186" s="121"/>
      <c r="Y186" s="121"/>
      <c r="Z186" s="121"/>
      <c r="AA186" s="121"/>
      <c r="AB186" s="121"/>
    </row>
    <row r="187">
      <c r="A187" s="131"/>
      <c r="B187" s="131"/>
      <c r="C187" s="131"/>
      <c r="D187" s="131"/>
      <c r="E187" s="131"/>
      <c r="F187" s="131"/>
      <c r="G187" s="131"/>
      <c r="H187" s="121"/>
      <c r="I187" s="121"/>
      <c r="J187" s="121"/>
      <c r="K187" s="121"/>
      <c r="L187" s="121"/>
      <c r="M187" s="121"/>
      <c r="N187" s="121"/>
      <c r="O187" s="121"/>
      <c r="P187" s="121"/>
      <c r="Q187" s="121"/>
      <c r="R187" s="121"/>
      <c r="S187" s="121"/>
      <c r="T187" s="121"/>
      <c r="U187" s="121"/>
      <c r="V187" s="121"/>
      <c r="W187" s="121"/>
      <c r="X187" s="121"/>
      <c r="Y187" s="121"/>
      <c r="Z187" s="121"/>
      <c r="AA187" s="121"/>
      <c r="AB187" s="121"/>
    </row>
    <row r="188">
      <c r="A188" s="131"/>
      <c r="B188" s="131"/>
      <c r="C188" s="131"/>
      <c r="D188" s="131"/>
      <c r="E188" s="131"/>
      <c r="F188" s="131"/>
      <c r="G188" s="131"/>
      <c r="H188" s="121"/>
      <c r="I188" s="121"/>
      <c r="J188" s="121"/>
      <c r="K188" s="121"/>
      <c r="L188" s="121"/>
      <c r="M188" s="121"/>
      <c r="N188" s="121"/>
      <c r="O188" s="121"/>
      <c r="P188" s="121"/>
      <c r="Q188" s="121"/>
      <c r="R188" s="121"/>
      <c r="S188" s="121"/>
      <c r="T188" s="121"/>
      <c r="U188" s="121"/>
      <c r="V188" s="121"/>
      <c r="W188" s="121"/>
      <c r="X188" s="121"/>
      <c r="Y188" s="121"/>
      <c r="Z188" s="121"/>
      <c r="AA188" s="121"/>
      <c r="AB188" s="121"/>
    </row>
    <row r="189">
      <c r="A189" s="131"/>
      <c r="B189" s="131"/>
      <c r="C189" s="131"/>
      <c r="D189" s="131"/>
      <c r="E189" s="131"/>
      <c r="F189" s="131"/>
      <c r="G189" s="131"/>
      <c r="H189" s="121"/>
      <c r="I189" s="121"/>
      <c r="J189" s="121"/>
      <c r="K189" s="121"/>
      <c r="L189" s="121"/>
      <c r="M189" s="121"/>
      <c r="N189" s="121"/>
      <c r="O189" s="121"/>
      <c r="P189" s="121"/>
      <c r="Q189" s="121"/>
      <c r="R189" s="121"/>
      <c r="S189" s="121"/>
      <c r="T189" s="121"/>
      <c r="U189" s="121"/>
      <c r="V189" s="121"/>
      <c r="W189" s="121"/>
      <c r="X189" s="121"/>
      <c r="Y189" s="121"/>
      <c r="Z189" s="121"/>
      <c r="AA189" s="121"/>
      <c r="AB189" s="121"/>
    </row>
    <row r="190">
      <c r="A190" s="131"/>
      <c r="B190" s="131"/>
      <c r="C190" s="131"/>
      <c r="D190" s="131"/>
      <c r="E190" s="131"/>
      <c r="F190" s="131"/>
      <c r="G190" s="131"/>
      <c r="H190" s="121"/>
      <c r="I190" s="121"/>
      <c r="J190" s="121"/>
      <c r="K190" s="121"/>
      <c r="L190" s="121"/>
      <c r="M190" s="121"/>
      <c r="N190" s="121"/>
      <c r="O190" s="121"/>
      <c r="P190" s="121"/>
      <c r="Q190" s="121"/>
      <c r="R190" s="121"/>
      <c r="S190" s="121"/>
      <c r="T190" s="121"/>
      <c r="U190" s="121"/>
      <c r="V190" s="121"/>
      <c r="W190" s="121"/>
      <c r="X190" s="121"/>
      <c r="Y190" s="121"/>
      <c r="Z190" s="121"/>
      <c r="AA190" s="121"/>
      <c r="AB190" s="121"/>
    </row>
    <row r="191">
      <c r="A191" s="131"/>
      <c r="B191" s="131"/>
      <c r="C191" s="131"/>
      <c r="D191" s="131"/>
      <c r="E191" s="131"/>
      <c r="F191" s="131"/>
      <c r="G191" s="131"/>
      <c r="H191" s="121"/>
      <c r="I191" s="121"/>
      <c r="J191" s="121"/>
      <c r="K191" s="121"/>
      <c r="L191" s="121"/>
      <c r="M191" s="121"/>
      <c r="N191" s="121"/>
      <c r="O191" s="121"/>
      <c r="P191" s="121"/>
      <c r="Q191" s="121"/>
      <c r="R191" s="121"/>
      <c r="S191" s="121"/>
      <c r="T191" s="121"/>
      <c r="U191" s="121"/>
      <c r="V191" s="121"/>
      <c r="W191" s="121"/>
      <c r="X191" s="121"/>
      <c r="Y191" s="121"/>
      <c r="Z191" s="121"/>
      <c r="AA191" s="121"/>
      <c r="AB191" s="121"/>
    </row>
    <row r="192">
      <c r="A192" s="131"/>
      <c r="B192" s="131"/>
      <c r="C192" s="131"/>
      <c r="D192" s="131"/>
      <c r="E192" s="131"/>
      <c r="F192" s="131"/>
      <c r="G192" s="131"/>
      <c r="H192" s="121"/>
      <c r="I192" s="121"/>
      <c r="J192" s="121"/>
      <c r="K192" s="121"/>
      <c r="L192" s="121"/>
      <c r="M192" s="121"/>
      <c r="N192" s="121"/>
      <c r="O192" s="121"/>
      <c r="P192" s="121"/>
      <c r="Q192" s="121"/>
      <c r="R192" s="121"/>
      <c r="S192" s="121"/>
      <c r="T192" s="121"/>
      <c r="U192" s="121"/>
      <c r="V192" s="121"/>
      <c r="W192" s="121"/>
      <c r="X192" s="121"/>
      <c r="Y192" s="121"/>
      <c r="Z192" s="121"/>
      <c r="AA192" s="121"/>
      <c r="AB192" s="121"/>
    </row>
    <row r="193">
      <c r="A193" s="131"/>
      <c r="B193" s="131"/>
      <c r="C193" s="131"/>
      <c r="D193" s="131"/>
      <c r="E193" s="131"/>
      <c r="F193" s="131"/>
      <c r="G193" s="131"/>
      <c r="H193" s="121"/>
      <c r="I193" s="121"/>
      <c r="J193" s="121"/>
      <c r="K193" s="121"/>
      <c r="L193" s="121"/>
      <c r="M193" s="121"/>
      <c r="N193" s="121"/>
      <c r="O193" s="121"/>
      <c r="P193" s="121"/>
      <c r="Q193" s="121"/>
      <c r="R193" s="121"/>
      <c r="S193" s="121"/>
      <c r="T193" s="121"/>
      <c r="U193" s="121"/>
      <c r="V193" s="121"/>
      <c r="W193" s="121"/>
      <c r="X193" s="121"/>
      <c r="Y193" s="121"/>
      <c r="Z193" s="121"/>
      <c r="AA193" s="121"/>
      <c r="AB193" s="121"/>
    </row>
    <row r="194">
      <c r="A194" s="131"/>
      <c r="B194" s="131"/>
      <c r="C194" s="131"/>
      <c r="D194" s="131"/>
      <c r="E194" s="131"/>
      <c r="F194" s="131"/>
      <c r="G194" s="131"/>
      <c r="H194" s="121"/>
      <c r="I194" s="121"/>
      <c r="J194" s="121"/>
      <c r="K194" s="121"/>
      <c r="L194" s="121"/>
      <c r="M194" s="121"/>
      <c r="N194" s="121"/>
      <c r="O194" s="121"/>
      <c r="P194" s="121"/>
      <c r="Q194" s="121"/>
      <c r="R194" s="121"/>
      <c r="S194" s="121"/>
      <c r="T194" s="121"/>
      <c r="U194" s="121"/>
      <c r="V194" s="121"/>
      <c r="W194" s="121"/>
      <c r="X194" s="121"/>
      <c r="Y194" s="121"/>
      <c r="Z194" s="121"/>
      <c r="AA194" s="121"/>
      <c r="AB194" s="121"/>
    </row>
    <row r="195">
      <c r="A195" s="131"/>
      <c r="B195" s="131"/>
      <c r="C195" s="131"/>
      <c r="D195" s="131"/>
      <c r="E195" s="131"/>
      <c r="F195" s="131"/>
      <c r="G195" s="131"/>
      <c r="H195" s="121"/>
      <c r="I195" s="121"/>
      <c r="J195" s="121"/>
      <c r="K195" s="121"/>
      <c r="L195" s="121"/>
      <c r="M195" s="121"/>
      <c r="N195" s="121"/>
      <c r="O195" s="121"/>
      <c r="P195" s="121"/>
      <c r="Q195" s="121"/>
      <c r="R195" s="121"/>
      <c r="S195" s="121"/>
      <c r="T195" s="121"/>
      <c r="U195" s="121"/>
      <c r="V195" s="121"/>
      <c r="W195" s="121"/>
      <c r="X195" s="121"/>
      <c r="Y195" s="121"/>
      <c r="Z195" s="121"/>
      <c r="AA195" s="121"/>
      <c r="AB195" s="121"/>
    </row>
    <row r="196">
      <c r="A196" s="131"/>
      <c r="B196" s="131"/>
      <c r="C196" s="131"/>
      <c r="D196" s="131"/>
      <c r="E196" s="131"/>
      <c r="F196" s="131"/>
      <c r="G196" s="131"/>
      <c r="H196" s="121"/>
      <c r="I196" s="121"/>
      <c r="J196" s="121"/>
      <c r="K196" s="121"/>
      <c r="L196" s="121"/>
      <c r="M196" s="121"/>
      <c r="N196" s="121"/>
      <c r="O196" s="121"/>
      <c r="P196" s="121"/>
      <c r="Q196" s="121"/>
      <c r="R196" s="121"/>
      <c r="S196" s="121"/>
      <c r="T196" s="121"/>
      <c r="U196" s="121"/>
      <c r="V196" s="121"/>
      <c r="W196" s="121"/>
      <c r="X196" s="121"/>
      <c r="Y196" s="121"/>
      <c r="Z196" s="121"/>
      <c r="AA196" s="121"/>
      <c r="AB196" s="121"/>
    </row>
    <row r="197">
      <c r="A197" s="131"/>
      <c r="B197" s="131"/>
      <c r="C197" s="131"/>
      <c r="D197" s="131"/>
      <c r="E197" s="131"/>
      <c r="F197" s="131"/>
      <c r="G197" s="131"/>
      <c r="H197" s="121"/>
      <c r="I197" s="121"/>
      <c r="J197" s="121"/>
      <c r="K197" s="121"/>
      <c r="L197" s="121"/>
      <c r="M197" s="121"/>
      <c r="N197" s="121"/>
      <c r="O197" s="121"/>
      <c r="P197" s="121"/>
      <c r="Q197" s="121"/>
      <c r="R197" s="121"/>
      <c r="S197" s="121"/>
      <c r="T197" s="121"/>
      <c r="U197" s="121"/>
      <c r="V197" s="121"/>
      <c r="W197" s="121"/>
      <c r="X197" s="121"/>
      <c r="Y197" s="121"/>
      <c r="Z197" s="121"/>
      <c r="AA197" s="121"/>
      <c r="AB197" s="121"/>
    </row>
    <row r="198">
      <c r="A198" s="131"/>
      <c r="B198" s="131"/>
      <c r="C198" s="131"/>
      <c r="D198" s="131"/>
      <c r="E198" s="131"/>
      <c r="F198" s="131"/>
      <c r="G198" s="131"/>
      <c r="H198" s="121"/>
      <c r="I198" s="121"/>
      <c r="J198" s="121"/>
      <c r="K198" s="121"/>
      <c r="L198" s="121"/>
      <c r="M198" s="121"/>
      <c r="N198" s="121"/>
      <c r="O198" s="121"/>
      <c r="P198" s="121"/>
      <c r="Q198" s="121"/>
      <c r="R198" s="121"/>
      <c r="S198" s="121"/>
      <c r="T198" s="121"/>
      <c r="U198" s="121"/>
      <c r="V198" s="121"/>
      <c r="W198" s="121"/>
      <c r="X198" s="121"/>
      <c r="Y198" s="121"/>
      <c r="Z198" s="121"/>
      <c r="AA198" s="121"/>
      <c r="AB198" s="121"/>
    </row>
    <row r="199">
      <c r="A199" s="131"/>
      <c r="B199" s="131"/>
      <c r="C199" s="131"/>
      <c r="D199" s="131"/>
      <c r="E199" s="131"/>
      <c r="F199" s="131"/>
      <c r="G199" s="131"/>
      <c r="H199" s="121"/>
      <c r="I199" s="121"/>
      <c r="J199" s="121"/>
      <c r="K199" s="121"/>
      <c r="L199" s="121"/>
      <c r="M199" s="121"/>
      <c r="N199" s="121"/>
      <c r="O199" s="121"/>
      <c r="P199" s="121"/>
      <c r="Q199" s="121"/>
      <c r="R199" s="121"/>
      <c r="S199" s="121"/>
      <c r="T199" s="121"/>
      <c r="U199" s="121"/>
      <c r="V199" s="121"/>
      <c r="W199" s="121"/>
      <c r="X199" s="121"/>
      <c r="Y199" s="121"/>
      <c r="Z199" s="121"/>
      <c r="AA199" s="121"/>
      <c r="AB199" s="121"/>
    </row>
    <row r="200">
      <c r="A200" s="131"/>
      <c r="B200" s="131"/>
      <c r="C200" s="131"/>
      <c r="D200" s="131"/>
      <c r="E200" s="131"/>
      <c r="F200" s="131"/>
      <c r="G200" s="131"/>
      <c r="H200" s="121"/>
      <c r="I200" s="121"/>
      <c r="J200" s="121"/>
      <c r="K200" s="121"/>
      <c r="L200" s="121"/>
      <c r="M200" s="121"/>
      <c r="N200" s="121"/>
      <c r="O200" s="121"/>
      <c r="P200" s="121"/>
      <c r="Q200" s="121"/>
      <c r="R200" s="121"/>
      <c r="S200" s="121"/>
      <c r="T200" s="121"/>
      <c r="U200" s="121"/>
      <c r="V200" s="121"/>
      <c r="W200" s="121"/>
      <c r="X200" s="121"/>
      <c r="Y200" s="121"/>
      <c r="Z200" s="121"/>
      <c r="AA200" s="121"/>
      <c r="AB200" s="121"/>
    </row>
    <row r="201">
      <c r="A201" s="131"/>
      <c r="B201" s="131"/>
      <c r="C201" s="131"/>
      <c r="D201" s="131"/>
      <c r="E201" s="131"/>
      <c r="F201" s="131"/>
      <c r="G201" s="131"/>
      <c r="H201" s="121"/>
      <c r="I201" s="121"/>
      <c r="J201" s="121"/>
      <c r="K201" s="121"/>
      <c r="L201" s="121"/>
      <c r="M201" s="121"/>
      <c r="N201" s="121"/>
      <c r="O201" s="121"/>
      <c r="P201" s="121"/>
      <c r="Q201" s="121"/>
      <c r="R201" s="121"/>
      <c r="S201" s="121"/>
      <c r="T201" s="121"/>
      <c r="U201" s="121"/>
      <c r="V201" s="121"/>
      <c r="W201" s="121"/>
      <c r="X201" s="121"/>
      <c r="Y201" s="121"/>
      <c r="Z201" s="121"/>
      <c r="AA201" s="121"/>
      <c r="AB201" s="121"/>
    </row>
    <row r="202">
      <c r="A202" s="131"/>
      <c r="B202" s="131"/>
      <c r="C202" s="131"/>
      <c r="D202" s="131"/>
      <c r="E202" s="131"/>
      <c r="F202" s="131"/>
      <c r="G202" s="131"/>
      <c r="H202" s="121"/>
      <c r="I202" s="121"/>
      <c r="J202" s="121"/>
      <c r="K202" s="121"/>
      <c r="L202" s="121"/>
      <c r="M202" s="121"/>
      <c r="N202" s="121"/>
      <c r="O202" s="121"/>
      <c r="P202" s="121"/>
      <c r="Q202" s="121"/>
      <c r="R202" s="121"/>
      <c r="S202" s="121"/>
      <c r="T202" s="121"/>
      <c r="U202" s="121"/>
      <c r="V202" s="121"/>
      <c r="W202" s="121"/>
      <c r="X202" s="121"/>
      <c r="Y202" s="121"/>
      <c r="Z202" s="121"/>
      <c r="AA202" s="121"/>
      <c r="AB202" s="121"/>
    </row>
    <row r="203">
      <c r="A203" s="131"/>
      <c r="B203" s="131"/>
      <c r="C203" s="131"/>
      <c r="D203" s="131"/>
      <c r="E203" s="131"/>
      <c r="F203" s="131"/>
      <c r="G203" s="131"/>
      <c r="H203" s="121"/>
      <c r="I203" s="121"/>
      <c r="J203" s="121"/>
      <c r="K203" s="121"/>
      <c r="L203" s="121"/>
      <c r="M203" s="121"/>
      <c r="N203" s="121"/>
      <c r="O203" s="121"/>
      <c r="P203" s="121"/>
      <c r="Q203" s="121"/>
      <c r="R203" s="121"/>
      <c r="S203" s="121"/>
      <c r="T203" s="121"/>
      <c r="U203" s="121"/>
      <c r="V203" s="121"/>
      <c r="W203" s="121"/>
      <c r="X203" s="121"/>
      <c r="Y203" s="121"/>
      <c r="Z203" s="121"/>
      <c r="AA203" s="121"/>
      <c r="AB203" s="121"/>
    </row>
    <row r="204">
      <c r="A204" s="131"/>
      <c r="B204" s="131"/>
      <c r="C204" s="131"/>
      <c r="D204" s="131"/>
      <c r="E204" s="131"/>
      <c r="F204" s="131"/>
      <c r="G204" s="131"/>
      <c r="H204" s="121"/>
      <c r="I204" s="121"/>
      <c r="J204" s="121"/>
      <c r="K204" s="121"/>
      <c r="L204" s="121"/>
      <c r="M204" s="121"/>
      <c r="N204" s="121"/>
      <c r="O204" s="121"/>
      <c r="P204" s="121"/>
      <c r="Q204" s="121"/>
      <c r="R204" s="121"/>
      <c r="S204" s="121"/>
      <c r="T204" s="121"/>
      <c r="U204" s="121"/>
      <c r="V204" s="121"/>
      <c r="W204" s="121"/>
      <c r="X204" s="121"/>
      <c r="Y204" s="121"/>
      <c r="Z204" s="121"/>
      <c r="AA204" s="121"/>
      <c r="AB204" s="121"/>
    </row>
    <row r="205">
      <c r="A205" s="131"/>
      <c r="B205" s="131"/>
      <c r="C205" s="131"/>
      <c r="D205" s="131"/>
      <c r="E205" s="131"/>
      <c r="F205" s="131"/>
      <c r="G205" s="131"/>
      <c r="H205" s="121"/>
      <c r="I205" s="121"/>
      <c r="J205" s="121"/>
      <c r="K205" s="121"/>
      <c r="L205" s="121"/>
      <c r="M205" s="121"/>
      <c r="N205" s="121"/>
      <c r="O205" s="121"/>
      <c r="P205" s="121"/>
      <c r="Q205" s="121"/>
      <c r="R205" s="121"/>
      <c r="S205" s="121"/>
      <c r="T205" s="121"/>
      <c r="U205" s="121"/>
      <c r="V205" s="121"/>
      <c r="W205" s="121"/>
      <c r="X205" s="121"/>
      <c r="Y205" s="121"/>
      <c r="Z205" s="121"/>
      <c r="AA205" s="121"/>
      <c r="AB205" s="121"/>
    </row>
    <row r="206">
      <c r="A206" s="131"/>
      <c r="B206" s="131"/>
      <c r="C206" s="131"/>
      <c r="D206" s="131"/>
      <c r="E206" s="131"/>
      <c r="F206" s="131"/>
      <c r="G206" s="131"/>
      <c r="H206" s="121"/>
      <c r="I206" s="121"/>
      <c r="J206" s="121"/>
      <c r="K206" s="121"/>
      <c r="L206" s="121"/>
      <c r="M206" s="121"/>
      <c r="N206" s="121"/>
      <c r="O206" s="121"/>
      <c r="P206" s="121"/>
      <c r="Q206" s="121"/>
      <c r="R206" s="121"/>
      <c r="S206" s="121"/>
      <c r="T206" s="121"/>
      <c r="U206" s="121"/>
      <c r="V206" s="121"/>
      <c r="W206" s="121"/>
      <c r="X206" s="121"/>
      <c r="Y206" s="121"/>
      <c r="Z206" s="121"/>
      <c r="AA206" s="121"/>
      <c r="AB206" s="121"/>
    </row>
    <row r="207">
      <c r="A207" s="131"/>
      <c r="B207" s="131"/>
      <c r="C207" s="131"/>
      <c r="D207" s="131"/>
      <c r="E207" s="131"/>
      <c r="F207" s="131"/>
      <c r="G207" s="131"/>
      <c r="H207" s="121"/>
      <c r="I207" s="121"/>
      <c r="J207" s="121"/>
      <c r="K207" s="121"/>
      <c r="L207" s="121"/>
      <c r="M207" s="121"/>
      <c r="N207" s="121"/>
      <c r="O207" s="121"/>
      <c r="P207" s="121"/>
      <c r="Q207" s="121"/>
      <c r="R207" s="121"/>
      <c r="S207" s="121"/>
      <c r="T207" s="121"/>
      <c r="U207" s="121"/>
      <c r="V207" s="121"/>
      <c r="W207" s="121"/>
      <c r="X207" s="121"/>
      <c r="Y207" s="121"/>
      <c r="Z207" s="121"/>
      <c r="AA207" s="121"/>
      <c r="AB207" s="121"/>
    </row>
    <row r="208">
      <c r="A208" s="131"/>
      <c r="B208" s="131"/>
      <c r="C208" s="131"/>
      <c r="D208" s="131"/>
      <c r="E208" s="131"/>
      <c r="F208" s="131"/>
      <c r="G208" s="131"/>
      <c r="H208" s="121"/>
      <c r="I208" s="121"/>
      <c r="J208" s="121"/>
      <c r="K208" s="121"/>
      <c r="L208" s="121"/>
      <c r="M208" s="121"/>
      <c r="N208" s="121"/>
      <c r="O208" s="121"/>
      <c r="P208" s="121"/>
      <c r="Q208" s="121"/>
      <c r="R208" s="121"/>
      <c r="S208" s="121"/>
      <c r="T208" s="121"/>
      <c r="U208" s="121"/>
      <c r="V208" s="121"/>
      <c r="W208" s="121"/>
      <c r="X208" s="121"/>
      <c r="Y208" s="121"/>
      <c r="Z208" s="121"/>
      <c r="AA208" s="121"/>
      <c r="AB208" s="121"/>
    </row>
    <row r="209">
      <c r="A209" s="131"/>
      <c r="B209" s="131"/>
      <c r="C209" s="131"/>
      <c r="D209" s="131"/>
      <c r="E209" s="131"/>
      <c r="F209" s="131"/>
      <c r="G209" s="131"/>
      <c r="H209" s="121"/>
      <c r="I209" s="121"/>
      <c r="J209" s="121"/>
      <c r="K209" s="121"/>
      <c r="L209" s="121"/>
      <c r="M209" s="121"/>
      <c r="N209" s="121"/>
      <c r="O209" s="121"/>
      <c r="P209" s="121"/>
      <c r="Q209" s="121"/>
      <c r="R209" s="121"/>
      <c r="S209" s="121"/>
      <c r="T209" s="121"/>
      <c r="U209" s="121"/>
      <c r="V209" s="121"/>
      <c r="W209" s="121"/>
      <c r="X209" s="121"/>
      <c r="Y209" s="121"/>
      <c r="Z209" s="121"/>
      <c r="AA209" s="121"/>
      <c r="AB209" s="121"/>
    </row>
    <row r="210">
      <c r="A210" s="131"/>
      <c r="B210" s="131"/>
      <c r="C210" s="131"/>
      <c r="D210" s="131"/>
      <c r="E210" s="131"/>
      <c r="F210" s="131"/>
      <c r="G210" s="131"/>
      <c r="H210" s="121"/>
      <c r="I210" s="121"/>
      <c r="J210" s="121"/>
      <c r="K210" s="121"/>
      <c r="L210" s="121"/>
      <c r="M210" s="121"/>
      <c r="N210" s="121"/>
      <c r="O210" s="121"/>
      <c r="P210" s="121"/>
      <c r="Q210" s="121"/>
      <c r="R210" s="121"/>
      <c r="S210" s="121"/>
      <c r="T210" s="121"/>
      <c r="U210" s="121"/>
      <c r="V210" s="121"/>
      <c r="W210" s="121"/>
      <c r="X210" s="121"/>
      <c r="Y210" s="121"/>
      <c r="Z210" s="121"/>
      <c r="AA210" s="121"/>
      <c r="AB210" s="121"/>
    </row>
    <row r="211">
      <c r="A211" s="131"/>
      <c r="B211" s="131"/>
      <c r="C211" s="131"/>
      <c r="D211" s="131"/>
      <c r="E211" s="131"/>
      <c r="F211" s="131"/>
      <c r="G211" s="131"/>
      <c r="H211" s="121"/>
      <c r="I211" s="121"/>
      <c r="J211" s="121"/>
      <c r="K211" s="121"/>
      <c r="L211" s="121"/>
      <c r="M211" s="121"/>
      <c r="N211" s="121"/>
      <c r="O211" s="121"/>
      <c r="P211" s="121"/>
      <c r="Q211" s="121"/>
      <c r="R211" s="121"/>
      <c r="S211" s="121"/>
      <c r="T211" s="121"/>
      <c r="U211" s="121"/>
      <c r="V211" s="121"/>
      <c r="W211" s="121"/>
      <c r="X211" s="121"/>
      <c r="Y211" s="121"/>
      <c r="Z211" s="121"/>
      <c r="AA211" s="121"/>
      <c r="AB211" s="121"/>
    </row>
    <row r="212">
      <c r="A212" s="131"/>
      <c r="B212" s="131"/>
      <c r="C212" s="131"/>
      <c r="D212" s="131"/>
      <c r="E212" s="131"/>
      <c r="F212" s="131"/>
      <c r="G212" s="131"/>
      <c r="H212" s="121"/>
      <c r="I212" s="121"/>
      <c r="J212" s="121"/>
      <c r="K212" s="121"/>
      <c r="L212" s="121"/>
      <c r="M212" s="121"/>
      <c r="N212" s="121"/>
      <c r="O212" s="121"/>
      <c r="P212" s="121"/>
      <c r="Q212" s="121"/>
      <c r="R212" s="121"/>
      <c r="S212" s="121"/>
      <c r="T212" s="121"/>
      <c r="U212" s="121"/>
      <c r="V212" s="121"/>
      <c r="W212" s="121"/>
      <c r="X212" s="121"/>
      <c r="Y212" s="121"/>
      <c r="Z212" s="121"/>
      <c r="AA212" s="121"/>
      <c r="AB212" s="121"/>
    </row>
    <row r="213">
      <c r="A213" s="131"/>
      <c r="B213" s="131"/>
      <c r="C213" s="131"/>
      <c r="D213" s="131"/>
      <c r="E213" s="131"/>
      <c r="F213" s="131"/>
      <c r="G213" s="131"/>
      <c r="H213" s="121"/>
      <c r="I213" s="121"/>
      <c r="J213" s="121"/>
      <c r="K213" s="121"/>
      <c r="L213" s="121"/>
      <c r="M213" s="121"/>
      <c r="N213" s="121"/>
      <c r="O213" s="121"/>
      <c r="P213" s="121"/>
      <c r="Q213" s="121"/>
      <c r="R213" s="121"/>
      <c r="S213" s="121"/>
      <c r="T213" s="121"/>
      <c r="U213" s="121"/>
      <c r="V213" s="121"/>
      <c r="W213" s="121"/>
      <c r="X213" s="121"/>
      <c r="Y213" s="121"/>
      <c r="Z213" s="121"/>
      <c r="AA213" s="121"/>
      <c r="AB213" s="121"/>
    </row>
    <row r="214">
      <c r="A214" s="131"/>
      <c r="B214" s="131"/>
      <c r="C214" s="131"/>
      <c r="D214" s="131"/>
      <c r="E214" s="131"/>
      <c r="F214" s="131"/>
      <c r="G214" s="131"/>
      <c r="H214" s="121"/>
      <c r="I214" s="121"/>
      <c r="J214" s="121"/>
      <c r="K214" s="121"/>
      <c r="L214" s="121"/>
      <c r="M214" s="121"/>
      <c r="N214" s="121"/>
      <c r="O214" s="121"/>
      <c r="P214" s="121"/>
      <c r="Q214" s="121"/>
      <c r="R214" s="121"/>
      <c r="S214" s="121"/>
      <c r="T214" s="121"/>
      <c r="U214" s="121"/>
      <c r="V214" s="121"/>
      <c r="W214" s="121"/>
      <c r="X214" s="121"/>
      <c r="Y214" s="121"/>
      <c r="Z214" s="121"/>
      <c r="AA214" s="121"/>
      <c r="AB214" s="121"/>
    </row>
    <row r="215">
      <c r="A215" s="131"/>
      <c r="B215" s="131"/>
      <c r="C215" s="131"/>
      <c r="D215" s="131"/>
      <c r="E215" s="131"/>
      <c r="F215" s="131"/>
      <c r="G215" s="131"/>
      <c r="H215" s="121"/>
      <c r="I215" s="121"/>
      <c r="J215" s="121"/>
      <c r="K215" s="121"/>
      <c r="L215" s="121"/>
      <c r="M215" s="121"/>
      <c r="N215" s="121"/>
      <c r="O215" s="121"/>
      <c r="P215" s="121"/>
      <c r="Q215" s="121"/>
      <c r="R215" s="121"/>
      <c r="S215" s="121"/>
      <c r="T215" s="121"/>
      <c r="U215" s="121"/>
      <c r="V215" s="121"/>
      <c r="W215" s="121"/>
      <c r="X215" s="121"/>
      <c r="Y215" s="121"/>
      <c r="Z215" s="121"/>
      <c r="AA215" s="121"/>
      <c r="AB215" s="121"/>
    </row>
    <row r="216">
      <c r="A216" s="131"/>
      <c r="B216" s="131"/>
      <c r="C216" s="131"/>
      <c r="D216" s="131"/>
      <c r="E216" s="131"/>
      <c r="F216" s="131"/>
      <c r="G216" s="131"/>
      <c r="H216" s="121"/>
      <c r="I216" s="121"/>
      <c r="J216" s="121"/>
      <c r="K216" s="121"/>
      <c r="L216" s="121"/>
      <c r="M216" s="121"/>
      <c r="N216" s="121"/>
      <c r="O216" s="121"/>
      <c r="P216" s="121"/>
      <c r="Q216" s="121"/>
      <c r="R216" s="121"/>
      <c r="S216" s="121"/>
      <c r="T216" s="121"/>
      <c r="U216" s="121"/>
      <c r="V216" s="121"/>
      <c r="W216" s="121"/>
      <c r="X216" s="121"/>
      <c r="Y216" s="121"/>
      <c r="Z216" s="121"/>
      <c r="AA216" s="121"/>
      <c r="AB216" s="121"/>
    </row>
    <row r="217">
      <c r="A217" s="131"/>
      <c r="B217" s="131"/>
      <c r="C217" s="131"/>
      <c r="D217" s="131"/>
      <c r="E217" s="131"/>
      <c r="F217" s="131"/>
      <c r="G217" s="131"/>
      <c r="H217" s="121"/>
      <c r="I217" s="121"/>
      <c r="J217" s="121"/>
      <c r="K217" s="121"/>
      <c r="L217" s="121"/>
      <c r="M217" s="121"/>
      <c r="N217" s="121"/>
      <c r="O217" s="121"/>
      <c r="P217" s="121"/>
      <c r="Q217" s="121"/>
      <c r="R217" s="121"/>
      <c r="S217" s="121"/>
      <c r="T217" s="121"/>
      <c r="U217" s="121"/>
      <c r="V217" s="121"/>
      <c r="W217" s="121"/>
      <c r="X217" s="121"/>
      <c r="Y217" s="121"/>
      <c r="Z217" s="121"/>
      <c r="AA217" s="121"/>
      <c r="AB217" s="121"/>
    </row>
    <row r="218">
      <c r="A218" s="131"/>
      <c r="B218" s="131"/>
      <c r="C218" s="131"/>
      <c r="D218" s="131"/>
      <c r="E218" s="131"/>
      <c r="F218" s="131"/>
      <c r="G218" s="131"/>
      <c r="H218" s="121"/>
      <c r="I218" s="121"/>
      <c r="J218" s="121"/>
      <c r="K218" s="121"/>
      <c r="L218" s="121"/>
      <c r="M218" s="121"/>
      <c r="N218" s="121"/>
      <c r="O218" s="121"/>
      <c r="P218" s="121"/>
      <c r="Q218" s="121"/>
      <c r="R218" s="121"/>
      <c r="S218" s="121"/>
      <c r="T218" s="121"/>
      <c r="U218" s="121"/>
      <c r="V218" s="121"/>
      <c r="W218" s="121"/>
      <c r="X218" s="121"/>
      <c r="Y218" s="121"/>
      <c r="Z218" s="121"/>
      <c r="AA218" s="121"/>
      <c r="AB218" s="121"/>
    </row>
    <row r="219">
      <c r="A219" s="131"/>
      <c r="B219" s="131"/>
      <c r="C219" s="131"/>
      <c r="D219" s="131"/>
      <c r="E219" s="131"/>
      <c r="F219" s="131"/>
      <c r="G219" s="131"/>
      <c r="H219" s="121"/>
      <c r="I219" s="121"/>
      <c r="J219" s="121"/>
      <c r="K219" s="121"/>
      <c r="L219" s="121"/>
      <c r="M219" s="121"/>
      <c r="N219" s="121"/>
      <c r="O219" s="121"/>
      <c r="P219" s="121"/>
      <c r="Q219" s="121"/>
      <c r="R219" s="121"/>
      <c r="S219" s="121"/>
      <c r="T219" s="121"/>
      <c r="U219" s="121"/>
      <c r="V219" s="121"/>
      <c r="W219" s="121"/>
      <c r="X219" s="121"/>
      <c r="Y219" s="121"/>
      <c r="Z219" s="121"/>
      <c r="AA219" s="121"/>
      <c r="AB219" s="121"/>
    </row>
    <row r="220">
      <c r="A220" s="131"/>
      <c r="B220" s="131"/>
      <c r="C220" s="131"/>
      <c r="D220" s="131"/>
      <c r="E220" s="131"/>
      <c r="F220" s="131"/>
      <c r="G220" s="131"/>
      <c r="H220" s="121"/>
      <c r="I220" s="121"/>
      <c r="J220" s="121"/>
      <c r="K220" s="121"/>
      <c r="L220" s="121"/>
      <c r="M220" s="121"/>
      <c r="N220" s="121"/>
      <c r="O220" s="121"/>
      <c r="P220" s="121"/>
      <c r="Q220" s="121"/>
      <c r="R220" s="121"/>
      <c r="S220" s="121"/>
      <c r="T220" s="121"/>
      <c r="U220" s="121"/>
      <c r="V220" s="121"/>
      <c r="W220" s="121"/>
      <c r="X220" s="121"/>
      <c r="Y220" s="121"/>
      <c r="Z220" s="121"/>
      <c r="AA220" s="121"/>
      <c r="AB220" s="121"/>
    </row>
    <row r="221">
      <c r="A221" s="131"/>
      <c r="B221" s="131"/>
      <c r="C221" s="131"/>
      <c r="D221" s="131"/>
      <c r="E221" s="131"/>
      <c r="F221" s="131"/>
      <c r="G221" s="131"/>
      <c r="H221" s="121"/>
      <c r="I221" s="121"/>
      <c r="J221" s="121"/>
      <c r="K221" s="121"/>
      <c r="L221" s="121"/>
      <c r="M221" s="121"/>
      <c r="N221" s="121"/>
      <c r="O221" s="121"/>
      <c r="P221" s="121"/>
      <c r="Q221" s="121"/>
      <c r="R221" s="121"/>
      <c r="S221" s="121"/>
      <c r="T221" s="121"/>
      <c r="U221" s="121"/>
      <c r="V221" s="121"/>
      <c r="W221" s="121"/>
      <c r="X221" s="121"/>
      <c r="Y221" s="121"/>
      <c r="Z221" s="121"/>
      <c r="AA221" s="121"/>
      <c r="AB221" s="121"/>
    </row>
    <row r="222">
      <c r="A222" s="131"/>
      <c r="B222" s="131"/>
      <c r="C222" s="131"/>
      <c r="D222" s="131"/>
      <c r="E222" s="131"/>
      <c r="F222" s="131"/>
      <c r="G222" s="131"/>
      <c r="H222" s="121"/>
      <c r="I222" s="121"/>
      <c r="J222" s="121"/>
      <c r="K222" s="121"/>
      <c r="L222" s="121"/>
      <c r="M222" s="121"/>
      <c r="N222" s="121"/>
      <c r="O222" s="121"/>
      <c r="P222" s="121"/>
      <c r="Q222" s="121"/>
      <c r="R222" s="121"/>
      <c r="S222" s="121"/>
      <c r="T222" s="121"/>
      <c r="U222" s="121"/>
      <c r="V222" s="121"/>
      <c r="W222" s="121"/>
      <c r="X222" s="121"/>
      <c r="Y222" s="121"/>
      <c r="Z222" s="121"/>
      <c r="AA222" s="121"/>
      <c r="AB222" s="121"/>
    </row>
    <row r="223">
      <c r="A223" s="131"/>
      <c r="B223" s="131"/>
      <c r="C223" s="131"/>
      <c r="D223" s="131"/>
      <c r="E223" s="131"/>
      <c r="F223" s="131"/>
      <c r="G223" s="131"/>
      <c r="H223" s="121"/>
      <c r="I223" s="121"/>
      <c r="J223" s="121"/>
      <c r="K223" s="121"/>
      <c r="L223" s="121"/>
      <c r="M223" s="121"/>
      <c r="N223" s="121"/>
      <c r="O223" s="121"/>
      <c r="P223" s="121"/>
      <c r="Q223" s="121"/>
      <c r="R223" s="121"/>
      <c r="S223" s="121"/>
      <c r="T223" s="121"/>
      <c r="U223" s="121"/>
      <c r="V223" s="121"/>
      <c r="W223" s="121"/>
      <c r="X223" s="121"/>
      <c r="Y223" s="121"/>
      <c r="Z223" s="121"/>
      <c r="AA223" s="121"/>
      <c r="AB223" s="121"/>
    </row>
    <row r="224">
      <c r="A224" s="131"/>
      <c r="B224" s="131"/>
      <c r="C224" s="131"/>
      <c r="D224" s="131"/>
      <c r="E224" s="131"/>
      <c r="F224" s="131"/>
      <c r="G224" s="131"/>
      <c r="H224" s="121"/>
      <c r="I224" s="121"/>
      <c r="J224" s="121"/>
      <c r="K224" s="121"/>
      <c r="L224" s="121"/>
      <c r="M224" s="121"/>
      <c r="N224" s="121"/>
      <c r="O224" s="121"/>
      <c r="P224" s="121"/>
      <c r="Q224" s="121"/>
      <c r="R224" s="121"/>
      <c r="S224" s="121"/>
      <c r="T224" s="121"/>
      <c r="U224" s="121"/>
      <c r="V224" s="121"/>
      <c r="W224" s="121"/>
      <c r="X224" s="121"/>
      <c r="Y224" s="121"/>
      <c r="Z224" s="121"/>
      <c r="AA224" s="121"/>
      <c r="AB224" s="121"/>
    </row>
    <row r="225">
      <c r="A225" s="131"/>
      <c r="B225" s="131"/>
      <c r="C225" s="131"/>
      <c r="D225" s="131"/>
      <c r="E225" s="131"/>
      <c r="F225" s="131"/>
      <c r="G225" s="131"/>
      <c r="H225" s="121"/>
      <c r="I225" s="121"/>
      <c r="J225" s="121"/>
      <c r="K225" s="121"/>
      <c r="L225" s="121"/>
      <c r="M225" s="121"/>
      <c r="N225" s="121"/>
      <c r="O225" s="121"/>
      <c r="P225" s="121"/>
      <c r="Q225" s="121"/>
      <c r="R225" s="121"/>
      <c r="S225" s="121"/>
      <c r="T225" s="121"/>
      <c r="U225" s="121"/>
      <c r="V225" s="121"/>
      <c r="W225" s="121"/>
      <c r="X225" s="121"/>
      <c r="Y225" s="121"/>
      <c r="Z225" s="121"/>
      <c r="AA225" s="121"/>
      <c r="AB225" s="121"/>
    </row>
    <row r="226">
      <c r="A226" s="131"/>
      <c r="B226" s="131"/>
      <c r="C226" s="131"/>
      <c r="D226" s="131"/>
      <c r="E226" s="131"/>
      <c r="F226" s="131"/>
      <c r="G226" s="131"/>
      <c r="H226" s="121"/>
      <c r="I226" s="121"/>
      <c r="J226" s="121"/>
      <c r="K226" s="121"/>
      <c r="L226" s="121"/>
      <c r="M226" s="121"/>
      <c r="N226" s="121"/>
      <c r="O226" s="121"/>
      <c r="P226" s="121"/>
      <c r="Q226" s="121"/>
      <c r="R226" s="121"/>
      <c r="S226" s="121"/>
      <c r="T226" s="121"/>
      <c r="U226" s="121"/>
      <c r="V226" s="121"/>
      <c r="W226" s="121"/>
      <c r="X226" s="121"/>
      <c r="Y226" s="121"/>
      <c r="Z226" s="121"/>
      <c r="AA226" s="121"/>
      <c r="AB226" s="121"/>
    </row>
    <row r="227">
      <c r="A227" s="131"/>
      <c r="B227" s="131"/>
      <c r="C227" s="131"/>
      <c r="D227" s="131"/>
      <c r="E227" s="131"/>
      <c r="F227" s="131"/>
      <c r="G227" s="131"/>
      <c r="H227" s="121"/>
      <c r="I227" s="121"/>
      <c r="J227" s="121"/>
      <c r="K227" s="121"/>
      <c r="L227" s="121"/>
      <c r="M227" s="121"/>
      <c r="N227" s="121"/>
      <c r="O227" s="121"/>
      <c r="P227" s="121"/>
      <c r="Q227" s="121"/>
      <c r="R227" s="121"/>
      <c r="S227" s="121"/>
      <c r="T227" s="121"/>
      <c r="U227" s="121"/>
      <c r="V227" s="121"/>
      <c r="W227" s="121"/>
      <c r="X227" s="121"/>
      <c r="Y227" s="121"/>
      <c r="Z227" s="121"/>
      <c r="AA227" s="121"/>
      <c r="AB227" s="121"/>
    </row>
    <row r="228">
      <c r="A228" s="131"/>
      <c r="B228" s="131"/>
      <c r="C228" s="131"/>
      <c r="D228" s="131"/>
      <c r="E228" s="131"/>
      <c r="F228" s="131"/>
      <c r="G228" s="131"/>
      <c r="H228" s="121"/>
      <c r="I228" s="121"/>
      <c r="J228" s="121"/>
      <c r="K228" s="121"/>
      <c r="L228" s="121"/>
      <c r="M228" s="121"/>
      <c r="N228" s="121"/>
      <c r="O228" s="121"/>
      <c r="P228" s="121"/>
      <c r="Q228" s="121"/>
      <c r="R228" s="121"/>
      <c r="S228" s="121"/>
      <c r="T228" s="121"/>
      <c r="U228" s="121"/>
      <c r="V228" s="121"/>
      <c r="W228" s="121"/>
      <c r="X228" s="121"/>
      <c r="Y228" s="121"/>
      <c r="Z228" s="121"/>
      <c r="AA228" s="121"/>
      <c r="AB228" s="121"/>
    </row>
    <row r="229">
      <c r="A229" s="131"/>
      <c r="B229" s="131"/>
      <c r="C229" s="131"/>
      <c r="D229" s="131"/>
      <c r="E229" s="131"/>
      <c r="F229" s="131"/>
      <c r="G229" s="131"/>
      <c r="H229" s="121"/>
      <c r="I229" s="121"/>
      <c r="J229" s="121"/>
      <c r="K229" s="121"/>
      <c r="L229" s="121"/>
      <c r="M229" s="121"/>
      <c r="N229" s="121"/>
      <c r="O229" s="121"/>
      <c r="P229" s="121"/>
      <c r="Q229" s="121"/>
      <c r="R229" s="121"/>
      <c r="S229" s="121"/>
      <c r="T229" s="121"/>
      <c r="U229" s="121"/>
      <c r="V229" s="121"/>
      <c r="W229" s="121"/>
      <c r="X229" s="121"/>
      <c r="Y229" s="121"/>
      <c r="Z229" s="121"/>
      <c r="AA229" s="121"/>
      <c r="AB229" s="121"/>
    </row>
    <row r="230">
      <c r="A230" s="131"/>
      <c r="B230" s="131"/>
      <c r="C230" s="131"/>
      <c r="D230" s="131"/>
      <c r="E230" s="131"/>
      <c r="F230" s="131"/>
      <c r="G230" s="131"/>
      <c r="H230" s="121"/>
      <c r="I230" s="121"/>
      <c r="J230" s="121"/>
      <c r="K230" s="121"/>
      <c r="L230" s="121"/>
      <c r="M230" s="121"/>
      <c r="N230" s="121"/>
      <c r="O230" s="121"/>
      <c r="P230" s="121"/>
      <c r="Q230" s="121"/>
      <c r="R230" s="121"/>
      <c r="S230" s="121"/>
      <c r="T230" s="121"/>
      <c r="U230" s="121"/>
      <c r="V230" s="121"/>
      <c r="W230" s="121"/>
      <c r="X230" s="121"/>
      <c r="Y230" s="121"/>
      <c r="Z230" s="121"/>
      <c r="AA230" s="121"/>
      <c r="AB230" s="121"/>
    </row>
    <row r="231">
      <c r="A231" s="131"/>
      <c r="B231" s="131"/>
      <c r="C231" s="131"/>
      <c r="D231" s="131"/>
      <c r="E231" s="131"/>
      <c r="F231" s="131"/>
      <c r="G231" s="131"/>
      <c r="H231" s="121"/>
      <c r="I231" s="121"/>
      <c r="J231" s="121"/>
      <c r="K231" s="121"/>
      <c r="L231" s="121"/>
      <c r="M231" s="121"/>
      <c r="N231" s="121"/>
      <c r="O231" s="121"/>
      <c r="P231" s="121"/>
      <c r="Q231" s="121"/>
      <c r="R231" s="121"/>
      <c r="S231" s="121"/>
      <c r="T231" s="121"/>
      <c r="U231" s="121"/>
      <c r="V231" s="121"/>
      <c r="W231" s="121"/>
      <c r="X231" s="121"/>
      <c r="Y231" s="121"/>
      <c r="Z231" s="121"/>
      <c r="AA231" s="121"/>
      <c r="AB231" s="121"/>
    </row>
    <row r="232">
      <c r="A232" s="131"/>
      <c r="B232" s="131"/>
      <c r="C232" s="131"/>
      <c r="D232" s="131"/>
      <c r="E232" s="131"/>
      <c r="F232" s="131"/>
      <c r="G232" s="131"/>
      <c r="H232" s="121"/>
      <c r="I232" s="121"/>
      <c r="J232" s="121"/>
      <c r="K232" s="121"/>
      <c r="L232" s="121"/>
      <c r="M232" s="121"/>
      <c r="N232" s="121"/>
      <c r="O232" s="121"/>
      <c r="P232" s="121"/>
      <c r="Q232" s="121"/>
      <c r="R232" s="121"/>
      <c r="S232" s="121"/>
      <c r="T232" s="121"/>
      <c r="U232" s="121"/>
      <c r="V232" s="121"/>
      <c r="W232" s="121"/>
      <c r="X232" s="121"/>
      <c r="Y232" s="121"/>
      <c r="Z232" s="121"/>
      <c r="AA232" s="121"/>
      <c r="AB232" s="121"/>
    </row>
    <row r="233">
      <c r="A233" s="131"/>
      <c r="B233" s="131"/>
      <c r="C233" s="131"/>
      <c r="D233" s="131"/>
      <c r="E233" s="131"/>
      <c r="F233" s="131"/>
      <c r="G233" s="131"/>
      <c r="H233" s="121"/>
      <c r="I233" s="121"/>
      <c r="J233" s="121"/>
      <c r="K233" s="121"/>
      <c r="L233" s="121"/>
      <c r="M233" s="121"/>
      <c r="N233" s="121"/>
      <c r="O233" s="121"/>
      <c r="P233" s="121"/>
      <c r="Q233" s="121"/>
      <c r="R233" s="121"/>
      <c r="S233" s="121"/>
      <c r="T233" s="121"/>
      <c r="U233" s="121"/>
      <c r="V233" s="121"/>
      <c r="W233" s="121"/>
      <c r="X233" s="121"/>
      <c r="Y233" s="121"/>
      <c r="Z233" s="121"/>
      <c r="AA233" s="121"/>
      <c r="AB233" s="121"/>
    </row>
    <row r="234">
      <c r="A234" s="131"/>
      <c r="B234" s="131"/>
      <c r="C234" s="131"/>
      <c r="D234" s="131"/>
      <c r="E234" s="131"/>
      <c r="F234" s="131"/>
      <c r="G234" s="131"/>
      <c r="H234" s="121"/>
      <c r="I234" s="121"/>
      <c r="J234" s="121"/>
      <c r="K234" s="121"/>
      <c r="L234" s="121"/>
      <c r="M234" s="121"/>
      <c r="N234" s="121"/>
      <c r="O234" s="121"/>
      <c r="P234" s="121"/>
      <c r="Q234" s="121"/>
      <c r="R234" s="121"/>
      <c r="S234" s="121"/>
      <c r="T234" s="121"/>
      <c r="U234" s="121"/>
      <c r="V234" s="121"/>
      <c r="W234" s="121"/>
      <c r="X234" s="121"/>
      <c r="Y234" s="121"/>
      <c r="Z234" s="121"/>
      <c r="AA234" s="121"/>
      <c r="AB234" s="121"/>
    </row>
    <row r="235">
      <c r="A235" s="131"/>
      <c r="B235" s="131"/>
      <c r="C235" s="131"/>
      <c r="D235" s="131"/>
      <c r="E235" s="131"/>
      <c r="F235" s="131"/>
      <c r="G235" s="131"/>
      <c r="H235" s="121"/>
      <c r="I235" s="121"/>
      <c r="J235" s="121"/>
      <c r="K235" s="121"/>
      <c r="L235" s="121"/>
      <c r="M235" s="121"/>
      <c r="N235" s="121"/>
      <c r="O235" s="121"/>
      <c r="P235" s="121"/>
      <c r="Q235" s="121"/>
      <c r="R235" s="121"/>
      <c r="S235" s="121"/>
      <c r="T235" s="121"/>
      <c r="U235" s="121"/>
      <c r="V235" s="121"/>
      <c r="W235" s="121"/>
      <c r="X235" s="121"/>
      <c r="Y235" s="121"/>
      <c r="Z235" s="121"/>
      <c r="AA235" s="121"/>
      <c r="AB235" s="121"/>
    </row>
    <row r="236">
      <c r="A236" s="131"/>
      <c r="B236" s="131"/>
      <c r="C236" s="131"/>
      <c r="D236" s="131"/>
      <c r="E236" s="131"/>
      <c r="F236" s="131"/>
      <c r="G236" s="131"/>
      <c r="H236" s="121"/>
      <c r="I236" s="121"/>
      <c r="J236" s="121"/>
      <c r="K236" s="121"/>
      <c r="L236" s="121"/>
      <c r="M236" s="121"/>
      <c r="N236" s="121"/>
      <c r="O236" s="121"/>
      <c r="P236" s="121"/>
      <c r="Q236" s="121"/>
      <c r="R236" s="121"/>
      <c r="S236" s="121"/>
      <c r="T236" s="121"/>
      <c r="U236" s="121"/>
      <c r="V236" s="121"/>
      <c r="W236" s="121"/>
      <c r="X236" s="121"/>
      <c r="Y236" s="121"/>
      <c r="Z236" s="121"/>
      <c r="AA236" s="121"/>
      <c r="AB236" s="121"/>
    </row>
    <row r="237">
      <c r="A237" s="131"/>
      <c r="B237" s="131"/>
      <c r="C237" s="131"/>
      <c r="D237" s="131"/>
      <c r="E237" s="131"/>
      <c r="F237" s="131"/>
      <c r="G237" s="131"/>
      <c r="H237" s="121"/>
      <c r="I237" s="121"/>
      <c r="J237" s="121"/>
      <c r="K237" s="121"/>
      <c r="L237" s="121"/>
      <c r="M237" s="121"/>
      <c r="N237" s="121"/>
      <c r="O237" s="121"/>
      <c r="P237" s="121"/>
      <c r="Q237" s="121"/>
      <c r="R237" s="121"/>
      <c r="S237" s="121"/>
      <c r="T237" s="121"/>
      <c r="U237" s="121"/>
      <c r="V237" s="121"/>
      <c r="W237" s="121"/>
      <c r="X237" s="121"/>
      <c r="Y237" s="121"/>
      <c r="Z237" s="121"/>
      <c r="AA237" s="121"/>
      <c r="AB237" s="121"/>
    </row>
    <row r="238">
      <c r="A238" s="131"/>
      <c r="B238" s="131"/>
      <c r="C238" s="131"/>
      <c r="D238" s="131"/>
      <c r="E238" s="131"/>
      <c r="F238" s="131"/>
      <c r="G238" s="131"/>
      <c r="H238" s="121"/>
      <c r="I238" s="121"/>
      <c r="J238" s="121"/>
      <c r="K238" s="121"/>
      <c r="L238" s="121"/>
      <c r="M238" s="121"/>
      <c r="N238" s="121"/>
      <c r="O238" s="121"/>
      <c r="P238" s="121"/>
      <c r="Q238" s="121"/>
      <c r="R238" s="121"/>
      <c r="S238" s="121"/>
      <c r="T238" s="121"/>
      <c r="U238" s="121"/>
      <c r="V238" s="121"/>
      <c r="W238" s="121"/>
      <c r="X238" s="121"/>
      <c r="Y238" s="121"/>
      <c r="Z238" s="121"/>
      <c r="AA238" s="121"/>
      <c r="AB238" s="121"/>
    </row>
    <row r="239">
      <c r="A239" s="131"/>
      <c r="B239" s="131"/>
      <c r="C239" s="131"/>
      <c r="D239" s="131"/>
      <c r="E239" s="131"/>
      <c r="F239" s="131"/>
      <c r="G239" s="131"/>
      <c r="H239" s="121"/>
      <c r="I239" s="121"/>
      <c r="J239" s="121"/>
      <c r="K239" s="121"/>
      <c r="L239" s="121"/>
      <c r="M239" s="121"/>
      <c r="N239" s="121"/>
      <c r="O239" s="121"/>
      <c r="P239" s="121"/>
      <c r="Q239" s="121"/>
      <c r="R239" s="121"/>
      <c r="S239" s="121"/>
      <c r="T239" s="121"/>
      <c r="U239" s="121"/>
      <c r="V239" s="121"/>
      <c r="W239" s="121"/>
      <c r="X239" s="121"/>
      <c r="Y239" s="121"/>
      <c r="Z239" s="121"/>
      <c r="AA239" s="121"/>
      <c r="AB239" s="121"/>
    </row>
    <row r="240">
      <c r="A240" s="131"/>
      <c r="B240" s="131"/>
      <c r="C240" s="131"/>
      <c r="D240" s="131"/>
      <c r="E240" s="131"/>
      <c r="F240" s="131"/>
      <c r="G240" s="131"/>
      <c r="H240" s="121"/>
      <c r="I240" s="121"/>
      <c r="J240" s="121"/>
      <c r="K240" s="121"/>
      <c r="L240" s="121"/>
      <c r="M240" s="121"/>
      <c r="N240" s="121"/>
      <c r="O240" s="121"/>
      <c r="P240" s="121"/>
      <c r="Q240" s="121"/>
      <c r="R240" s="121"/>
      <c r="S240" s="121"/>
      <c r="T240" s="121"/>
      <c r="U240" s="121"/>
      <c r="V240" s="121"/>
      <c r="W240" s="121"/>
      <c r="X240" s="121"/>
      <c r="Y240" s="121"/>
      <c r="Z240" s="121"/>
      <c r="AA240" s="121"/>
      <c r="AB240" s="121"/>
    </row>
    <row r="241">
      <c r="A241" s="131"/>
      <c r="B241" s="131"/>
      <c r="C241" s="131"/>
      <c r="D241" s="131"/>
      <c r="E241" s="131"/>
      <c r="F241" s="131"/>
      <c r="G241" s="131"/>
      <c r="H241" s="121"/>
      <c r="I241" s="121"/>
      <c r="J241" s="121"/>
      <c r="K241" s="121"/>
      <c r="L241" s="121"/>
      <c r="M241" s="121"/>
      <c r="N241" s="121"/>
      <c r="O241" s="121"/>
      <c r="P241" s="121"/>
      <c r="Q241" s="121"/>
      <c r="R241" s="121"/>
      <c r="S241" s="121"/>
      <c r="T241" s="121"/>
      <c r="U241" s="121"/>
      <c r="V241" s="121"/>
      <c r="W241" s="121"/>
      <c r="X241" s="121"/>
      <c r="Y241" s="121"/>
      <c r="Z241" s="121"/>
      <c r="AA241" s="121"/>
      <c r="AB241" s="121"/>
    </row>
    <row r="242">
      <c r="A242" s="131"/>
      <c r="B242" s="131"/>
      <c r="C242" s="131"/>
      <c r="D242" s="131"/>
      <c r="E242" s="131"/>
      <c r="F242" s="131"/>
      <c r="G242" s="131"/>
      <c r="H242" s="121"/>
      <c r="I242" s="121"/>
      <c r="J242" s="121"/>
      <c r="K242" s="121"/>
      <c r="L242" s="121"/>
      <c r="M242" s="121"/>
      <c r="N242" s="121"/>
      <c r="O242" s="121"/>
      <c r="P242" s="121"/>
      <c r="Q242" s="121"/>
      <c r="R242" s="121"/>
      <c r="S242" s="121"/>
      <c r="T242" s="121"/>
      <c r="U242" s="121"/>
      <c r="V242" s="121"/>
      <c r="W242" s="121"/>
      <c r="X242" s="121"/>
      <c r="Y242" s="121"/>
      <c r="Z242" s="121"/>
      <c r="AA242" s="121"/>
      <c r="AB242" s="121"/>
    </row>
    <row r="243">
      <c r="A243" s="131"/>
      <c r="B243" s="131"/>
      <c r="C243" s="131"/>
      <c r="D243" s="131"/>
      <c r="E243" s="131"/>
      <c r="F243" s="131"/>
      <c r="G243" s="131"/>
      <c r="H243" s="121"/>
      <c r="I243" s="121"/>
      <c r="J243" s="121"/>
      <c r="K243" s="121"/>
      <c r="L243" s="121"/>
      <c r="M243" s="121"/>
      <c r="N243" s="121"/>
      <c r="O243" s="121"/>
      <c r="P243" s="121"/>
      <c r="Q243" s="121"/>
      <c r="R243" s="121"/>
      <c r="S243" s="121"/>
      <c r="T243" s="121"/>
      <c r="U243" s="121"/>
      <c r="V243" s="121"/>
      <c r="W243" s="121"/>
      <c r="X243" s="121"/>
      <c r="Y243" s="121"/>
      <c r="Z243" s="121"/>
      <c r="AA243" s="121"/>
      <c r="AB243" s="121"/>
    </row>
    <row r="244">
      <c r="A244" s="131"/>
      <c r="B244" s="131"/>
      <c r="C244" s="131"/>
      <c r="D244" s="131"/>
      <c r="E244" s="131"/>
      <c r="F244" s="131"/>
      <c r="G244" s="131"/>
      <c r="H244" s="121"/>
      <c r="I244" s="121"/>
      <c r="J244" s="121"/>
      <c r="K244" s="121"/>
      <c r="L244" s="121"/>
      <c r="M244" s="121"/>
      <c r="N244" s="121"/>
      <c r="O244" s="121"/>
      <c r="P244" s="121"/>
      <c r="Q244" s="121"/>
      <c r="R244" s="121"/>
      <c r="S244" s="121"/>
      <c r="T244" s="121"/>
      <c r="U244" s="121"/>
      <c r="V244" s="121"/>
      <c r="W244" s="121"/>
      <c r="X244" s="121"/>
      <c r="Y244" s="121"/>
      <c r="Z244" s="121"/>
      <c r="AA244" s="121"/>
      <c r="AB244" s="121"/>
    </row>
    <row r="245">
      <c r="A245" s="131"/>
      <c r="B245" s="131"/>
      <c r="C245" s="131"/>
      <c r="D245" s="131"/>
      <c r="E245" s="131"/>
      <c r="F245" s="131"/>
      <c r="G245" s="131"/>
      <c r="H245" s="121"/>
      <c r="I245" s="121"/>
      <c r="J245" s="121"/>
      <c r="K245" s="121"/>
      <c r="L245" s="121"/>
      <c r="M245" s="121"/>
      <c r="N245" s="121"/>
      <c r="O245" s="121"/>
      <c r="P245" s="121"/>
      <c r="Q245" s="121"/>
      <c r="R245" s="121"/>
      <c r="S245" s="121"/>
      <c r="T245" s="121"/>
      <c r="U245" s="121"/>
      <c r="V245" s="121"/>
      <c r="W245" s="121"/>
      <c r="X245" s="121"/>
      <c r="Y245" s="121"/>
      <c r="Z245" s="121"/>
      <c r="AA245" s="121"/>
      <c r="AB245" s="121"/>
    </row>
    <row r="246">
      <c r="A246" s="131"/>
      <c r="B246" s="131"/>
      <c r="C246" s="131"/>
      <c r="D246" s="131"/>
      <c r="E246" s="131"/>
      <c r="F246" s="131"/>
      <c r="G246" s="131"/>
      <c r="H246" s="121"/>
      <c r="I246" s="121"/>
      <c r="J246" s="121"/>
      <c r="K246" s="121"/>
      <c r="L246" s="121"/>
      <c r="M246" s="121"/>
      <c r="N246" s="121"/>
      <c r="O246" s="121"/>
      <c r="P246" s="121"/>
      <c r="Q246" s="121"/>
      <c r="R246" s="121"/>
      <c r="S246" s="121"/>
      <c r="T246" s="121"/>
      <c r="U246" s="121"/>
      <c r="V246" s="121"/>
      <c r="W246" s="121"/>
      <c r="X246" s="121"/>
      <c r="Y246" s="121"/>
      <c r="Z246" s="121"/>
      <c r="AA246" s="121"/>
      <c r="AB246" s="121"/>
    </row>
    <row r="247">
      <c r="A247" s="131"/>
      <c r="B247" s="131"/>
      <c r="C247" s="131"/>
      <c r="D247" s="131"/>
      <c r="E247" s="131"/>
      <c r="F247" s="131"/>
      <c r="G247" s="131"/>
      <c r="H247" s="121"/>
      <c r="I247" s="121"/>
      <c r="J247" s="121"/>
      <c r="K247" s="121"/>
      <c r="L247" s="121"/>
      <c r="M247" s="121"/>
      <c r="N247" s="121"/>
      <c r="O247" s="121"/>
      <c r="P247" s="121"/>
      <c r="Q247" s="121"/>
      <c r="R247" s="121"/>
      <c r="S247" s="121"/>
      <c r="T247" s="121"/>
      <c r="U247" s="121"/>
      <c r="V247" s="121"/>
      <c r="W247" s="121"/>
      <c r="X247" s="121"/>
      <c r="Y247" s="121"/>
      <c r="Z247" s="121"/>
      <c r="AA247" s="121"/>
      <c r="AB247" s="121"/>
    </row>
    <row r="248">
      <c r="A248" s="131"/>
      <c r="B248" s="131"/>
      <c r="C248" s="131"/>
      <c r="D248" s="131"/>
      <c r="E248" s="131"/>
      <c r="F248" s="131"/>
      <c r="G248" s="131"/>
      <c r="H248" s="121"/>
      <c r="I248" s="121"/>
      <c r="J248" s="121"/>
      <c r="K248" s="121"/>
      <c r="L248" s="121"/>
      <c r="M248" s="121"/>
      <c r="N248" s="121"/>
      <c r="O248" s="121"/>
      <c r="P248" s="121"/>
      <c r="Q248" s="121"/>
      <c r="R248" s="121"/>
      <c r="S248" s="121"/>
      <c r="T248" s="121"/>
      <c r="U248" s="121"/>
      <c r="V248" s="121"/>
      <c r="W248" s="121"/>
      <c r="X248" s="121"/>
      <c r="Y248" s="121"/>
      <c r="Z248" s="121"/>
      <c r="AA248" s="121"/>
      <c r="AB248" s="121"/>
    </row>
    <row r="249">
      <c r="A249" s="131"/>
      <c r="B249" s="131"/>
      <c r="C249" s="131"/>
      <c r="D249" s="131"/>
      <c r="E249" s="131"/>
      <c r="F249" s="131"/>
      <c r="G249" s="131"/>
      <c r="H249" s="121"/>
      <c r="I249" s="121"/>
      <c r="J249" s="121"/>
      <c r="K249" s="121"/>
      <c r="L249" s="121"/>
      <c r="M249" s="121"/>
      <c r="N249" s="121"/>
      <c r="O249" s="121"/>
      <c r="P249" s="121"/>
      <c r="Q249" s="121"/>
      <c r="R249" s="121"/>
      <c r="S249" s="121"/>
      <c r="T249" s="121"/>
      <c r="U249" s="121"/>
      <c r="V249" s="121"/>
      <c r="W249" s="121"/>
      <c r="X249" s="121"/>
      <c r="Y249" s="121"/>
      <c r="Z249" s="121"/>
      <c r="AA249" s="121"/>
      <c r="AB249" s="121"/>
    </row>
    <row r="250">
      <c r="A250" s="131"/>
      <c r="B250" s="131"/>
      <c r="C250" s="131"/>
      <c r="D250" s="131"/>
      <c r="E250" s="131"/>
      <c r="F250" s="131"/>
      <c r="G250" s="131"/>
      <c r="H250" s="121"/>
      <c r="I250" s="121"/>
      <c r="J250" s="121"/>
      <c r="K250" s="121"/>
      <c r="L250" s="121"/>
      <c r="M250" s="121"/>
      <c r="N250" s="121"/>
      <c r="O250" s="121"/>
      <c r="P250" s="121"/>
      <c r="Q250" s="121"/>
      <c r="R250" s="121"/>
      <c r="S250" s="121"/>
      <c r="T250" s="121"/>
      <c r="U250" s="121"/>
      <c r="V250" s="121"/>
      <c r="W250" s="121"/>
      <c r="X250" s="121"/>
      <c r="Y250" s="121"/>
      <c r="Z250" s="121"/>
      <c r="AA250" s="121"/>
      <c r="AB250" s="121"/>
    </row>
    <row r="251">
      <c r="A251" s="131"/>
      <c r="B251" s="131"/>
      <c r="C251" s="131"/>
      <c r="D251" s="131"/>
      <c r="E251" s="131"/>
      <c r="F251" s="131"/>
      <c r="G251" s="131"/>
      <c r="H251" s="121"/>
      <c r="I251" s="121"/>
      <c r="J251" s="121"/>
      <c r="K251" s="121"/>
      <c r="L251" s="121"/>
      <c r="M251" s="121"/>
      <c r="N251" s="121"/>
      <c r="O251" s="121"/>
      <c r="P251" s="121"/>
      <c r="Q251" s="121"/>
      <c r="R251" s="121"/>
      <c r="S251" s="121"/>
      <c r="T251" s="121"/>
      <c r="U251" s="121"/>
      <c r="V251" s="121"/>
      <c r="W251" s="121"/>
      <c r="X251" s="121"/>
      <c r="Y251" s="121"/>
      <c r="Z251" s="121"/>
      <c r="AA251" s="121"/>
      <c r="AB251" s="121"/>
    </row>
    <row r="252">
      <c r="A252" s="131"/>
      <c r="B252" s="131"/>
      <c r="C252" s="131"/>
      <c r="D252" s="131"/>
      <c r="E252" s="131"/>
      <c r="F252" s="131"/>
      <c r="G252" s="131"/>
      <c r="H252" s="121"/>
      <c r="I252" s="121"/>
      <c r="J252" s="121"/>
      <c r="K252" s="121"/>
      <c r="L252" s="121"/>
      <c r="M252" s="121"/>
      <c r="N252" s="121"/>
      <c r="O252" s="121"/>
      <c r="P252" s="121"/>
      <c r="Q252" s="121"/>
      <c r="R252" s="121"/>
      <c r="S252" s="121"/>
      <c r="T252" s="121"/>
      <c r="U252" s="121"/>
      <c r="V252" s="121"/>
      <c r="W252" s="121"/>
      <c r="X252" s="121"/>
      <c r="Y252" s="121"/>
      <c r="Z252" s="121"/>
      <c r="AA252" s="121"/>
      <c r="AB252" s="121"/>
    </row>
    <row r="253">
      <c r="A253" s="131"/>
      <c r="B253" s="131"/>
      <c r="C253" s="131"/>
      <c r="D253" s="131"/>
      <c r="E253" s="131"/>
      <c r="F253" s="131"/>
      <c r="G253" s="131"/>
      <c r="H253" s="121"/>
      <c r="I253" s="121"/>
      <c r="J253" s="121"/>
      <c r="K253" s="121"/>
      <c r="L253" s="121"/>
      <c r="M253" s="121"/>
      <c r="N253" s="121"/>
      <c r="O253" s="121"/>
      <c r="P253" s="121"/>
      <c r="Q253" s="121"/>
      <c r="R253" s="121"/>
      <c r="S253" s="121"/>
      <c r="T253" s="121"/>
      <c r="U253" s="121"/>
      <c r="V253" s="121"/>
      <c r="W253" s="121"/>
      <c r="X253" s="121"/>
      <c r="Y253" s="121"/>
      <c r="Z253" s="121"/>
      <c r="AA253" s="121"/>
      <c r="AB253" s="121"/>
    </row>
    <row r="254">
      <c r="A254" s="131"/>
      <c r="B254" s="131"/>
      <c r="C254" s="131"/>
      <c r="D254" s="131"/>
      <c r="E254" s="131"/>
      <c r="F254" s="131"/>
      <c r="G254" s="131"/>
      <c r="H254" s="121"/>
      <c r="I254" s="121"/>
      <c r="J254" s="121"/>
      <c r="K254" s="121"/>
      <c r="L254" s="121"/>
      <c r="M254" s="121"/>
      <c r="N254" s="121"/>
      <c r="O254" s="121"/>
      <c r="P254" s="121"/>
      <c r="Q254" s="121"/>
      <c r="R254" s="121"/>
      <c r="S254" s="121"/>
      <c r="T254" s="121"/>
      <c r="U254" s="121"/>
      <c r="V254" s="121"/>
      <c r="W254" s="121"/>
      <c r="X254" s="121"/>
      <c r="Y254" s="121"/>
      <c r="Z254" s="121"/>
      <c r="AA254" s="121"/>
      <c r="AB254" s="121"/>
    </row>
    <row r="255">
      <c r="A255" s="131"/>
      <c r="B255" s="131"/>
      <c r="C255" s="131"/>
      <c r="D255" s="131"/>
      <c r="E255" s="131"/>
      <c r="F255" s="131"/>
      <c r="G255" s="131"/>
      <c r="H255" s="121"/>
      <c r="I255" s="121"/>
      <c r="J255" s="121"/>
      <c r="K255" s="121"/>
      <c r="L255" s="121"/>
      <c r="M255" s="121"/>
      <c r="N255" s="121"/>
      <c r="O255" s="121"/>
      <c r="P255" s="121"/>
      <c r="Q255" s="121"/>
      <c r="R255" s="121"/>
      <c r="S255" s="121"/>
      <c r="T255" s="121"/>
      <c r="U255" s="121"/>
      <c r="V255" s="121"/>
      <c r="W255" s="121"/>
      <c r="X255" s="121"/>
      <c r="Y255" s="121"/>
      <c r="Z255" s="121"/>
      <c r="AA255" s="121"/>
      <c r="AB255" s="121"/>
    </row>
    <row r="256">
      <c r="A256" s="131"/>
      <c r="B256" s="131"/>
      <c r="C256" s="131"/>
      <c r="D256" s="131"/>
      <c r="E256" s="131"/>
      <c r="F256" s="131"/>
      <c r="G256" s="131"/>
      <c r="H256" s="121"/>
      <c r="I256" s="121"/>
      <c r="J256" s="121"/>
      <c r="K256" s="121"/>
      <c r="L256" s="121"/>
      <c r="M256" s="121"/>
      <c r="N256" s="121"/>
      <c r="O256" s="121"/>
      <c r="P256" s="121"/>
      <c r="Q256" s="121"/>
      <c r="R256" s="121"/>
      <c r="S256" s="121"/>
      <c r="T256" s="121"/>
      <c r="U256" s="121"/>
      <c r="V256" s="121"/>
      <c r="W256" s="121"/>
      <c r="X256" s="121"/>
      <c r="Y256" s="121"/>
      <c r="Z256" s="121"/>
      <c r="AA256" s="121"/>
      <c r="AB256" s="121"/>
    </row>
    <row r="257">
      <c r="A257" s="131"/>
      <c r="B257" s="131"/>
      <c r="C257" s="131"/>
      <c r="D257" s="131"/>
      <c r="E257" s="131"/>
      <c r="F257" s="131"/>
      <c r="G257" s="131"/>
      <c r="H257" s="121"/>
      <c r="I257" s="121"/>
      <c r="J257" s="121"/>
      <c r="K257" s="121"/>
      <c r="L257" s="121"/>
      <c r="M257" s="121"/>
      <c r="N257" s="121"/>
      <c r="O257" s="121"/>
      <c r="P257" s="121"/>
      <c r="Q257" s="121"/>
      <c r="R257" s="121"/>
      <c r="S257" s="121"/>
      <c r="T257" s="121"/>
      <c r="U257" s="121"/>
      <c r="V257" s="121"/>
      <c r="W257" s="121"/>
      <c r="X257" s="121"/>
      <c r="Y257" s="121"/>
      <c r="Z257" s="121"/>
      <c r="AA257" s="121"/>
      <c r="AB257" s="121"/>
    </row>
    <row r="258">
      <c r="A258" s="131"/>
      <c r="B258" s="131"/>
      <c r="C258" s="131"/>
      <c r="D258" s="131"/>
      <c r="E258" s="131"/>
      <c r="F258" s="131"/>
      <c r="G258" s="131"/>
      <c r="H258" s="121"/>
      <c r="I258" s="121"/>
      <c r="J258" s="121"/>
      <c r="K258" s="121"/>
      <c r="L258" s="121"/>
      <c r="M258" s="121"/>
      <c r="N258" s="121"/>
      <c r="O258" s="121"/>
      <c r="P258" s="121"/>
      <c r="Q258" s="121"/>
      <c r="R258" s="121"/>
      <c r="S258" s="121"/>
      <c r="T258" s="121"/>
      <c r="U258" s="121"/>
      <c r="V258" s="121"/>
      <c r="W258" s="121"/>
      <c r="X258" s="121"/>
      <c r="Y258" s="121"/>
      <c r="Z258" s="121"/>
      <c r="AA258" s="121"/>
      <c r="AB258" s="121"/>
    </row>
    <row r="259">
      <c r="A259" s="131"/>
      <c r="B259" s="131"/>
      <c r="C259" s="131"/>
      <c r="D259" s="131"/>
      <c r="E259" s="131"/>
      <c r="F259" s="131"/>
      <c r="G259" s="131"/>
      <c r="H259" s="121"/>
      <c r="I259" s="121"/>
      <c r="J259" s="121"/>
      <c r="K259" s="121"/>
      <c r="L259" s="121"/>
      <c r="M259" s="121"/>
      <c r="N259" s="121"/>
      <c r="O259" s="121"/>
      <c r="P259" s="121"/>
      <c r="Q259" s="121"/>
      <c r="R259" s="121"/>
      <c r="S259" s="121"/>
      <c r="T259" s="121"/>
      <c r="U259" s="121"/>
      <c r="V259" s="121"/>
      <c r="W259" s="121"/>
      <c r="X259" s="121"/>
      <c r="Y259" s="121"/>
      <c r="Z259" s="121"/>
      <c r="AA259" s="121"/>
      <c r="AB259" s="121"/>
    </row>
    <row r="260">
      <c r="A260" s="131"/>
      <c r="B260" s="131"/>
      <c r="C260" s="131"/>
      <c r="D260" s="131"/>
      <c r="E260" s="131"/>
      <c r="F260" s="131"/>
      <c r="G260" s="131"/>
      <c r="H260" s="121"/>
      <c r="I260" s="121"/>
      <c r="J260" s="121"/>
      <c r="K260" s="121"/>
      <c r="L260" s="121"/>
      <c r="M260" s="121"/>
      <c r="N260" s="121"/>
      <c r="O260" s="121"/>
      <c r="P260" s="121"/>
      <c r="Q260" s="121"/>
      <c r="R260" s="121"/>
      <c r="S260" s="121"/>
      <c r="T260" s="121"/>
      <c r="U260" s="121"/>
      <c r="V260" s="121"/>
      <c r="W260" s="121"/>
      <c r="X260" s="121"/>
      <c r="Y260" s="121"/>
      <c r="Z260" s="121"/>
      <c r="AA260" s="121"/>
      <c r="AB260" s="121"/>
    </row>
    <row r="261">
      <c r="A261" s="131"/>
      <c r="B261" s="131"/>
      <c r="C261" s="131"/>
      <c r="D261" s="131"/>
      <c r="E261" s="131"/>
      <c r="F261" s="131"/>
      <c r="G261" s="131"/>
      <c r="H261" s="121"/>
      <c r="I261" s="121"/>
      <c r="J261" s="121"/>
      <c r="K261" s="121"/>
      <c r="L261" s="121"/>
      <c r="M261" s="121"/>
      <c r="N261" s="121"/>
      <c r="O261" s="121"/>
      <c r="P261" s="121"/>
      <c r="Q261" s="121"/>
      <c r="R261" s="121"/>
      <c r="S261" s="121"/>
      <c r="T261" s="121"/>
      <c r="U261" s="121"/>
      <c r="V261" s="121"/>
      <c r="W261" s="121"/>
      <c r="X261" s="121"/>
      <c r="Y261" s="121"/>
      <c r="Z261" s="121"/>
      <c r="AA261" s="121"/>
      <c r="AB261" s="121"/>
    </row>
    <row r="262">
      <c r="A262" s="131"/>
      <c r="B262" s="131"/>
      <c r="C262" s="131"/>
      <c r="D262" s="131"/>
      <c r="E262" s="131"/>
      <c r="F262" s="131"/>
      <c r="G262" s="131"/>
      <c r="H262" s="121"/>
      <c r="I262" s="121"/>
      <c r="J262" s="121"/>
      <c r="K262" s="121"/>
      <c r="L262" s="121"/>
      <c r="M262" s="121"/>
      <c r="N262" s="121"/>
      <c r="O262" s="121"/>
      <c r="P262" s="121"/>
      <c r="Q262" s="121"/>
      <c r="R262" s="121"/>
      <c r="S262" s="121"/>
      <c r="T262" s="121"/>
      <c r="U262" s="121"/>
      <c r="V262" s="121"/>
      <c r="W262" s="121"/>
      <c r="X262" s="121"/>
      <c r="Y262" s="121"/>
      <c r="Z262" s="121"/>
      <c r="AA262" s="121"/>
      <c r="AB262" s="121"/>
    </row>
    <row r="263">
      <c r="A263" s="131"/>
      <c r="B263" s="131"/>
      <c r="C263" s="131"/>
      <c r="D263" s="131"/>
      <c r="E263" s="131"/>
      <c r="F263" s="131"/>
      <c r="G263" s="131"/>
      <c r="H263" s="121"/>
      <c r="I263" s="121"/>
      <c r="J263" s="121"/>
      <c r="K263" s="121"/>
      <c r="L263" s="121"/>
      <c r="M263" s="121"/>
      <c r="N263" s="121"/>
      <c r="O263" s="121"/>
      <c r="P263" s="121"/>
      <c r="Q263" s="121"/>
      <c r="R263" s="121"/>
      <c r="S263" s="121"/>
      <c r="T263" s="121"/>
      <c r="U263" s="121"/>
      <c r="V263" s="121"/>
      <c r="W263" s="121"/>
      <c r="X263" s="121"/>
      <c r="Y263" s="121"/>
      <c r="Z263" s="121"/>
      <c r="AA263" s="121"/>
      <c r="AB263" s="121"/>
    </row>
    <row r="264">
      <c r="A264" s="131"/>
      <c r="B264" s="131"/>
      <c r="C264" s="131"/>
      <c r="D264" s="131"/>
      <c r="E264" s="131"/>
      <c r="F264" s="131"/>
      <c r="G264" s="131"/>
      <c r="H264" s="121"/>
      <c r="I264" s="121"/>
      <c r="J264" s="121"/>
      <c r="K264" s="121"/>
      <c r="L264" s="121"/>
      <c r="M264" s="121"/>
      <c r="N264" s="121"/>
      <c r="O264" s="121"/>
      <c r="P264" s="121"/>
      <c r="Q264" s="121"/>
      <c r="R264" s="121"/>
      <c r="S264" s="121"/>
      <c r="T264" s="121"/>
      <c r="U264" s="121"/>
      <c r="V264" s="121"/>
      <c r="W264" s="121"/>
      <c r="X264" s="121"/>
      <c r="Y264" s="121"/>
      <c r="Z264" s="121"/>
      <c r="AA264" s="121"/>
      <c r="AB264" s="121"/>
    </row>
    <row r="265">
      <c r="A265" s="131"/>
      <c r="B265" s="131"/>
      <c r="C265" s="131"/>
      <c r="D265" s="131"/>
      <c r="E265" s="131"/>
      <c r="F265" s="131"/>
      <c r="G265" s="131"/>
      <c r="H265" s="121"/>
      <c r="I265" s="121"/>
      <c r="J265" s="121"/>
      <c r="K265" s="121"/>
      <c r="L265" s="121"/>
      <c r="M265" s="121"/>
      <c r="N265" s="121"/>
      <c r="O265" s="121"/>
      <c r="P265" s="121"/>
      <c r="Q265" s="121"/>
      <c r="R265" s="121"/>
      <c r="S265" s="121"/>
      <c r="T265" s="121"/>
      <c r="U265" s="121"/>
      <c r="V265" s="121"/>
      <c r="W265" s="121"/>
      <c r="X265" s="121"/>
      <c r="Y265" s="121"/>
      <c r="Z265" s="121"/>
      <c r="AA265" s="121"/>
      <c r="AB265" s="121"/>
    </row>
    <row r="266">
      <c r="A266" s="131"/>
      <c r="B266" s="131"/>
      <c r="C266" s="131"/>
      <c r="D266" s="131"/>
      <c r="E266" s="131"/>
      <c r="F266" s="131"/>
      <c r="G266" s="131"/>
      <c r="H266" s="121"/>
      <c r="I266" s="121"/>
      <c r="J266" s="121"/>
      <c r="K266" s="121"/>
      <c r="L266" s="121"/>
      <c r="M266" s="121"/>
      <c r="N266" s="121"/>
      <c r="O266" s="121"/>
      <c r="P266" s="121"/>
      <c r="Q266" s="121"/>
      <c r="R266" s="121"/>
      <c r="S266" s="121"/>
      <c r="T266" s="121"/>
      <c r="U266" s="121"/>
      <c r="V266" s="121"/>
      <c r="W266" s="121"/>
      <c r="X266" s="121"/>
      <c r="Y266" s="121"/>
      <c r="Z266" s="121"/>
      <c r="AA266" s="121"/>
      <c r="AB266" s="121"/>
    </row>
    <row r="267">
      <c r="A267" s="131"/>
      <c r="B267" s="131"/>
      <c r="C267" s="131"/>
      <c r="D267" s="131"/>
      <c r="E267" s="131"/>
      <c r="F267" s="131"/>
      <c r="G267" s="131"/>
      <c r="H267" s="121"/>
      <c r="I267" s="121"/>
      <c r="J267" s="121"/>
      <c r="K267" s="121"/>
      <c r="L267" s="121"/>
      <c r="M267" s="121"/>
      <c r="N267" s="121"/>
      <c r="O267" s="121"/>
      <c r="P267" s="121"/>
      <c r="Q267" s="121"/>
      <c r="R267" s="121"/>
      <c r="S267" s="121"/>
      <c r="T267" s="121"/>
      <c r="U267" s="121"/>
      <c r="V267" s="121"/>
      <c r="W267" s="121"/>
      <c r="X267" s="121"/>
      <c r="Y267" s="121"/>
      <c r="Z267" s="121"/>
      <c r="AA267" s="121"/>
      <c r="AB267" s="121"/>
    </row>
    <row r="268">
      <c r="A268" s="131"/>
      <c r="B268" s="131"/>
      <c r="C268" s="131"/>
      <c r="D268" s="131"/>
      <c r="E268" s="131"/>
      <c r="F268" s="131"/>
      <c r="G268" s="131"/>
      <c r="H268" s="121"/>
      <c r="I268" s="121"/>
      <c r="J268" s="121"/>
      <c r="K268" s="121"/>
      <c r="L268" s="121"/>
      <c r="M268" s="121"/>
      <c r="N268" s="121"/>
      <c r="O268" s="121"/>
      <c r="P268" s="121"/>
      <c r="Q268" s="121"/>
      <c r="R268" s="121"/>
      <c r="S268" s="121"/>
      <c r="T268" s="121"/>
      <c r="U268" s="121"/>
      <c r="V268" s="121"/>
      <c r="W268" s="121"/>
      <c r="X268" s="121"/>
      <c r="Y268" s="121"/>
      <c r="Z268" s="121"/>
      <c r="AA268" s="121"/>
      <c r="AB268" s="121"/>
    </row>
    <row r="269">
      <c r="A269" s="131"/>
      <c r="B269" s="131"/>
      <c r="C269" s="131"/>
      <c r="D269" s="131"/>
      <c r="E269" s="131"/>
      <c r="F269" s="131"/>
      <c r="G269" s="131"/>
      <c r="H269" s="121"/>
      <c r="I269" s="121"/>
      <c r="J269" s="121"/>
      <c r="K269" s="121"/>
      <c r="L269" s="121"/>
      <c r="M269" s="121"/>
      <c r="N269" s="121"/>
      <c r="O269" s="121"/>
      <c r="P269" s="121"/>
      <c r="Q269" s="121"/>
      <c r="R269" s="121"/>
      <c r="S269" s="121"/>
      <c r="T269" s="121"/>
      <c r="U269" s="121"/>
      <c r="V269" s="121"/>
      <c r="W269" s="121"/>
      <c r="X269" s="121"/>
      <c r="Y269" s="121"/>
      <c r="Z269" s="121"/>
      <c r="AA269" s="121"/>
      <c r="AB269" s="121"/>
    </row>
    <row r="270">
      <c r="A270" s="131"/>
      <c r="B270" s="131"/>
      <c r="C270" s="131"/>
      <c r="D270" s="131"/>
      <c r="E270" s="131"/>
      <c r="F270" s="131"/>
      <c r="G270" s="131"/>
      <c r="H270" s="121"/>
      <c r="I270" s="121"/>
      <c r="J270" s="121"/>
      <c r="K270" s="121"/>
      <c r="L270" s="121"/>
      <c r="M270" s="121"/>
      <c r="N270" s="121"/>
      <c r="O270" s="121"/>
      <c r="P270" s="121"/>
      <c r="Q270" s="121"/>
      <c r="R270" s="121"/>
      <c r="S270" s="121"/>
      <c r="T270" s="121"/>
      <c r="U270" s="121"/>
      <c r="V270" s="121"/>
      <c r="W270" s="121"/>
      <c r="X270" s="121"/>
      <c r="Y270" s="121"/>
      <c r="Z270" s="121"/>
      <c r="AA270" s="121"/>
      <c r="AB270" s="121"/>
    </row>
    <row r="271">
      <c r="A271" s="131"/>
      <c r="B271" s="131"/>
      <c r="C271" s="131"/>
      <c r="D271" s="131"/>
      <c r="E271" s="131"/>
      <c r="F271" s="131"/>
      <c r="G271" s="131"/>
      <c r="H271" s="121"/>
      <c r="I271" s="121"/>
      <c r="J271" s="121"/>
      <c r="K271" s="121"/>
      <c r="L271" s="121"/>
      <c r="M271" s="121"/>
      <c r="N271" s="121"/>
      <c r="O271" s="121"/>
      <c r="P271" s="121"/>
      <c r="Q271" s="121"/>
      <c r="R271" s="121"/>
      <c r="S271" s="121"/>
      <c r="T271" s="121"/>
      <c r="U271" s="121"/>
      <c r="V271" s="121"/>
      <c r="W271" s="121"/>
      <c r="X271" s="121"/>
      <c r="Y271" s="121"/>
      <c r="Z271" s="121"/>
      <c r="AA271" s="121"/>
      <c r="AB271" s="121"/>
    </row>
    <row r="272">
      <c r="A272" s="131"/>
      <c r="B272" s="131"/>
      <c r="C272" s="131"/>
      <c r="D272" s="131"/>
      <c r="E272" s="131"/>
      <c r="F272" s="131"/>
      <c r="G272" s="131"/>
      <c r="H272" s="121"/>
      <c r="I272" s="121"/>
      <c r="J272" s="121"/>
      <c r="K272" s="121"/>
      <c r="L272" s="121"/>
      <c r="M272" s="121"/>
      <c r="N272" s="121"/>
      <c r="O272" s="121"/>
      <c r="P272" s="121"/>
      <c r="Q272" s="121"/>
      <c r="R272" s="121"/>
      <c r="S272" s="121"/>
      <c r="T272" s="121"/>
      <c r="U272" s="121"/>
      <c r="V272" s="121"/>
      <c r="W272" s="121"/>
      <c r="X272" s="121"/>
      <c r="Y272" s="121"/>
      <c r="Z272" s="121"/>
      <c r="AA272" s="121"/>
      <c r="AB272" s="121"/>
    </row>
    <row r="273">
      <c r="A273" s="131"/>
      <c r="B273" s="131"/>
      <c r="C273" s="131"/>
      <c r="D273" s="131"/>
      <c r="E273" s="131"/>
      <c r="F273" s="131"/>
      <c r="G273" s="131"/>
      <c r="H273" s="121"/>
      <c r="I273" s="121"/>
      <c r="J273" s="121"/>
      <c r="K273" s="121"/>
      <c r="L273" s="121"/>
      <c r="M273" s="121"/>
      <c r="N273" s="121"/>
      <c r="O273" s="121"/>
      <c r="P273" s="121"/>
      <c r="Q273" s="121"/>
      <c r="R273" s="121"/>
      <c r="S273" s="121"/>
      <c r="T273" s="121"/>
      <c r="U273" s="121"/>
      <c r="V273" s="121"/>
      <c r="W273" s="121"/>
      <c r="X273" s="121"/>
      <c r="Y273" s="121"/>
      <c r="Z273" s="121"/>
      <c r="AA273" s="121"/>
      <c r="AB273" s="121"/>
    </row>
    <row r="274">
      <c r="A274" s="131"/>
      <c r="B274" s="131"/>
      <c r="C274" s="131"/>
      <c r="D274" s="131"/>
      <c r="E274" s="131"/>
      <c r="F274" s="131"/>
      <c r="G274" s="131"/>
      <c r="H274" s="121"/>
      <c r="I274" s="121"/>
      <c r="J274" s="121"/>
      <c r="K274" s="121"/>
      <c r="L274" s="121"/>
      <c r="M274" s="121"/>
      <c r="N274" s="121"/>
      <c r="O274" s="121"/>
      <c r="P274" s="121"/>
      <c r="Q274" s="121"/>
      <c r="R274" s="121"/>
      <c r="S274" s="121"/>
      <c r="T274" s="121"/>
      <c r="U274" s="121"/>
      <c r="V274" s="121"/>
      <c r="W274" s="121"/>
      <c r="X274" s="121"/>
      <c r="Y274" s="121"/>
      <c r="Z274" s="121"/>
      <c r="AA274" s="121"/>
      <c r="AB274" s="121"/>
    </row>
    <row r="275">
      <c r="A275" s="131"/>
      <c r="B275" s="131"/>
      <c r="C275" s="131"/>
      <c r="D275" s="131"/>
      <c r="E275" s="131"/>
      <c r="F275" s="131"/>
      <c r="G275" s="131"/>
      <c r="H275" s="121"/>
      <c r="I275" s="121"/>
      <c r="J275" s="121"/>
      <c r="K275" s="121"/>
      <c r="L275" s="121"/>
      <c r="M275" s="121"/>
      <c r="N275" s="121"/>
      <c r="O275" s="121"/>
      <c r="P275" s="121"/>
      <c r="Q275" s="121"/>
      <c r="R275" s="121"/>
      <c r="S275" s="121"/>
      <c r="T275" s="121"/>
      <c r="U275" s="121"/>
      <c r="V275" s="121"/>
      <c r="W275" s="121"/>
      <c r="X275" s="121"/>
      <c r="Y275" s="121"/>
      <c r="Z275" s="121"/>
      <c r="AA275" s="121"/>
      <c r="AB275" s="121"/>
    </row>
    <row r="276">
      <c r="A276" s="131"/>
      <c r="B276" s="131"/>
      <c r="C276" s="131"/>
      <c r="D276" s="131"/>
      <c r="E276" s="131"/>
      <c r="F276" s="131"/>
      <c r="G276" s="131"/>
      <c r="H276" s="121"/>
      <c r="I276" s="121"/>
      <c r="J276" s="121"/>
      <c r="K276" s="121"/>
      <c r="L276" s="121"/>
      <c r="M276" s="121"/>
      <c r="N276" s="121"/>
      <c r="O276" s="121"/>
      <c r="P276" s="121"/>
      <c r="Q276" s="121"/>
      <c r="R276" s="121"/>
      <c r="S276" s="121"/>
      <c r="T276" s="121"/>
      <c r="U276" s="121"/>
      <c r="V276" s="121"/>
      <c r="W276" s="121"/>
      <c r="X276" s="121"/>
      <c r="Y276" s="121"/>
      <c r="Z276" s="121"/>
      <c r="AA276" s="121"/>
      <c r="AB276" s="121"/>
    </row>
    <row r="277">
      <c r="A277" s="131"/>
      <c r="B277" s="131"/>
      <c r="C277" s="131"/>
      <c r="D277" s="131"/>
      <c r="E277" s="131"/>
      <c r="F277" s="131"/>
      <c r="G277" s="131"/>
      <c r="H277" s="121"/>
      <c r="I277" s="121"/>
      <c r="J277" s="121"/>
      <c r="K277" s="121"/>
      <c r="L277" s="121"/>
      <c r="M277" s="121"/>
      <c r="N277" s="121"/>
      <c r="O277" s="121"/>
      <c r="P277" s="121"/>
      <c r="Q277" s="121"/>
      <c r="R277" s="121"/>
      <c r="S277" s="121"/>
      <c r="T277" s="121"/>
      <c r="U277" s="121"/>
      <c r="V277" s="121"/>
      <c r="W277" s="121"/>
      <c r="X277" s="121"/>
      <c r="Y277" s="121"/>
      <c r="Z277" s="121"/>
      <c r="AA277" s="121"/>
      <c r="AB277" s="121"/>
    </row>
    <row r="278">
      <c r="A278" s="131"/>
      <c r="B278" s="131"/>
      <c r="C278" s="131"/>
      <c r="D278" s="131"/>
      <c r="E278" s="131"/>
      <c r="F278" s="131"/>
      <c r="G278" s="131"/>
      <c r="H278" s="121"/>
      <c r="I278" s="121"/>
      <c r="J278" s="121"/>
      <c r="K278" s="121"/>
      <c r="L278" s="121"/>
      <c r="M278" s="121"/>
      <c r="N278" s="121"/>
      <c r="O278" s="121"/>
      <c r="P278" s="121"/>
      <c r="Q278" s="121"/>
      <c r="R278" s="121"/>
      <c r="S278" s="121"/>
      <c r="T278" s="121"/>
      <c r="U278" s="121"/>
      <c r="V278" s="121"/>
      <c r="W278" s="121"/>
      <c r="X278" s="121"/>
      <c r="Y278" s="121"/>
      <c r="Z278" s="121"/>
      <c r="AA278" s="121"/>
      <c r="AB278" s="121"/>
    </row>
    <row r="279">
      <c r="A279" s="131"/>
      <c r="B279" s="131"/>
      <c r="C279" s="131"/>
      <c r="D279" s="131"/>
      <c r="E279" s="131"/>
      <c r="F279" s="131"/>
      <c r="G279" s="131"/>
      <c r="H279" s="121"/>
      <c r="I279" s="121"/>
      <c r="J279" s="121"/>
      <c r="K279" s="121"/>
      <c r="L279" s="121"/>
      <c r="M279" s="121"/>
      <c r="N279" s="121"/>
      <c r="O279" s="121"/>
      <c r="P279" s="121"/>
      <c r="Q279" s="121"/>
      <c r="R279" s="121"/>
      <c r="S279" s="121"/>
      <c r="T279" s="121"/>
      <c r="U279" s="121"/>
      <c r="V279" s="121"/>
      <c r="W279" s="121"/>
      <c r="X279" s="121"/>
      <c r="Y279" s="121"/>
      <c r="Z279" s="121"/>
      <c r="AA279" s="121"/>
      <c r="AB279" s="121"/>
    </row>
    <row r="280">
      <c r="A280" s="131"/>
      <c r="B280" s="131"/>
      <c r="C280" s="131"/>
      <c r="D280" s="131"/>
      <c r="E280" s="131"/>
      <c r="F280" s="131"/>
      <c r="G280" s="131"/>
      <c r="H280" s="121"/>
      <c r="I280" s="121"/>
      <c r="J280" s="121"/>
      <c r="K280" s="121"/>
      <c r="L280" s="121"/>
      <c r="M280" s="121"/>
      <c r="N280" s="121"/>
      <c r="O280" s="121"/>
      <c r="P280" s="121"/>
      <c r="Q280" s="121"/>
      <c r="R280" s="121"/>
      <c r="S280" s="121"/>
      <c r="T280" s="121"/>
      <c r="U280" s="121"/>
      <c r="V280" s="121"/>
      <c r="W280" s="121"/>
      <c r="X280" s="121"/>
      <c r="Y280" s="121"/>
      <c r="Z280" s="121"/>
      <c r="AA280" s="121"/>
      <c r="AB280" s="121"/>
    </row>
    <row r="281">
      <c r="A281" s="131"/>
      <c r="B281" s="131"/>
      <c r="C281" s="131"/>
      <c r="D281" s="131"/>
      <c r="E281" s="131"/>
      <c r="F281" s="131"/>
      <c r="G281" s="131"/>
      <c r="H281" s="121"/>
      <c r="I281" s="121"/>
      <c r="J281" s="121"/>
      <c r="K281" s="121"/>
      <c r="L281" s="121"/>
      <c r="M281" s="121"/>
      <c r="N281" s="121"/>
      <c r="O281" s="121"/>
      <c r="P281" s="121"/>
      <c r="Q281" s="121"/>
      <c r="R281" s="121"/>
      <c r="S281" s="121"/>
      <c r="T281" s="121"/>
      <c r="U281" s="121"/>
      <c r="V281" s="121"/>
      <c r="W281" s="121"/>
      <c r="X281" s="121"/>
      <c r="Y281" s="121"/>
      <c r="Z281" s="121"/>
      <c r="AA281" s="121"/>
      <c r="AB281" s="121"/>
    </row>
    <row r="282">
      <c r="A282" s="131"/>
      <c r="B282" s="131"/>
      <c r="C282" s="131"/>
      <c r="D282" s="131"/>
      <c r="E282" s="131"/>
      <c r="F282" s="131"/>
      <c r="G282" s="131"/>
      <c r="H282" s="121"/>
      <c r="I282" s="121"/>
      <c r="J282" s="121"/>
      <c r="K282" s="121"/>
      <c r="L282" s="121"/>
      <c r="M282" s="121"/>
      <c r="N282" s="121"/>
      <c r="O282" s="121"/>
      <c r="P282" s="121"/>
      <c r="Q282" s="121"/>
      <c r="R282" s="121"/>
      <c r="S282" s="121"/>
      <c r="T282" s="121"/>
      <c r="U282" s="121"/>
      <c r="V282" s="121"/>
      <c r="W282" s="121"/>
      <c r="X282" s="121"/>
      <c r="Y282" s="121"/>
      <c r="Z282" s="121"/>
      <c r="AA282" s="121"/>
      <c r="AB282" s="121"/>
    </row>
    <row r="283">
      <c r="A283" s="131"/>
      <c r="B283" s="131"/>
      <c r="C283" s="131"/>
      <c r="D283" s="131"/>
      <c r="E283" s="131"/>
      <c r="F283" s="131"/>
      <c r="G283" s="131"/>
      <c r="H283" s="121"/>
      <c r="I283" s="121"/>
      <c r="J283" s="121"/>
      <c r="K283" s="121"/>
      <c r="L283" s="121"/>
      <c r="M283" s="121"/>
      <c r="N283" s="121"/>
      <c r="O283" s="121"/>
      <c r="P283" s="121"/>
      <c r="Q283" s="121"/>
      <c r="R283" s="121"/>
      <c r="S283" s="121"/>
      <c r="T283" s="121"/>
      <c r="U283" s="121"/>
      <c r="V283" s="121"/>
      <c r="W283" s="121"/>
      <c r="X283" s="121"/>
      <c r="Y283" s="121"/>
      <c r="Z283" s="121"/>
      <c r="AA283" s="121"/>
      <c r="AB283" s="121"/>
    </row>
    <row r="284">
      <c r="A284" s="131"/>
      <c r="B284" s="131"/>
      <c r="C284" s="131"/>
      <c r="D284" s="131"/>
      <c r="E284" s="131"/>
      <c r="F284" s="131"/>
      <c r="G284" s="131"/>
      <c r="H284" s="121"/>
      <c r="I284" s="121"/>
      <c r="J284" s="121"/>
      <c r="K284" s="121"/>
      <c r="L284" s="121"/>
      <c r="M284" s="121"/>
      <c r="N284" s="121"/>
      <c r="O284" s="121"/>
      <c r="P284" s="121"/>
      <c r="Q284" s="121"/>
      <c r="R284" s="121"/>
      <c r="S284" s="121"/>
      <c r="T284" s="121"/>
      <c r="U284" s="121"/>
      <c r="V284" s="121"/>
      <c r="W284" s="121"/>
      <c r="X284" s="121"/>
      <c r="Y284" s="121"/>
      <c r="Z284" s="121"/>
      <c r="AA284" s="121"/>
      <c r="AB284" s="121"/>
    </row>
    <row r="285">
      <c r="A285" s="131"/>
      <c r="B285" s="131"/>
      <c r="C285" s="131"/>
      <c r="D285" s="131"/>
      <c r="E285" s="131"/>
      <c r="F285" s="131"/>
      <c r="G285" s="131"/>
      <c r="H285" s="121"/>
      <c r="I285" s="121"/>
      <c r="J285" s="121"/>
      <c r="K285" s="121"/>
      <c r="L285" s="121"/>
      <c r="M285" s="121"/>
      <c r="N285" s="121"/>
      <c r="O285" s="121"/>
      <c r="P285" s="121"/>
      <c r="Q285" s="121"/>
      <c r="R285" s="121"/>
      <c r="S285" s="121"/>
      <c r="T285" s="121"/>
      <c r="U285" s="121"/>
      <c r="V285" s="121"/>
      <c r="W285" s="121"/>
      <c r="X285" s="121"/>
      <c r="Y285" s="121"/>
      <c r="Z285" s="121"/>
      <c r="AA285" s="121"/>
      <c r="AB285" s="121"/>
    </row>
    <row r="286">
      <c r="A286" s="131"/>
      <c r="B286" s="131"/>
      <c r="C286" s="131"/>
      <c r="D286" s="131"/>
      <c r="E286" s="131"/>
      <c r="F286" s="131"/>
      <c r="G286" s="131"/>
      <c r="H286" s="121"/>
      <c r="I286" s="121"/>
      <c r="J286" s="121"/>
      <c r="K286" s="121"/>
      <c r="L286" s="121"/>
      <c r="M286" s="121"/>
      <c r="N286" s="121"/>
      <c r="O286" s="121"/>
      <c r="P286" s="121"/>
      <c r="Q286" s="121"/>
      <c r="R286" s="121"/>
      <c r="S286" s="121"/>
      <c r="T286" s="121"/>
      <c r="U286" s="121"/>
      <c r="V286" s="121"/>
      <c r="W286" s="121"/>
      <c r="X286" s="121"/>
      <c r="Y286" s="121"/>
      <c r="Z286" s="121"/>
      <c r="AA286" s="121"/>
      <c r="AB286" s="121"/>
    </row>
    <row r="287">
      <c r="A287" s="131"/>
      <c r="B287" s="131"/>
      <c r="C287" s="131"/>
      <c r="D287" s="131"/>
      <c r="E287" s="131"/>
      <c r="F287" s="131"/>
      <c r="G287" s="131"/>
      <c r="H287" s="121"/>
      <c r="I287" s="121"/>
      <c r="J287" s="121"/>
      <c r="K287" s="121"/>
      <c r="L287" s="121"/>
      <c r="M287" s="121"/>
      <c r="N287" s="121"/>
      <c r="O287" s="121"/>
      <c r="P287" s="121"/>
      <c r="Q287" s="121"/>
      <c r="R287" s="121"/>
      <c r="S287" s="121"/>
      <c r="T287" s="121"/>
      <c r="U287" s="121"/>
      <c r="V287" s="121"/>
      <c r="W287" s="121"/>
      <c r="X287" s="121"/>
      <c r="Y287" s="121"/>
      <c r="Z287" s="121"/>
      <c r="AA287" s="121"/>
      <c r="AB287" s="121"/>
    </row>
    <row r="288">
      <c r="A288" s="131"/>
      <c r="B288" s="131"/>
      <c r="C288" s="131"/>
      <c r="D288" s="131"/>
      <c r="E288" s="131"/>
      <c r="F288" s="131"/>
      <c r="G288" s="131"/>
      <c r="H288" s="121"/>
      <c r="I288" s="121"/>
      <c r="J288" s="121"/>
      <c r="K288" s="121"/>
      <c r="L288" s="121"/>
      <c r="M288" s="121"/>
      <c r="N288" s="121"/>
      <c r="O288" s="121"/>
      <c r="P288" s="121"/>
      <c r="Q288" s="121"/>
      <c r="R288" s="121"/>
      <c r="S288" s="121"/>
      <c r="T288" s="121"/>
      <c r="U288" s="121"/>
      <c r="V288" s="121"/>
      <c r="W288" s="121"/>
      <c r="X288" s="121"/>
      <c r="Y288" s="121"/>
      <c r="Z288" s="121"/>
      <c r="AA288" s="121"/>
      <c r="AB288" s="121"/>
    </row>
    <row r="289">
      <c r="A289" s="131"/>
      <c r="B289" s="131"/>
      <c r="C289" s="131"/>
      <c r="D289" s="131"/>
      <c r="E289" s="131"/>
      <c r="F289" s="131"/>
      <c r="G289" s="131"/>
      <c r="H289" s="121"/>
      <c r="I289" s="121"/>
      <c r="J289" s="121"/>
      <c r="K289" s="121"/>
      <c r="L289" s="121"/>
      <c r="M289" s="121"/>
      <c r="N289" s="121"/>
      <c r="O289" s="121"/>
      <c r="P289" s="121"/>
      <c r="Q289" s="121"/>
      <c r="R289" s="121"/>
      <c r="S289" s="121"/>
      <c r="T289" s="121"/>
      <c r="U289" s="121"/>
      <c r="V289" s="121"/>
      <c r="W289" s="121"/>
      <c r="X289" s="121"/>
      <c r="Y289" s="121"/>
      <c r="Z289" s="121"/>
      <c r="AA289" s="121"/>
      <c r="AB289" s="121"/>
    </row>
    <row r="290">
      <c r="A290" s="131"/>
      <c r="B290" s="131"/>
      <c r="C290" s="131"/>
      <c r="D290" s="131"/>
      <c r="E290" s="131"/>
      <c r="F290" s="131"/>
      <c r="G290" s="131"/>
      <c r="H290" s="121"/>
      <c r="I290" s="121"/>
      <c r="J290" s="121"/>
      <c r="K290" s="121"/>
      <c r="L290" s="121"/>
      <c r="M290" s="121"/>
      <c r="N290" s="121"/>
      <c r="O290" s="121"/>
      <c r="P290" s="121"/>
      <c r="Q290" s="121"/>
      <c r="R290" s="121"/>
      <c r="S290" s="121"/>
      <c r="T290" s="121"/>
      <c r="U290" s="121"/>
      <c r="V290" s="121"/>
      <c r="W290" s="121"/>
      <c r="X290" s="121"/>
      <c r="Y290" s="121"/>
      <c r="Z290" s="121"/>
      <c r="AA290" s="121"/>
      <c r="AB290" s="121"/>
    </row>
    <row r="291">
      <c r="A291" s="131"/>
      <c r="B291" s="131"/>
      <c r="C291" s="131"/>
      <c r="D291" s="131"/>
      <c r="E291" s="131"/>
      <c r="F291" s="131"/>
      <c r="G291" s="131"/>
      <c r="H291" s="121"/>
      <c r="I291" s="121"/>
      <c r="J291" s="121"/>
      <c r="K291" s="121"/>
      <c r="L291" s="121"/>
      <c r="M291" s="121"/>
      <c r="N291" s="121"/>
      <c r="O291" s="121"/>
      <c r="P291" s="121"/>
      <c r="Q291" s="121"/>
      <c r="R291" s="121"/>
      <c r="S291" s="121"/>
      <c r="T291" s="121"/>
      <c r="U291" s="121"/>
      <c r="V291" s="121"/>
      <c r="W291" s="121"/>
      <c r="X291" s="121"/>
      <c r="Y291" s="121"/>
      <c r="Z291" s="121"/>
      <c r="AA291" s="121"/>
      <c r="AB291" s="121"/>
    </row>
    <row r="292">
      <c r="A292" s="131"/>
      <c r="B292" s="131"/>
      <c r="C292" s="131"/>
      <c r="D292" s="131"/>
      <c r="E292" s="131"/>
      <c r="F292" s="131"/>
      <c r="G292" s="131"/>
      <c r="H292" s="121"/>
      <c r="I292" s="121"/>
      <c r="J292" s="121"/>
      <c r="K292" s="121"/>
      <c r="L292" s="121"/>
      <c r="M292" s="121"/>
      <c r="N292" s="121"/>
      <c r="O292" s="121"/>
      <c r="P292" s="121"/>
      <c r="Q292" s="121"/>
      <c r="R292" s="121"/>
      <c r="S292" s="121"/>
      <c r="T292" s="121"/>
      <c r="U292" s="121"/>
      <c r="V292" s="121"/>
      <c r="W292" s="121"/>
      <c r="X292" s="121"/>
      <c r="Y292" s="121"/>
      <c r="Z292" s="121"/>
      <c r="AA292" s="121"/>
      <c r="AB292" s="121"/>
    </row>
    <row r="293">
      <c r="A293" s="131"/>
      <c r="B293" s="131"/>
      <c r="C293" s="131"/>
      <c r="D293" s="131"/>
      <c r="E293" s="131"/>
      <c r="F293" s="131"/>
      <c r="G293" s="131"/>
      <c r="H293" s="121"/>
      <c r="I293" s="121"/>
      <c r="J293" s="121"/>
      <c r="K293" s="121"/>
      <c r="L293" s="121"/>
      <c r="M293" s="121"/>
      <c r="N293" s="121"/>
      <c r="O293" s="121"/>
      <c r="P293" s="121"/>
      <c r="Q293" s="121"/>
      <c r="R293" s="121"/>
      <c r="S293" s="121"/>
      <c r="T293" s="121"/>
      <c r="U293" s="121"/>
      <c r="V293" s="121"/>
      <c r="W293" s="121"/>
      <c r="X293" s="121"/>
      <c r="Y293" s="121"/>
      <c r="Z293" s="121"/>
      <c r="AA293" s="121"/>
      <c r="AB293" s="121"/>
    </row>
    <row r="294">
      <c r="A294" s="131"/>
      <c r="B294" s="131"/>
      <c r="C294" s="131"/>
      <c r="D294" s="131"/>
      <c r="E294" s="131"/>
      <c r="F294" s="131"/>
      <c r="G294" s="131"/>
      <c r="H294" s="121"/>
      <c r="I294" s="121"/>
      <c r="J294" s="121"/>
      <c r="K294" s="121"/>
      <c r="L294" s="121"/>
      <c r="M294" s="121"/>
      <c r="N294" s="121"/>
      <c r="O294" s="121"/>
      <c r="P294" s="121"/>
      <c r="Q294" s="121"/>
      <c r="R294" s="121"/>
      <c r="S294" s="121"/>
      <c r="T294" s="121"/>
      <c r="U294" s="121"/>
      <c r="V294" s="121"/>
      <c r="W294" s="121"/>
      <c r="X294" s="121"/>
      <c r="Y294" s="121"/>
      <c r="Z294" s="121"/>
      <c r="AA294" s="121"/>
      <c r="AB294" s="121"/>
    </row>
    <row r="295">
      <c r="A295" s="131"/>
      <c r="B295" s="131"/>
      <c r="C295" s="131"/>
      <c r="D295" s="131"/>
      <c r="E295" s="131"/>
      <c r="F295" s="131"/>
      <c r="G295" s="131"/>
      <c r="H295" s="121"/>
      <c r="I295" s="121"/>
      <c r="J295" s="121"/>
      <c r="K295" s="121"/>
      <c r="L295" s="121"/>
      <c r="M295" s="121"/>
      <c r="N295" s="121"/>
      <c r="O295" s="121"/>
      <c r="P295" s="121"/>
      <c r="Q295" s="121"/>
      <c r="R295" s="121"/>
      <c r="S295" s="121"/>
      <c r="T295" s="121"/>
      <c r="U295" s="121"/>
      <c r="V295" s="121"/>
      <c r="W295" s="121"/>
      <c r="X295" s="121"/>
      <c r="Y295" s="121"/>
      <c r="Z295" s="121"/>
      <c r="AA295" s="121"/>
      <c r="AB295" s="121"/>
    </row>
    <row r="296">
      <c r="A296" s="131"/>
      <c r="B296" s="131"/>
      <c r="C296" s="131"/>
      <c r="D296" s="131"/>
      <c r="E296" s="131"/>
      <c r="F296" s="131"/>
      <c r="G296" s="131"/>
      <c r="H296" s="121"/>
      <c r="I296" s="121"/>
      <c r="J296" s="121"/>
      <c r="K296" s="121"/>
      <c r="L296" s="121"/>
      <c r="M296" s="121"/>
      <c r="N296" s="121"/>
      <c r="O296" s="121"/>
      <c r="P296" s="121"/>
      <c r="Q296" s="121"/>
      <c r="R296" s="121"/>
      <c r="S296" s="121"/>
      <c r="T296" s="121"/>
      <c r="U296" s="121"/>
      <c r="V296" s="121"/>
      <c r="W296" s="121"/>
      <c r="X296" s="121"/>
      <c r="Y296" s="121"/>
      <c r="Z296" s="121"/>
      <c r="AA296" s="121"/>
      <c r="AB296" s="121"/>
    </row>
    <row r="297">
      <c r="A297" s="131"/>
      <c r="B297" s="131"/>
      <c r="C297" s="131"/>
      <c r="D297" s="131"/>
      <c r="E297" s="131"/>
      <c r="F297" s="131"/>
      <c r="G297" s="131"/>
      <c r="H297" s="121"/>
      <c r="I297" s="121"/>
      <c r="J297" s="121"/>
      <c r="K297" s="121"/>
      <c r="L297" s="121"/>
      <c r="M297" s="121"/>
      <c r="N297" s="121"/>
      <c r="O297" s="121"/>
      <c r="P297" s="121"/>
      <c r="Q297" s="121"/>
      <c r="R297" s="121"/>
      <c r="S297" s="121"/>
      <c r="T297" s="121"/>
      <c r="U297" s="121"/>
      <c r="V297" s="121"/>
      <c r="W297" s="121"/>
      <c r="X297" s="121"/>
      <c r="Y297" s="121"/>
      <c r="Z297" s="121"/>
      <c r="AA297" s="121"/>
      <c r="AB297" s="121"/>
    </row>
    <row r="298">
      <c r="A298" s="131"/>
      <c r="B298" s="131"/>
      <c r="C298" s="131"/>
      <c r="D298" s="131"/>
      <c r="E298" s="131"/>
      <c r="F298" s="131"/>
      <c r="G298" s="131"/>
      <c r="H298" s="121"/>
      <c r="I298" s="121"/>
      <c r="J298" s="121"/>
      <c r="K298" s="121"/>
      <c r="L298" s="121"/>
      <c r="M298" s="121"/>
      <c r="N298" s="121"/>
      <c r="O298" s="121"/>
      <c r="P298" s="121"/>
      <c r="Q298" s="121"/>
      <c r="R298" s="121"/>
      <c r="S298" s="121"/>
      <c r="T298" s="121"/>
      <c r="U298" s="121"/>
      <c r="V298" s="121"/>
      <c r="W298" s="121"/>
      <c r="X298" s="121"/>
      <c r="Y298" s="121"/>
      <c r="Z298" s="121"/>
      <c r="AA298" s="121"/>
      <c r="AB298" s="121"/>
    </row>
    <row r="299">
      <c r="A299" s="131"/>
      <c r="B299" s="131"/>
      <c r="C299" s="131"/>
      <c r="D299" s="131"/>
      <c r="E299" s="131"/>
      <c r="F299" s="131"/>
      <c r="G299" s="131"/>
      <c r="H299" s="121"/>
      <c r="I299" s="121"/>
      <c r="J299" s="121"/>
      <c r="K299" s="121"/>
      <c r="L299" s="121"/>
      <c r="M299" s="121"/>
      <c r="N299" s="121"/>
      <c r="O299" s="121"/>
      <c r="P299" s="121"/>
      <c r="Q299" s="121"/>
      <c r="R299" s="121"/>
      <c r="S299" s="121"/>
      <c r="T299" s="121"/>
      <c r="U299" s="121"/>
      <c r="V299" s="121"/>
      <c r="W299" s="121"/>
      <c r="X299" s="121"/>
      <c r="Y299" s="121"/>
      <c r="Z299" s="121"/>
      <c r="AA299" s="121"/>
      <c r="AB299" s="121"/>
    </row>
    <row r="300">
      <c r="A300" s="131"/>
      <c r="B300" s="131"/>
      <c r="C300" s="131"/>
      <c r="D300" s="131"/>
      <c r="E300" s="131"/>
      <c r="F300" s="131"/>
      <c r="G300" s="131"/>
      <c r="H300" s="121"/>
      <c r="I300" s="121"/>
      <c r="J300" s="121"/>
      <c r="K300" s="121"/>
      <c r="L300" s="121"/>
      <c r="M300" s="121"/>
      <c r="N300" s="121"/>
      <c r="O300" s="121"/>
      <c r="P300" s="121"/>
      <c r="Q300" s="121"/>
      <c r="R300" s="121"/>
      <c r="S300" s="121"/>
      <c r="T300" s="121"/>
      <c r="U300" s="121"/>
      <c r="V300" s="121"/>
      <c r="W300" s="121"/>
      <c r="X300" s="121"/>
      <c r="Y300" s="121"/>
      <c r="Z300" s="121"/>
      <c r="AA300" s="121"/>
      <c r="AB300" s="121"/>
    </row>
    <row r="301">
      <c r="A301" s="131"/>
      <c r="B301" s="131"/>
      <c r="C301" s="131"/>
      <c r="D301" s="131"/>
      <c r="E301" s="131"/>
      <c r="F301" s="131"/>
      <c r="G301" s="131"/>
      <c r="H301" s="121"/>
      <c r="I301" s="121"/>
      <c r="J301" s="121"/>
      <c r="K301" s="121"/>
      <c r="L301" s="121"/>
      <c r="M301" s="121"/>
      <c r="N301" s="121"/>
      <c r="O301" s="121"/>
      <c r="P301" s="121"/>
      <c r="Q301" s="121"/>
      <c r="R301" s="121"/>
      <c r="S301" s="121"/>
      <c r="T301" s="121"/>
      <c r="U301" s="121"/>
      <c r="V301" s="121"/>
      <c r="W301" s="121"/>
      <c r="X301" s="121"/>
      <c r="Y301" s="121"/>
      <c r="Z301" s="121"/>
      <c r="AA301" s="121"/>
      <c r="AB301" s="121"/>
    </row>
    <row r="302">
      <c r="A302" s="131"/>
      <c r="B302" s="131"/>
      <c r="C302" s="131"/>
      <c r="D302" s="131"/>
      <c r="E302" s="131"/>
      <c r="F302" s="131"/>
      <c r="G302" s="131"/>
      <c r="H302" s="121"/>
      <c r="I302" s="121"/>
      <c r="J302" s="121"/>
      <c r="K302" s="121"/>
      <c r="L302" s="121"/>
      <c r="M302" s="121"/>
      <c r="N302" s="121"/>
      <c r="O302" s="121"/>
      <c r="P302" s="121"/>
      <c r="Q302" s="121"/>
      <c r="R302" s="121"/>
      <c r="S302" s="121"/>
      <c r="T302" s="121"/>
      <c r="U302" s="121"/>
      <c r="V302" s="121"/>
      <c r="W302" s="121"/>
      <c r="X302" s="121"/>
      <c r="Y302" s="121"/>
      <c r="Z302" s="121"/>
      <c r="AA302" s="121"/>
      <c r="AB302" s="121"/>
    </row>
    <row r="303">
      <c r="A303" s="131"/>
      <c r="B303" s="131"/>
      <c r="C303" s="131"/>
      <c r="D303" s="131"/>
      <c r="E303" s="131"/>
      <c r="F303" s="131"/>
      <c r="G303" s="131"/>
      <c r="H303" s="121"/>
      <c r="I303" s="121"/>
      <c r="J303" s="121"/>
      <c r="K303" s="121"/>
      <c r="L303" s="121"/>
      <c r="M303" s="121"/>
      <c r="N303" s="121"/>
      <c r="O303" s="121"/>
      <c r="P303" s="121"/>
      <c r="Q303" s="121"/>
      <c r="R303" s="121"/>
      <c r="S303" s="121"/>
      <c r="T303" s="121"/>
      <c r="U303" s="121"/>
      <c r="V303" s="121"/>
      <c r="W303" s="121"/>
      <c r="X303" s="121"/>
      <c r="Y303" s="121"/>
      <c r="Z303" s="121"/>
      <c r="AA303" s="121"/>
      <c r="AB303" s="121"/>
    </row>
    <row r="304">
      <c r="A304" s="131"/>
      <c r="B304" s="131"/>
      <c r="C304" s="131"/>
      <c r="D304" s="131"/>
      <c r="E304" s="131"/>
      <c r="F304" s="131"/>
      <c r="G304" s="131"/>
      <c r="H304" s="121"/>
      <c r="I304" s="121"/>
      <c r="J304" s="121"/>
      <c r="K304" s="121"/>
      <c r="L304" s="121"/>
      <c r="M304" s="121"/>
      <c r="N304" s="121"/>
      <c r="O304" s="121"/>
      <c r="P304" s="121"/>
      <c r="Q304" s="121"/>
      <c r="R304" s="121"/>
      <c r="S304" s="121"/>
      <c r="T304" s="121"/>
      <c r="U304" s="121"/>
      <c r="V304" s="121"/>
      <c r="W304" s="121"/>
      <c r="X304" s="121"/>
      <c r="Y304" s="121"/>
      <c r="Z304" s="121"/>
      <c r="AA304" s="121"/>
      <c r="AB304" s="121"/>
    </row>
    <row r="305">
      <c r="A305" s="131"/>
      <c r="B305" s="131"/>
      <c r="C305" s="131"/>
      <c r="D305" s="131"/>
      <c r="E305" s="131"/>
      <c r="F305" s="131"/>
      <c r="G305" s="131"/>
      <c r="H305" s="121"/>
      <c r="I305" s="121"/>
      <c r="J305" s="121"/>
      <c r="K305" s="121"/>
      <c r="L305" s="121"/>
      <c r="M305" s="121"/>
      <c r="N305" s="121"/>
      <c r="O305" s="121"/>
      <c r="P305" s="121"/>
      <c r="Q305" s="121"/>
      <c r="R305" s="121"/>
      <c r="S305" s="121"/>
      <c r="T305" s="121"/>
      <c r="U305" s="121"/>
      <c r="V305" s="121"/>
      <c r="W305" s="121"/>
      <c r="X305" s="121"/>
      <c r="Y305" s="121"/>
      <c r="Z305" s="121"/>
      <c r="AA305" s="121"/>
      <c r="AB305" s="121"/>
    </row>
    <row r="306">
      <c r="A306" s="131"/>
      <c r="B306" s="131"/>
      <c r="C306" s="131"/>
      <c r="D306" s="131"/>
      <c r="E306" s="131"/>
      <c r="F306" s="131"/>
      <c r="G306" s="131"/>
      <c r="H306" s="121"/>
      <c r="I306" s="121"/>
      <c r="J306" s="121"/>
      <c r="K306" s="121"/>
      <c r="L306" s="121"/>
      <c r="M306" s="121"/>
      <c r="N306" s="121"/>
      <c r="O306" s="121"/>
      <c r="P306" s="121"/>
      <c r="Q306" s="121"/>
      <c r="R306" s="121"/>
      <c r="S306" s="121"/>
      <c r="T306" s="121"/>
      <c r="U306" s="121"/>
      <c r="V306" s="121"/>
      <c r="W306" s="121"/>
      <c r="X306" s="121"/>
      <c r="Y306" s="121"/>
      <c r="Z306" s="121"/>
      <c r="AA306" s="121"/>
      <c r="AB306" s="121"/>
    </row>
    <row r="307">
      <c r="A307" s="131"/>
      <c r="B307" s="131"/>
      <c r="C307" s="131"/>
      <c r="D307" s="131"/>
      <c r="E307" s="131"/>
      <c r="F307" s="131"/>
      <c r="G307" s="131"/>
      <c r="H307" s="121"/>
      <c r="I307" s="121"/>
      <c r="J307" s="121"/>
      <c r="K307" s="121"/>
      <c r="L307" s="121"/>
      <c r="M307" s="121"/>
      <c r="N307" s="121"/>
      <c r="O307" s="121"/>
      <c r="P307" s="121"/>
      <c r="Q307" s="121"/>
      <c r="R307" s="121"/>
      <c r="S307" s="121"/>
      <c r="T307" s="121"/>
      <c r="U307" s="121"/>
      <c r="V307" s="121"/>
      <c r="W307" s="121"/>
      <c r="X307" s="121"/>
      <c r="Y307" s="121"/>
      <c r="Z307" s="121"/>
      <c r="AA307" s="121"/>
      <c r="AB307" s="121"/>
    </row>
    <row r="308">
      <c r="A308" s="131"/>
      <c r="B308" s="131"/>
      <c r="C308" s="131"/>
      <c r="D308" s="131"/>
      <c r="E308" s="131"/>
      <c r="F308" s="131"/>
      <c r="G308" s="131"/>
      <c r="H308" s="121"/>
      <c r="I308" s="121"/>
      <c r="J308" s="121"/>
      <c r="K308" s="121"/>
      <c r="L308" s="121"/>
      <c r="M308" s="121"/>
      <c r="N308" s="121"/>
      <c r="O308" s="121"/>
      <c r="P308" s="121"/>
      <c r="Q308" s="121"/>
      <c r="R308" s="121"/>
      <c r="S308" s="121"/>
      <c r="T308" s="121"/>
      <c r="U308" s="121"/>
      <c r="V308" s="121"/>
      <c r="W308" s="121"/>
      <c r="X308" s="121"/>
      <c r="Y308" s="121"/>
      <c r="Z308" s="121"/>
      <c r="AA308" s="121"/>
      <c r="AB308" s="121"/>
    </row>
    <row r="309">
      <c r="A309" s="131"/>
      <c r="B309" s="131"/>
      <c r="C309" s="131"/>
      <c r="D309" s="131"/>
      <c r="E309" s="131"/>
      <c r="F309" s="131"/>
      <c r="G309" s="131"/>
      <c r="H309" s="121"/>
      <c r="I309" s="121"/>
      <c r="J309" s="121"/>
      <c r="K309" s="121"/>
      <c r="L309" s="121"/>
      <c r="M309" s="121"/>
      <c r="N309" s="121"/>
      <c r="O309" s="121"/>
      <c r="P309" s="121"/>
      <c r="Q309" s="121"/>
      <c r="R309" s="121"/>
      <c r="S309" s="121"/>
      <c r="T309" s="121"/>
      <c r="U309" s="121"/>
      <c r="V309" s="121"/>
      <c r="W309" s="121"/>
      <c r="X309" s="121"/>
      <c r="Y309" s="121"/>
      <c r="Z309" s="121"/>
      <c r="AA309" s="121"/>
      <c r="AB309" s="121"/>
    </row>
    <row r="310">
      <c r="A310" s="131"/>
      <c r="B310" s="131"/>
      <c r="C310" s="131"/>
      <c r="D310" s="131"/>
      <c r="E310" s="131"/>
      <c r="F310" s="131"/>
      <c r="G310" s="131"/>
      <c r="H310" s="121"/>
      <c r="I310" s="121"/>
      <c r="J310" s="121"/>
      <c r="K310" s="121"/>
      <c r="L310" s="121"/>
      <c r="M310" s="121"/>
      <c r="N310" s="121"/>
      <c r="O310" s="121"/>
      <c r="P310" s="121"/>
      <c r="Q310" s="121"/>
      <c r="R310" s="121"/>
      <c r="S310" s="121"/>
      <c r="T310" s="121"/>
      <c r="U310" s="121"/>
      <c r="V310" s="121"/>
      <c r="W310" s="121"/>
      <c r="X310" s="121"/>
      <c r="Y310" s="121"/>
      <c r="Z310" s="121"/>
      <c r="AA310" s="121"/>
      <c r="AB310" s="121"/>
    </row>
    <row r="311">
      <c r="A311" s="131"/>
      <c r="B311" s="131"/>
      <c r="C311" s="131"/>
      <c r="D311" s="131"/>
      <c r="E311" s="131"/>
      <c r="F311" s="131"/>
      <c r="G311" s="131"/>
      <c r="H311" s="121"/>
      <c r="I311" s="121"/>
      <c r="J311" s="121"/>
      <c r="K311" s="121"/>
      <c r="L311" s="121"/>
      <c r="M311" s="121"/>
      <c r="N311" s="121"/>
      <c r="O311" s="121"/>
      <c r="P311" s="121"/>
      <c r="Q311" s="121"/>
      <c r="R311" s="121"/>
      <c r="S311" s="121"/>
      <c r="T311" s="121"/>
      <c r="U311" s="121"/>
      <c r="V311" s="121"/>
      <c r="W311" s="121"/>
      <c r="X311" s="121"/>
      <c r="Y311" s="121"/>
      <c r="Z311" s="121"/>
      <c r="AA311" s="121"/>
      <c r="AB311" s="121"/>
    </row>
    <row r="312">
      <c r="A312" s="131"/>
      <c r="B312" s="131"/>
      <c r="C312" s="131"/>
      <c r="D312" s="131"/>
      <c r="E312" s="131"/>
      <c r="F312" s="131"/>
      <c r="G312" s="131"/>
      <c r="H312" s="121"/>
      <c r="I312" s="121"/>
      <c r="J312" s="121"/>
      <c r="K312" s="121"/>
      <c r="L312" s="121"/>
      <c r="M312" s="121"/>
      <c r="N312" s="121"/>
      <c r="O312" s="121"/>
      <c r="P312" s="121"/>
      <c r="Q312" s="121"/>
      <c r="R312" s="121"/>
      <c r="S312" s="121"/>
      <c r="T312" s="121"/>
      <c r="U312" s="121"/>
      <c r="V312" s="121"/>
      <c r="W312" s="121"/>
      <c r="X312" s="121"/>
      <c r="Y312" s="121"/>
      <c r="Z312" s="121"/>
      <c r="AA312" s="121"/>
      <c r="AB312" s="121"/>
    </row>
    <row r="313">
      <c r="A313" s="131"/>
      <c r="B313" s="131"/>
      <c r="C313" s="131"/>
      <c r="D313" s="131"/>
      <c r="E313" s="131"/>
      <c r="F313" s="131"/>
      <c r="G313" s="131"/>
      <c r="H313" s="121"/>
      <c r="I313" s="121"/>
      <c r="J313" s="121"/>
      <c r="K313" s="121"/>
      <c r="L313" s="121"/>
      <c r="M313" s="121"/>
      <c r="N313" s="121"/>
      <c r="O313" s="121"/>
      <c r="P313" s="121"/>
      <c r="Q313" s="121"/>
      <c r="R313" s="121"/>
      <c r="S313" s="121"/>
      <c r="T313" s="121"/>
      <c r="U313" s="121"/>
      <c r="V313" s="121"/>
      <c r="W313" s="121"/>
      <c r="X313" s="121"/>
      <c r="Y313" s="121"/>
      <c r="Z313" s="121"/>
      <c r="AA313" s="121"/>
      <c r="AB313" s="121"/>
    </row>
    <row r="314">
      <c r="A314" s="131"/>
      <c r="B314" s="131"/>
      <c r="C314" s="131"/>
      <c r="D314" s="131"/>
      <c r="E314" s="131"/>
      <c r="F314" s="131"/>
      <c r="G314" s="131"/>
      <c r="H314" s="121"/>
      <c r="I314" s="121"/>
      <c r="J314" s="121"/>
      <c r="K314" s="121"/>
      <c r="L314" s="121"/>
      <c r="M314" s="121"/>
      <c r="N314" s="121"/>
      <c r="O314" s="121"/>
      <c r="P314" s="121"/>
      <c r="Q314" s="121"/>
      <c r="R314" s="121"/>
      <c r="S314" s="121"/>
      <c r="T314" s="121"/>
      <c r="U314" s="121"/>
      <c r="V314" s="121"/>
      <c r="W314" s="121"/>
      <c r="X314" s="121"/>
      <c r="Y314" s="121"/>
      <c r="Z314" s="121"/>
      <c r="AA314" s="121"/>
      <c r="AB314" s="121"/>
    </row>
    <row r="315">
      <c r="A315" s="131"/>
      <c r="B315" s="131"/>
      <c r="C315" s="131"/>
      <c r="D315" s="131"/>
      <c r="E315" s="131"/>
      <c r="F315" s="131"/>
      <c r="G315" s="131"/>
      <c r="H315" s="121"/>
      <c r="I315" s="121"/>
      <c r="J315" s="121"/>
      <c r="K315" s="121"/>
      <c r="L315" s="121"/>
      <c r="M315" s="121"/>
      <c r="N315" s="121"/>
      <c r="O315" s="121"/>
      <c r="P315" s="121"/>
      <c r="Q315" s="121"/>
      <c r="R315" s="121"/>
      <c r="S315" s="121"/>
      <c r="T315" s="121"/>
      <c r="U315" s="121"/>
      <c r="V315" s="121"/>
      <c r="W315" s="121"/>
      <c r="X315" s="121"/>
      <c r="Y315" s="121"/>
      <c r="Z315" s="121"/>
      <c r="AA315" s="121"/>
      <c r="AB315" s="121"/>
    </row>
    <row r="316">
      <c r="A316" s="131"/>
      <c r="B316" s="131"/>
      <c r="C316" s="131"/>
      <c r="D316" s="131"/>
      <c r="E316" s="131"/>
      <c r="F316" s="131"/>
      <c r="G316" s="131"/>
      <c r="H316" s="121"/>
      <c r="I316" s="121"/>
      <c r="J316" s="121"/>
      <c r="K316" s="121"/>
      <c r="L316" s="121"/>
      <c r="M316" s="121"/>
      <c r="N316" s="121"/>
      <c r="O316" s="121"/>
      <c r="P316" s="121"/>
      <c r="Q316" s="121"/>
      <c r="R316" s="121"/>
      <c r="S316" s="121"/>
      <c r="T316" s="121"/>
      <c r="U316" s="121"/>
      <c r="V316" s="121"/>
      <c r="W316" s="121"/>
      <c r="X316" s="121"/>
      <c r="Y316" s="121"/>
      <c r="Z316" s="121"/>
      <c r="AA316" s="121"/>
      <c r="AB316" s="121"/>
    </row>
    <row r="317">
      <c r="A317" s="131"/>
      <c r="B317" s="131"/>
      <c r="C317" s="131"/>
      <c r="D317" s="131"/>
      <c r="E317" s="131"/>
      <c r="F317" s="131"/>
      <c r="G317" s="131"/>
      <c r="H317" s="121"/>
      <c r="I317" s="121"/>
      <c r="J317" s="121"/>
      <c r="K317" s="121"/>
      <c r="L317" s="121"/>
      <c r="M317" s="121"/>
      <c r="N317" s="121"/>
      <c r="O317" s="121"/>
      <c r="P317" s="121"/>
      <c r="Q317" s="121"/>
      <c r="R317" s="121"/>
      <c r="S317" s="121"/>
      <c r="T317" s="121"/>
      <c r="U317" s="121"/>
      <c r="V317" s="121"/>
      <c r="W317" s="121"/>
      <c r="X317" s="121"/>
      <c r="Y317" s="121"/>
      <c r="Z317" s="121"/>
      <c r="AA317" s="121"/>
      <c r="AB317" s="121"/>
    </row>
    <row r="318">
      <c r="A318" s="131"/>
      <c r="B318" s="131"/>
      <c r="C318" s="131"/>
      <c r="D318" s="131"/>
      <c r="E318" s="131"/>
      <c r="F318" s="131"/>
      <c r="G318" s="131"/>
      <c r="H318" s="121"/>
      <c r="I318" s="121"/>
      <c r="J318" s="121"/>
      <c r="K318" s="121"/>
      <c r="L318" s="121"/>
      <c r="M318" s="121"/>
      <c r="N318" s="121"/>
      <c r="O318" s="121"/>
      <c r="P318" s="121"/>
      <c r="Q318" s="121"/>
      <c r="R318" s="121"/>
      <c r="S318" s="121"/>
      <c r="T318" s="121"/>
      <c r="U318" s="121"/>
      <c r="V318" s="121"/>
      <c r="W318" s="121"/>
      <c r="X318" s="121"/>
      <c r="Y318" s="121"/>
      <c r="Z318" s="121"/>
      <c r="AA318" s="121"/>
      <c r="AB318" s="121"/>
    </row>
    <row r="319">
      <c r="A319" s="131"/>
      <c r="B319" s="131"/>
      <c r="C319" s="131"/>
      <c r="D319" s="131"/>
      <c r="E319" s="131"/>
      <c r="F319" s="131"/>
      <c r="G319" s="131"/>
      <c r="H319" s="121"/>
      <c r="I319" s="121"/>
      <c r="J319" s="121"/>
      <c r="K319" s="121"/>
      <c r="L319" s="121"/>
      <c r="M319" s="121"/>
      <c r="N319" s="121"/>
      <c r="O319" s="121"/>
      <c r="P319" s="121"/>
      <c r="Q319" s="121"/>
      <c r="R319" s="121"/>
      <c r="S319" s="121"/>
      <c r="T319" s="121"/>
      <c r="U319" s="121"/>
      <c r="V319" s="121"/>
      <c r="W319" s="121"/>
      <c r="X319" s="121"/>
      <c r="Y319" s="121"/>
      <c r="Z319" s="121"/>
      <c r="AA319" s="121"/>
      <c r="AB319" s="121"/>
    </row>
    <row r="320">
      <c r="A320" s="131"/>
      <c r="B320" s="131"/>
      <c r="C320" s="131"/>
      <c r="D320" s="131"/>
      <c r="E320" s="131"/>
      <c r="F320" s="131"/>
      <c r="G320" s="131"/>
      <c r="H320" s="121"/>
      <c r="I320" s="121"/>
      <c r="J320" s="121"/>
      <c r="K320" s="121"/>
      <c r="L320" s="121"/>
      <c r="M320" s="121"/>
      <c r="N320" s="121"/>
      <c r="O320" s="121"/>
      <c r="P320" s="121"/>
      <c r="Q320" s="121"/>
      <c r="R320" s="121"/>
      <c r="S320" s="121"/>
      <c r="T320" s="121"/>
      <c r="U320" s="121"/>
      <c r="V320" s="121"/>
      <c r="W320" s="121"/>
      <c r="X320" s="121"/>
      <c r="Y320" s="121"/>
      <c r="Z320" s="121"/>
      <c r="AA320" s="121"/>
      <c r="AB320" s="121"/>
    </row>
    <row r="321">
      <c r="A321" s="131"/>
      <c r="B321" s="131"/>
      <c r="C321" s="131"/>
      <c r="D321" s="131"/>
      <c r="E321" s="131"/>
      <c r="F321" s="131"/>
      <c r="G321" s="131"/>
      <c r="H321" s="121"/>
      <c r="I321" s="121"/>
      <c r="J321" s="121"/>
      <c r="K321" s="121"/>
      <c r="L321" s="121"/>
      <c r="M321" s="121"/>
      <c r="N321" s="121"/>
      <c r="O321" s="121"/>
      <c r="P321" s="121"/>
      <c r="Q321" s="121"/>
      <c r="R321" s="121"/>
      <c r="S321" s="121"/>
      <c r="T321" s="121"/>
      <c r="U321" s="121"/>
      <c r="V321" s="121"/>
      <c r="W321" s="121"/>
      <c r="X321" s="121"/>
      <c r="Y321" s="121"/>
      <c r="Z321" s="121"/>
      <c r="AA321" s="121"/>
      <c r="AB321" s="121"/>
    </row>
    <row r="322">
      <c r="A322" s="131"/>
      <c r="B322" s="131"/>
      <c r="C322" s="131"/>
      <c r="D322" s="131"/>
      <c r="E322" s="131"/>
      <c r="F322" s="131"/>
      <c r="G322" s="131"/>
      <c r="H322" s="121"/>
      <c r="I322" s="121"/>
      <c r="J322" s="121"/>
      <c r="K322" s="121"/>
      <c r="L322" s="121"/>
      <c r="M322" s="121"/>
      <c r="N322" s="121"/>
      <c r="O322" s="121"/>
      <c r="P322" s="121"/>
      <c r="Q322" s="121"/>
      <c r="R322" s="121"/>
      <c r="S322" s="121"/>
      <c r="T322" s="121"/>
      <c r="U322" s="121"/>
      <c r="V322" s="121"/>
      <c r="W322" s="121"/>
      <c r="X322" s="121"/>
      <c r="Y322" s="121"/>
      <c r="Z322" s="121"/>
      <c r="AA322" s="121"/>
      <c r="AB322" s="121"/>
    </row>
    <row r="323">
      <c r="A323" s="131"/>
      <c r="B323" s="131"/>
      <c r="C323" s="131"/>
      <c r="D323" s="131"/>
      <c r="E323" s="131"/>
      <c r="F323" s="131"/>
      <c r="G323" s="131"/>
      <c r="H323" s="121"/>
      <c r="I323" s="121"/>
      <c r="J323" s="121"/>
      <c r="K323" s="121"/>
      <c r="L323" s="121"/>
      <c r="M323" s="121"/>
      <c r="N323" s="121"/>
      <c r="O323" s="121"/>
      <c r="P323" s="121"/>
      <c r="Q323" s="121"/>
      <c r="R323" s="121"/>
      <c r="S323" s="121"/>
      <c r="T323" s="121"/>
      <c r="U323" s="121"/>
      <c r="V323" s="121"/>
      <c r="W323" s="121"/>
      <c r="X323" s="121"/>
      <c r="Y323" s="121"/>
      <c r="Z323" s="121"/>
      <c r="AA323" s="121"/>
      <c r="AB323" s="121"/>
    </row>
    <row r="324">
      <c r="A324" s="131"/>
      <c r="B324" s="131"/>
      <c r="C324" s="131"/>
      <c r="D324" s="131"/>
      <c r="E324" s="131"/>
      <c r="F324" s="131"/>
      <c r="G324" s="131"/>
      <c r="H324" s="121"/>
      <c r="I324" s="121"/>
      <c r="J324" s="121"/>
      <c r="K324" s="121"/>
      <c r="L324" s="121"/>
      <c r="M324" s="121"/>
      <c r="N324" s="121"/>
      <c r="O324" s="121"/>
      <c r="P324" s="121"/>
      <c r="Q324" s="121"/>
      <c r="R324" s="121"/>
      <c r="S324" s="121"/>
      <c r="T324" s="121"/>
      <c r="U324" s="121"/>
      <c r="V324" s="121"/>
      <c r="W324" s="121"/>
      <c r="X324" s="121"/>
      <c r="Y324" s="121"/>
      <c r="Z324" s="121"/>
      <c r="AA324" s="121"/>
      <c r="AB324" s="121"/>
    </row>
    <row r="325">
      <c r="A325" s="131"/>
      <c r="B325" s="131"/>
      <c r="C325" s="131"/>
      <c r="D325" s="131"/>
      <c r="E325" s="131"/>
      <c r="F325" s="131"/>
      <c r="G325" s="131"/>
      <c r="H325" s="121"/>
      <c r="I325" s="121"/>
      <c r="J325" s="121"/>
      <c r="K325" s="121"/>
      <c r="L325" s="121"/>
      <c r="M325" s="121"/>
      <c r="N325" s="121"/>
      <c r="O325" s="121"/>
      <c r="P325" s="121"/>
      <c r="Q325" s="121"/>
      <c r="R325" s="121"/>
      <c r="S325" s="121"/>
      <c r="T325" s="121"/>
      <c r="U325" s="121"/>
      <c r="V325" s="121"/>
      <c r="W325" s="121"/>
      <c r="X325" s="121"/>
      <c r="Y325" s="121"/>
      <c r="Z325" s="121"/>
      <c r="AA325" s="121"/>
      <c r="AB325" s="121"/>
    </row>
    <row r="326">
      <c r="A326" s="131"/>
      <c r="B326" s="131"/>
      <c r="C326" s="131"/>
      <c r="D326" s="131"/>
      <c r="E326" s="131"/>
      <c r="F326" s="131"/>
      <c r="G326" s="131"/>
      <c r="H326" s="121"/>
      <c r="I326" s="121"/>
      <c r="J326" s="121"/>
      <c r="K326" s="121"/>
      <c r="L326" s="121"/>
      <c r="M326" s="121"/>
      <c r="N326" s="121"/>
      <c r="O326" s="121"/>
      <c r="P326" s="121"/>
      <c r="Q326" s="121"/>
      <c r="R326" s="121"/>
      <c r="S326" s="121"/>
      <c r="T326" s="121"/>
      <c r="U326" s="121"/>
      <c r="V326" s="121"/>
      <c r="W326" s="121"/>
      <c r="X326" s="121"/>
      <c r="Y326" s="121"/>
      <c r="Z326" s="121"/>
      <c r="AA326" s="121"/>
      <c r="AB326" s="121"/>
    </row>
    <row r="327">
      <c r="A327" s="131"/>
      <c r="B327" s="131"/>
      <c r="C327" s="131"/>
      <c r="D327" s="131"/>
      <c r="E327" s="131"/>
      <c r="F327" s="131"/>
      <c r="G327" s="131"/>
      <c r="H327" s="121"/>
      <c r="I327" s="121"/>
      <c r="J327" s="121"/>
      <c r="K327" s="121"/>
      <c r="L327" s="121"/>
      <c r="M327" s="121"/>
      <c r="N327" s="121"/>
      <c r="O327" s="121"/>
      <c r="P327" s="121"/>
      <c r="Q327" s="121"/>
      <c r="R327" s="121"/>
      <c r="S327" s="121"/>
      <c r="T327" s="121"/>
      <c r="U327" s="121"/>
      <c r="V327" s="121"/>
      <c r="W327" s="121"/>
      <c r="X327" s="121"/>
      <c r="Y327" s="121"/>
      <c r="Z327" s="121"/>
      <c r="AA327" s="121"/>
      <c r="AB327" s="121"/>
    </row>
    <row r="328">
      <c r="A328" s="131"/>
      <c r="B328" s="131"/>
      <c r="C328" s="131"/>
      <c r="D328" s="131"/>
      <c r="E328" s="131"/>
      <c r="F328" s="131"/>
      <c r="G328" s="131"/>
      <c r="H328" s="121"/>
      <c r="I328" s="121"/>
      <c r="J328" s="121"/>
      <c r="K328" s="121"/>
      <c r="L328" s="121"/>
      <c r="M328" s="121"/>
      <c r="N328" s="121"/>
      <c r="O328" s="121"/>
      <c r="P328" s="121"/>
      <c r="Q328" s="121"/>
      <c r="R328" s="121"/>
      <c r="S328" s="121"/>
      <c r="T328" s="121"/>
      <c r="U328" s="121"/>
      <c r="V328" s="121"/>
      <c r="W328" s="121"/>
      <c r="X328" s="121"/>
      <c r="Y328" s="121"/>
      <c r="Z328" s="121"/>
      <c r="AA328" s="121"/>
      <c r="AB328" s="121"/>
    </row>
    <row r="329">
      <c r="A329" s="131"/>
      <c r="B329" s="131"/>
      <c r="C329" s="131"/>
      <c r="D329" s="131"/>
      <c r="E329" s="131"/>
      <c r="F329" s="131"/>
      <c r="G329" s="131"/>
      <c r="H329" s="121"/>
      <c r="I329" s="121"/>
      <c r="J329" s="121"/>
      <c r="K329" s="121"/>
      <c r="L329" s="121"/>
      <c r="M329" s="121"/>
      <c r="N329" s="121"/>
      <c r="O329" s="121"/>
      <c r="P329" s="121"/>
      <c r="Q329" s="121"/>
      <c r="R329" s="121"/>
      <c r="S329" s="121"/>
      <c r="T329" s="121"/>
      <c r="U329" s="121"/>
      <c r="V329" s="121"/>
      <c r="W329" s="121"/>
      <c r="X329" s="121"/>
      <c r="Y329" s="121"/>
      <c r="Z329" s="121"/>
      <c r="AA329" s="121"/>
      <c r="AB329" s="121"/>
    </row>
    <row r="330">
      <c r="A330" s="131"/>
      <c r="B330" s="131"/>
      <c r="C330" s="131"/>
      <c r="D330" s="131"/>
      <c r="E330" s="131"/>
      <c r="F330" s="131"/>
      <c r="G330" s="131"/>
      <c r="H330" s="121"/>
      <c r="I330" s="121"/>
      <c r="J330" s="121"/>
      <c r="K330" s="121"/>
      <c r="L330" s="121"/>
      <c r="M330" s="121"/>
      <c r="N330" s="121"/>
      <c r="O330" s="121"/>
      <c r="P330" s="121"/>
      <c r="Q330" s="121"/>
      <c r="R330" s="121"/>
      <c r="S330" s="121"/>
      <c r="T330" s="121"/>
      <c r="U330" s="121"/>
      <c r="V330" s="121"/>
      <c r="W330" s="121"/>
      <c r="X330" s="121"/>
      <c r="Y330" s="121"/>
      <c r="Z330" s="121"/>
      <c r="AA330" s="121"/>
      <c r="AB330" s="121"/>
    </row>
    <row r="331">
      <c r="A331" s="131"/>
      <c r="B331" s="131"/>
      <c r="C331" s="131"/>
      <c r="D331" s="131"/>
      <c r="E331" s="131"/>
      <c r="F331" s="131"/>
      <c r="G331" s="131"/>
      <c r="H331" s="121"/>
      <c r="I331" s="121"/>
      <c r="J331" s="121"/>
      <c r="K331" s="121"/>
      <c r="L331" s="121"/>
      <c r="M331" s="121"/>
      <c r="N331" s="121"/>
      <c r="O331" s="121"/>
      <c r="P331" s="121"/>
      <c r="Q331" s="121"/>
      <c r="R331" s="121"/>
      <c r="S331" s="121"/>
      <c r="T331" s="121"/>
      <c r="U331" s="121"/>
      <c r="V331" s="121"/>
      <c r="W331" s="121"/>
      <c r="X331" s="121"/>
      <c r="Y331" s="121"/>
      <c r="Z331" s="121"/>
      <c r="AA331" s="121"/>
      <c r="AB331" s="121"/>
    </row>
    <row r="332">
      <c r="A332" s="131"/>
      <c r="B332" s="131"/>
      <c r="C332" s="131"/>
      <c r="D332" s="131"/>
      <c r="E332" s="131"/>
      <c r="F332" s="131"/>
      <c r="G332" s="131"/>
      <c r="H332" s="121"/>
      <c r="I332" s="121"/>
      <c r="J332" s="121"/>
      <c r="K332" s="121"/>
      <c r="L332" s="121"/>
      <c r="M332" s="121"/>
      <c r="N332" s="121"/>
      <c r="O332" s="121"/>
      <c r="P332" s="121"/>
      <c r="Q332" s="121"/>
      <c r="R332" s="121"/>
      <c r="S332" s="121"/>
      <c r="T332" s="121"/>
      <c r="U332" s="121"/>
      <c r="V332" s="121"/>
      <c r="W332" s="121"/>
      <c r="X332" s="121"/>
      <c r="Y332" s="121"/>
      <c r="Z332" s="121"/>
      <c r="AA332" s="121"/>
      <c r="AB332" s="121"/>
    </row>
    <row r="333">
      <c r="A333" s="131"/>
      <c r="B333" s="131"/>
      <c r="C333" s="131"/>
      <c r="D333" s="131"/>
      <c r="E333" s="131"/>
      <c r="F333" s="131"/>
      <c r="G333" s="131"/>
      <c r="H333" s="121"/>
      <c r="I333" s="121"/>
      <c r="J333" s="121"/>
      <c r="K333" s="121"/>
      <c r="L333" s="121"/>
      <c r="M333" s="121"/>
      <c r="N333" s="121"/>
      <c r="O333" s="121"/>
      <c r="P333" s="121"/>
      <c r="Q333" s="121"/>
      <c r="R333" s="121"/>
      <c r="S333" s="121"/>
      <c r="T333" s="121"/>
      <c r="U333" s="121"/>
      <c r="V333" s="121"/>
      <c r="W333" s="121"/>
      <c r="X333" s="121"/>
      <c r="Y333" s="121"/>
      <c r="Z333" s="121"/>
      <c r="AA333" s="121"/>
      <c r="AB333" s="121"/>
    </row>
    <row r="334">
      <c r="A334" s="131"/>
      <c r="B334" s="131"/>
      <c r="C334" s="131"/>
      <c r="D334" s="131"/>
      <c r="E334" s="131"/>
      <c r="F334" s="131"/>
      <c r="G334" s="131"/>
      <c r="H334" s="121"/>
      <c r="I334" s="121"/>
      <c r="J334" s="121"/>
      <c r="K334" s="121"/>
      <c r="L334" s="121"/>
      <c r="M334" s="121"/>
      <c r="N334" s="121"/>
      <c r="O334" s="121"/>
      <c r="P334" s="121"/>
      <c r="Q334" s="121"/>
      <c r="R334" s="121"/>
      <c r="S334" s="121"/>
      <c r="T334" s="121"/>
      <c r="U334" s="121"/>
      <c r="V334" s="121"/>
      <c r="W334" s="121"/>
      <c r="X334" s="121"/>
      <c r="Y334" s="121"/>
      <c r="Z334" s="121"/>
      <c r="AA334" s="121"/>
      <c r="AB334" s="121"/>
    </row>
    <row r="335">
      <c r="A335" s="131"/>
      <c r="B335" s="131"/>
      <c r="C335" s="131"/>
      <c r="D335" s="131"/>
      <c r="E335" s="131"/>
      <c r="F335" s="131"/>
      <c r="G335" s="131"/>
      <c r="H335" s="121"/>
      <c r="I335" s="121"/>
      <c r="J335" s="121"/>
      <c r="K335" s="121"/>
      <c r="L335" s="121"/>
      <c r="M335" s="121"/>
      <c r="N335" s="121"/>
      <c r="O335" s="121"/>
      <c r="P335" s="121"/>
      <c r="Q335" s="121"/>
      <c r="R335" s="121"/>
      <c r="S335" s="121"/>
      <c r="T335" s="121"/>
      <c r="U335" s="121"/>
      <c r="V335" s="121"/>
      <c r="W335" s="121"/>
      <c r="X335" s="121"/>
      <c r="Y335" s="121"/>
      <c r="Z335" s="121"/>
      <c r="AA335" s="121"/>
      <c r="AB335" s="121"/>
    </row>
    <row r="336">
      <c r="A336" s="131"/>
      <c r="B336" s="131"/>
      <c r="C336" s="131"/>
      <c r="D336" s="131"/>
      <c r="E336" s="131"/>
      <c r="F336" s="131"/>
      <c r="G336" s="131"/>
      <c r="H336" s="121"/>
      <c r="I336" s="121"/>
      <c r="J336" s="121"/>
      <c r="K336" s="121"/>
      <c r="L336" s="121"/>
      <c r="M336" s="121"/>
      <c r="N336" s="121"/>
      <c r="O336" s="121"/>
      <c r="P336" s="121"/>
      <c r="Q336" s="121"/>
      <c r="R336" s="121"/>
      <c r="S336" s="121"/>
      <c r="T336" s="121"/>
      <c r="U336" s="121"/>
      <c r="V336" s="121"/>
      <c r="W336" s="121"/>
      <c r="X336" s="121"/>
      <c r="Y336" s="121"/>
      <c r="Z336" s="121"/>
      <c r="AA336" s="121"/>
      <c r="AB336" s="121"/>
    </row>
    <row r="337">
      <c r="A337" s="131"/>
      <c r="B337" s="131"/>
      <c r="C337" s="131"/>
      <c r="D337" s="131"/>
      <c r="E337" s="131"/>
      <c r="F337" s="131"/>
      <c r="G337" s="131"/>
      <c r="H337" s="121"/>
      <c r="I337" s="121"/>
      <c r="J337" s="121"/>
      <c r="K337" s="121"/>
      <c r="L337" s="121"/>
      <c r="M337" s="121"/>
      <c r="N337" s="121"/>
      <c r="O337" s="121"/>
      <c r="P337" s="121"/>
      <c r="Q337" s="121"/>
      <c r="R337" s="121"/>
      <c r="S337" s="121"/>
      <c r="T337" s="121"/>
      <c r="U337" s="121"/>
      <c r="V337" s="121"/>
      <c r="W337" s="121"/>
      <c r="X337" s="121"/>
      <c r="Y337" s="121"/>
      <c r="Z337" s="121"/>
      <c r="AA337" s="121"/>
      <c r="AB337" s="121"/>
    </row>
    <row r="338">
      <c r="A338" s="131"/>
      <c r="B338" s="131"/>
      <c r="C338" s="131"/>
      <c r="D338" s="131"/>
      <c r="E338" s="131"/>
      <c r="F338" s="131"/>
      <c r="G338" s="131"/>
      <c r="H338" s="121"/>
      <c r="I338" s="121"/>
      <c r="J338" s="121"/>
      <c r="K338" s="121"/>
      <c r="L338" s="121"/>
      <c r="M338" s="121"/>
      <c r="N338" s="121"/>
      <c r="O338" s="121"/>
      <c r="P338" s="121"/>
      <c r="Q338" s="121"/>
      <c r="R338" s="121"/>
      <c r="S338" s="121"/>
      <c r="T338" s="121"/>
      <c r="U338" s="121"/>
      <c r="V338" s="121"/>
      <c r="W338" s="121"/>
      <c r="X338" s="121"/>
      <c r="Y338" s="121"/>
      <c r="Z338" s="121"/>
      <c r="AA338" s="121"/>
      <c r="AB338" s="121"/>
    </row>
    <row r="339">
      <c r="A339" s="131"/>
      <c r="B339" s="131"/>
      <c r="C339" s="131"/>
      <c r="D339" s="131"/>
      <c r="E339" s="131"/>
      <c r="F339" s="131"/>
      <c r="G339" s="131"/>
      <c r="H339" s="121"/>
      <c r="I339" s="121"/>
      <c r="J339" s="121"/>
      <c r="K339" s="121"/>
      <c r="L339" s="121"/>
      <c r="M339" s="121"/>
      <c r="N339" s="121"/>
      <c r="O339" s="121"/>
      <c r="P339" s="121"/>
      <c r="Q339" s="121"/>
      <c r="R339" s="121"/>
      <c r="S339" s="121"/>
      <c r="T339" s="121"/>
      <c r="U339" s="121"/>
      <c r="V339" s="121"/>
      <c r="W339" s="121"/>
      <c r="X339" s="121"/>
      <c r="Y339" s="121"/>
      <c r="Z339" s="121"/>
      <c r="AA339" s="121"/>
      <c r="AB339" s="121"/>
    </row>
    <row r="340">
      <c r="A340" s="131"/>
      <c r="B340" s="131"/>
      <c r="C340" s="131"/>
      <c r="D340" s="131"/>
      <c r="E340" s="131"/>
      <c r="F340" s="131"/>
      <c r="G340" s="131"/>
      <c r="H340" s="121"/>
      <c r="I340" s="121"/>
      <c r="J340" s="121"/>
      <c r="K340" s="121"/>
      <c r="L340" s="121"/>
      <c r="M340" s="121"/>
      <c r="N340" s="121"/>
      <c r="O340" s="121"/>
      <c r="P340" s="121"/>
      <c r="Q340" s="121"/>
      <c r="R340" s="121"/>
      <c r="S340" s="121"/>
      <c r="T340" s="121"/>
      <c r="U340" s="121"/>
      <c r="V340" s="121"/>
      <c r="W340" s="121"/>
      <c r="X340" s="121"/>
      <c r="Y340" s="121"/>
      <c r="Z340" s="121"/>
      <c r="AA340" s="121"/>
      <c r="AB340" s="121"/>
    </row>
    <row r="341">
      <c r="A341" s="131"/>
      <c r="B341" s="131"/>
      <c r="C341" s="131"/>
      <c r="D341" s="131"/>
      <c r="E341" s="131"/>
      <c r="F341" s="131"/>
      <c r="G341" s="131"/>
      <c r="H341" s="121"/>
      <c r="I341" s="121"/>
      <c r="J341" s="121"/>
      <c r="K341" s="121"/>
      <c r="L341" s="121"/>
      <c r="M341" s="121"/>
      <c r="N341" s="121"/>
      <c r="O341" s="121"/>
      <c r="P341" s="121"/>
      <c r="Q341" s="121"/>
      <c r="R341" s="121"/>
      <c r="S341" s="121"/>
      <c r="T341" s="121"/>
      <c r="U341" s="121"/>
      <c r="V341" s="121"/>
      <c r="W341" s="121"/>
      <c r="X341" s="121"/>
      <c r="Y341" s="121"/>
      <c r="Z341" s="121"/>
      <c r="AA341" s="121"/>
      <c r="AB341" s="121"/>
    </row>
    <row r="342">
      <c r="A342" s="131"/>
      <c r="B342" s="131"/>
      <c r="C342" s="131"/>
      <c r="D342" s="131"/>
      <c r="E342" s="131"/>
      <c r="F342" s="131"/>
      <c r="G342" s="131"/>
      <c r="H342" s="121"/>
      <c r="I342" s="121"/>
      <c r="J342" s="121"/>
      <c r="K342" s="121"/>
      <c r="L342" s="121"/>
      <c r="M342" s="121"/>
      <c r="N342" s="121"/>
      <c r="O342" s="121"/>
      <c r="P342" s="121"/>
      <c r="Q342" s="121"/>
      <c r="R342" s="121"/>
      <c r="S342" s="121"/>
      <c r="T342" s="121"/>
      <c r="U342" s="121"/>
      <c r="V342" s="121"/>
      <c r="W342" s="121"/>
      <c r="X342" s="121"/>
      <c r="Y342" s="121"/>
      <c r="Z342" s="121"/>
      <c r="AA342" s="121"/>
      <c r="AB342" s="121"/>
    </row>
    <row r="343">
      <c r="A343" s="131"/>
      <c r="B343" s="131"/>
      <c r="C343" s="131"/>
      <c r="D343" s="131"/>
      <c r="E343" s="131"/>
      <c r="F343" s="131"/>
      <c r="G343" s="131"/>
      <c r="H343" s="121"/>
      <c r="I343" s="121"/>
      <c r="J343" s="121"/>
      <c r="K343" s="121"/>
      <c r="L343" s="121"/>
      <c r="M343" s="121"/>
      <c r="N343" s="121"/>
      <c r="O343" s="121"/>
      <c r="P343" s="121"/>
      <c r="Q343" s="121"/>
      <c r="R343" s="121"/>
      <c r="S343" s="121"/>
      <c r="T343" s="121"/>
      <c r="U343" s="121"/>
      <c r="V343" s="121"/>
      <c r="W343" s="121"/>
      <c r="X343" s="121"/>
      <c r="Y343" s="121"/>
      <c r="Z343" s="121"/>
      <c r="AA343" s="121"/>
      <c r="AB343" s="121"/>
    </row>
    <row r="344">
      <c r="A344" s="131"/>
      <c r="B344" s="131"/>
      <c r="C344" s="131"/>
      <c r="D344" s="131"/>
      <c r="E344" s="131"/>
      <c r="F344" s="131"/>
      <c r="G344" s="131"/>
      <c r="H344" s="121"/>
      <c r="I344" s="121"/>
      <c r="J344" s="121"/>
      <c r="K344" s="121"/>
      <c r="L344" s="121"/>
      <c r="M344" s="121"/>
      <c r="N344" s="121"/>
      <c r="O344" s="121"/>
      <c r="P344" s="121"/>
      <c r="Q344" s="121"/>
      <c r="R344" s="121"/>
      <c r="S344" s="121"/>
      <c r="T344" s="121"/>
      <c r="U344" s="121"/>
      <c r="V344" s="121"/>
      <c r="W344" s="121"/>
      <c r="X344" s="121"/>
      <c r="Y344" s="121"/>
      <c r="Z344" s="121"/>
      <c r="AA344" s="121"/>
      <c r="AB344" s="121"/>
    </row>
    <row r="345">
      <c r="A345" s="131"/>
      <c r="B345" s="131"/>
      <c r="C345" s="131"/>
      <c r="D345" s="131"/>
      <c r="E345" s="131"/>
      <c r="F345" s="131"/>
      <c r="G345" s="131"/>
      <c r="H345" s="121"/>
      <c r="I345" s="121"/>
      <c r="J345" s="121"/>
      <c r="K345" s="121"/>
      <c r="L345" s="121"/>
      <c r="M345" s="121"/>
      <c r="N345" s="121"/>
      <c r="O345" s="121"/>
      <c r="P345" s="121"/>
      <c r="Q345" s="121"/>
      <c r="R345" s="121"/>
      <c r="S345" s="121"/>
      <c r="T345" s="121"/>
      <c r="U345" s="121"/>
      <c r="V345" s="121"/>
      <c r="W345" s="121"/>
      <c r="X345" s="121"/>
      <c r="Y345" s="121"/>
      <c r="Z345" s="121"/>
      <c r="AA345" s="121"/>
      <c r="AB345" s="121"/>
    </row>
    <row r="346">
      <c r="A346" s="131"/>
      <c r="B346" s="131"/>
      <c r="C346" s="131"/>
      <c r="D346" s="131"/>
      <c r="E346" s="131"/>
      <c r="F346" s="131"/>
      <c r="G346" s="131"/>
      <c r="H346" s="121"/>
      <c r="I346" s="121"/>
      <c r="J346" s="121"/>
      <c r="K346" s="121"/>
      <c r="L346" s="121"/>
      <c r="M346" s="121"/>
      <c r="N346" s="121"/>
      <c r="O346" s="121"/>
      <c r="P346" s="121"/>
      <c r="Q346" s="121"/>
      <c r="R346" s="121"/>
      <c r="S346" s="121"/>
      <c r="T346" s="121"/>
      <c r="U346" s="121"/>
      <c r="V346" s="121"/>
      <c r="W346" s="121"/>
      <c r="X346" s="121"/>
      <c r="Y346" s="121"/>
      <c r="Z346" s="121"/>
      <c r="AA346" s="121"/>
      <c r="AB346" s="121"/>
    </row>
    <row r="347">
      <c r="A347" s="131"/>
      <c r="B347" s="131"/>
      <c r="C347" s="131"/>
      <c r="D347" s="131"/>
      <c r="E347" s="131"/>
      <c r="F347" s="131"/>
      <c r="G347" s="131"/>
      <c r="H347" s="121"/>
      <c r="I347" s="121"/>
      <c r="J347" s="121"/>
      <c r="K347" s="121"/>
      <c r="L347" s="121"/>
      <c r="M347" s="121"/>
      <c r="N347" s="121"/>
      <c r="O347" s="121"/>
      <c r="P347" s="121"/>
      <c r="Q347" s="121"/>
      <c r="R347" s="121"/>
      <c r="S347" s="121"/>
      <c r="T347" s="121"/>
      <c r="U347" s="121"/>
      <c r="V347" s="121"/>
      <c r="W347" s="121"/>
      <c r="X347" s="121"/>
      <c r="Y347" s="121"/>
      <c r="Z347" s="121"/>
      <c r="AA347" s="121"/>
      <c r="AB347" s="121"/>
    </row>
    <row r="348">
      <c r="A348" s="131"/>
      <c r="B348" s="131"/>
      <c r="C348" s="131"/>
      <c r="D348" s="131"/>
      <c r="E348" s="131"/>
      <c r="F348" s="131"/>
      <c r="G348" s="131"/>
      <c r="H348" s="121"/>
      <c r="I348" s="121"/>
      <c r="J348" s="121"/>
      <c r="K348" s="121"/>
      <c r="L348" s="121"/>
      <c r="M348" s="121"/>
      <c r="N348" s="121"/>
      <c r="O348" s="121"/>
      <c r="P348" s="121"/>
      <c r="Q348" s="121"/>
      <c r="R348" s="121"/>
      <c r="S348" s="121"/>
      <c r="T348" s="121"/>
      <c r="U348" s="121"/>
      <c r="V348" s="121"/>
      <c r="W348" s="121"/>
      <c r="X348" s="121"/>
      <c r="Y348" s="121"/>
      <c r="Z348" s="121"/>
      <c r="AA348" s="121"/>
      <c r="AB348" s="121"/>
    </row>
    <row r="349">
      <c r="A349" s="131"/>
      <c r="B349" s="131"/>
      <c r="C349" s="131"/>
      <c r="D349" s="131"/>
      <c r="E349" s="131"/>
      <c r="F349" s="131"/>
      <c r="G349" s="131"/>
      <c r="H349" s="121"/>
      <c r="I349" s="121"/>
      <c r="J349" s="121"/>
      <c r="K349" s="121"/>
      <c r="L349" s="121"/>
      <c r="M349" s="121"/>
      <c r="N349" s="121"/>
      <c r="O349" s="121"/>
      <c r="P349" s="121"/>
      <c r="Q349" s="121"/>
      <c r="R349" s="121"/>
      <c r="S349" s="121"/>
      <c r="T349" s="121"/>
      <c r="U349" s="121"/>
      <c r="V349" s="121"/>
      <c r="W349" s="121"/>
      <c r="X349" s="121"/>
      <c r="Y349" s="121"/>
      <c r="Z349" s="121"/>
      <c r="AA349" s="121"/>
      <c r="AB349" s="121"/>
    </row>
    <row r="350">
      <c r="A350" s="131"/>
      <c r="B350" s="131"/>
      <c r="C350" s="131"/>
      <c r="D350" s="131"/>
      <c r="E350" s="131"/>
      <c r="F350" s="131"/>
      <c r="G350" s="131"/>
      <c r="H350" s="121"/>
      <c r="I350" s="121"/>
      <c r="J350" s="121"/>
      <c r="K350" s="121"/>
      <c r="L350" s="121"/>
      <c r="M350" s="121"/>
      <c r="N350" s="121"/>
      <c r="O350" s="121"/>
      <c r="P350" s="121"/>
      <c r="Q350" s="121"/>
      <c r="R350" s="121"/>
      <c r="S350" s="121"/>
      <c r="T350" s="121"/>
      <c r="U350" s="121"/>
      <c r="V350" s="121"/>
      <c r="W350" s="121"/>
      <c r="X350" s="121"/>
      <c r="Y350" s="121"/>
      <c r="Z350" s="121"/>
      <c r="AA350" s="121"/>
      <c r="AB350" s="121"/>
    </row>
    <row r="351">
      <c r="A351" s="131"/>
      <c r="B351" s="131"/>
      <c r="C351" s="131"/>
      <c r="D351" s="131"/>
      <c r="E351" s="131"/>
      <c r="F351" s="131"/>
      <c r="G351" s="131"/>
      <c r="H351" s="121"/>
      <c r="I351" s="121"/>
      <c r="J351" s="121"/>
      <c r="K351" s="121"/>
      <c r="L351" s="121"/>
      <c r="M351" s="121"/>
      <c r="N351" s="121"/>
      <c r="O351" s="121"/>
      <c r="P351" s="121"/>
      <c r="Q351" s="121"/>
      <c r="R351" s="121"/>
      <c r="S351" s="121"/>
      <c r="T351" s="121"/>
      <c r="U351" s="121"/>
      <c r="V351" s="121"/>
      <c r="W351" s="121"/>
      <c r="X351" s="121"/>
      <c r="Y351" s="121"/>
      <c r="Z351" s="121"/>
      <c r="AA351" s="121"/>
      <c r="AB351" s="121"/>
    </row>
    <row r="352">
      <c r="A352" s="131"/>
      <c r="B352" s="131"/>
      <c r="C352" s="131"/>
      <c r="D352" s="131"/>
      <c r="E352" s="131"/>
      <c r="F352" s="131"/>
      <c r="G352" s="131"/>
      <c r="H352" s="121"/>
      <c r="I352" s="121"/>
      <c r="J352" s="121"/>
      <c r="K352" s="121"/>
      <c r="L352" s="121"/>
      <c r="M352" s="121"/>
      <c r="N352" s="121"/>
      <c r="O352" s="121"/>
      <c r="P352" s="121"/>
      <c r="Q352" s="121"/>
      <c r="R352" s="121"/>
      <c r="S352" s="121"/>
      <c r="T352" s="121"/>
      <c r="U352" s="121"/>
      <c r="V352" s="121"/>
      <c r="W352" s="121"/>
      <c r="X352" s="121"/>
      <c r="Y352" s="121"/>
      <c r="Z352" s="121"/>
      <c r="AA352" s="121"/>
      <c r="AB352" s="121"/>
    </row>
    <row r="353">
      <c r="A353" s="131"/>
      <c r="B353" s="131"/>
      <c r="C353" s="131"/>
      <c r="D353" s="131"/>
      <c r="E353" s="131"/>
      <c r="F353" s="131"/>
      <c r="G353" s="131"/>
      <c r="H353" s="121"/>
      <c r="I353" s="121"/>
      <c r="J353" s="121"/>
      <c r="K353" s="121"/>
      <c r="L353" s="121"/>
      <c r="M353" s="121"/>
      <c r="N353" s="121"/>
      <c r="O353" s="121"/>
      <c r="P353" s="121"/>
      <c r="Q353" s="121"/>
      <c r="R353" s="121"/>
      <c r="S353" s="121"/>
      <c r="T353" s="121"/>
      <c r="U353" s="121"/>
      <c r="V353" s="121"/>
      <c r="W353" s="121"/>
      <c r="X353" s="121"/>
      <c r="Y353" s="121"/>
      <c r="Z353" s="121"/>
      <c r="AA353" s="121"/>
      <c r="AB353" s="121"/>
    </row>
    <row r="354">
      <c r="A354" s="131"/>
      <c r="B354" s="131"/>
      <c r="C354" s="131"/>
      <c r="D354" s="131"/>
      <c r="E354" s="131"/>
      <c r="F354" s="131"/>
      <c r="G354" s="131"/>
      <c r="H354" s="121"/>
      <c r="I354" s="121"/>
      <c r="J354" s="121"/>
      <c r="K354" s="121"/>
      <c r="L354" s="121"/>
      <c r="M354" s="121"/>
      <c r="N354" s="121"/>
      <c r="O354" s="121"/>
      <c r="P354" s="121"/>
      <c r="Q354" s="121"/>
      <c r="R354" s="121"/>
      <c r="S354" s="121"/>
      <c r="T354" s="121"/>
      <c r="U354" s="121"/>
      <c r="V354" s="121"/>
      <c r="W354" s="121"/>
      <c r="X354" s="121"/>
      <c r="Y354" s="121"/>
      <c r="Z354" s="121"/>
      <c r="AA354" s="121"/>
      <c r="AB354" s="121"/>
    </row>
    <row r="355">
      <c r="A355" s="131"/>
      <c r="B355" s="131"/>
      <c r="C355" s="131"/>
      <c r="D355" s="131"/>
      <c r="E355" s="131"/>
      <c r="F355" s="131"/>
      <c r="G355" s="131"/>
      <c r="H355" s="121"/>
      <c r="I355" s="121"/>
      <c r="J355" s="121"/>
      <c r="K355" s="121"/>
      <c r="L355" s="121"/>
      <c r="M355" s="121"/>
      <c r="N355" s="121"/>
      <c r="O355" s="121"/>
      <c r="P355" s="121"/>
      <c r="Q355" s="121"/>
      <c r="R355" s="121"/>
      <c r="S355" s="121"/>
      <c r="T355" s="121"/>
      <c r="U355" s="121"/>
      <c r="V355" s="121"/>
      <c r="W355" s="121"/>
      <c r="X355" s="121"/>
      <c r="Y355" s="121"/>
      <c r="Z355" s="121"/>
      <c r="AA355" s="121"/>
      <c r="AB355" s="121"/>
    </row>
    <row r="356">
      <c r="A356" s="131"/>
      <c r="B356" s="131"/>
      <c r="C356" s="131"/>
      <c r="D356" s="131"/>
      <c r="E356" s="131"/>
      <c r="F356" s="131"/>
      <c r="G356" s="131"/>
      <c r="H356" s="121"/>
      <c r="I356" s="121"/>
      <c r="J356" s="121"/>
      <c r="K356" s="121"/>
      <c r="L356" s="121"/>
      <c r="M356" s="121"/>
      <c r="N356" s="121"/>
      <c r="O356" s="121"/>
      <c r="P356" s="121"/>
      <c r="Q356" s="121"/>
      <c r="R356" s="121"/>
      <c r="S356" s="121"/>
      <c r="T356" s="121"/>
      <c r="U356" s="121"/>
      <c r="V356" s="121"/>
      <c r="W356" s="121"/>
      <c r="X356" s="121"/>
      <c r="Y356" s="121"/>
      <c r="Z356" s="121"/>
      <c r="AA356" s="121"/>
      <c r="AB356" s="121"/>
    </row>
    <row r="357">
      <c r="A357" s="131"/>
      <c r="B357" s="131"/>
      <c r="C357" s="131"/>
      <c r="D357" s="131"/>
      <c r="E357" s="131"/>
      <c r="F357" s="131"/>
      <c r="G357" s="131"/>
      <c r="H357" s="121"/>
      <c r="I357" s="121"/>
      <c r="J357" s="121"/>
      <c r="K357" s="121"/>
      <c r="L357" s="121"/>
      <c r="M357" s="121"/>
      <c r="N357" s="121"/>
      <c r="O357" s="121"/>
      <c r="P357" s="121"/>
      <c r="Q357" s="121"/>
      <c r="R357" s="121"/>
      <c r="S357" s="121"/>
      <c r="T357" s="121"/>
      <c r="U357" s="121"/>
      <c r="V357" s="121"/>
      <c r="W357" s="121"/>
      <c r="X357" s="121"/>
      <c r="Y357" s="121"/>
      <c r="Z357" s="121"/>
      <c r="AA357" s="121"/>
      <c r="AB357" s="121"/>
    </row>
    <row r="358">
      <c r="A358" s="131"/>
      <c r="B358" s="131"/>
      <c r="C358" s="131"/>
      <c r="D358" s="131"/>
      <c r="E358" s="131"/>
      <c r="F358" s="131"/>
      <c r="G358" s="131"/>
      <c r="H358" s="121"/>
      <c r="I358" s="121"/>
      <c r="J358" s="121"/>
      <c r="K358" s="121"/>
      <c r="L358" s="121"/>
      <c r="M358" s="121"/>
      <c r="N358" s="121"/>
      <c r="O358" s="121"/>
      <c r="P358" s="121"/>
      <c r="Q358" s="121"/>
      <c r="R358" s="121"/>
      <c r="S358" s="121"/>
      <c r="T358" s="121"/>
      <c r="U358" s="121"/>
      <c r="V358" s="121"/>
      <c r="W358" s="121"/>
      <c r="X358" s="121"/>
      <c r="Y358" s="121"/>
      <c r="Z358" s="121"/>
      <c r="AA358" s="121"/>
      <c r="AB358" s="121"/>
    </row>
    <row r="359">
      <c r="A359" s="131"/>
      <c r="B359" s="131"/>
      <c r="C359" s="131"/>
      <c r="D359" s="131"/>
      <c r="E359" s="131"/>
      <c r="F359" s="131"/>
      <c r="G359" s="131"/>
      <c r="H359" s="121"/>
      <c r="I359" s="121"/>
      <c r="J359" s="121"/>
      <c r="K359" s="121"/>
      <c r="L359" s="121"/>
      <c r="M359" s="121"/>
      <c r="N359" s="121"/>
      <c r="O359" s="121"/>
      <c r="P359" s="121"/>
      <c r="Q359" s="121"/>
      <c r="R359" s="121"/>
      <c r="S359" s="121"/>
      <c r="T359" s="121"/>
      <c r="U359" s="121"/>
      <c r="V359" s="121"/>
      <c r="W359" s="121"/>
      <c r="X359" s="121"/>
      <c r="Y359" s="121"/>
      <c r="Z359" s="121"/>
      <c r="AA359" s="121"/>
      <c r="AB359" s="121"/>
    </row>
    <row r="360">
      <c r="A360" s="131"/>
      <c r="B360" s="131"/>
      <c r="C360" s="131"/>
      <c r="D360" s="131"/>
      <c r="E360" s="131"/>
      <c r="F360" s="131"/>
      <c r="G360" s="131"/>
      <c r="H360" s="121"/>
      <c r="I360" s="121"/>
      <c r="J360" s="121"/>
      <c r="K360" s="121"/>
      <c r="L360" s="121"/>
      <c r="M360" s="121"/>
      <c r="N360" s="121"/>
      <c r="O360" s="121"/>
      <c r="P360" s="121"/>
      <c r="Q360" s="121"/>
      <c r="R360" s="121"/>
      <c r="S360" s="121"/>
      <c r="T360" s="121"/>
      <c r="U360" s="121"/>
      <c r="V360" s="121"/>
      <c r="W360" s="121"/>
      <c r="X360" s="121"/>
      <c r="Y360" s="121"/>
      <c r="Z360" s="121"/>
      <c r="AA360" s="121"/>
      <c r="AB360" s="121"/>
    </row>
    <row r="361">
      <c r="A361" s="131"/>
      <c r="B361" s="131"/>
      <c r="C361" s="131"/>
      <c r="D361" s="131"/>
      <c r="E361" s="131"/>
      <c r="F361" s="131"/>
      <c r="G361" s="131"/>
      <c r="H361" s="121"/>
      <c r="I361" s="121"/>
      <c r="J361" s="121"/>
      <c r="K361" s="121"/>
      <c r="L361" s="121"/>
      <c r="M361" s="121"/>
      <c r="N361" s="121"/>
      <c r="O361" s="121"/>
      <c r="P361" s="121"/>
      <c r="Q361" s="121"/>
      <c r="R361" s="121"/>
      <c r="S361" s="121"/>
      <c r="T361" s="121"/>
      <c r="U361" s="121"/>
      <c r="V361" s="121"/>
      <c r="W361" s="121"/>
      <c r="X361" s="121"/>
      <c r="Y361" s="121"/>
      <c r="Z361" s="121"/>
      <c r="AA361" s="121"/>
      <c r="AB361" s="121"/>
    </row>
    <row r="362">
      <c r="A362" s="131"/>
      <c r="B362" s="131"/>
      <c r="C362" s="131"/>
      <c r="D362" s="131"/>
      <c r="E362" s="131"/>
      <c r="F362" s="131"/>
      <c r="G362" s="131"/>
      <c r="H362" s="121"/>
      <c r="I362" s="121"/>
      <c r="J362" s="121"/>
      <c r="K362" s="121"/>
      <c r="L362" s="121"/>
      <c r="M362" s="121"/>
      <c r="N362" s="121"/>
      <c r="O362" s="121"/>
      <c r="P362" s="121"/>
      <c r="Q362" s="121"/>
      <c r="R362" s="121"/>
      <c r="S362" s="121"/>
      <c r="T362" s="121"/>
      <c r="U362" s="121"/>
      <c r="V362" s="121"/>
      <c r="W362" s="121"/>
      <c r="X362" s="121"/>
      <c r="Y362" s="121"/>
      <c r="Z362" s="121"/>
      <c r="AA362" s="121"/>
      <c r="AB362" s="121"/>
    </row>
    <row r="363">
      <c r="A363" s="131"/>
      <c r="B363" s="131"/>
      <c r="C363" s="131"/>
      <c r="D363" s="131"/>
      <c r="E363" s="131"/>
      <c r="F363" s="131"/>
      <c r="G363" s="131"/>
      <c r="H363" s="121"/>
      <c r="I363" s="121"/>
      <c r="J363" s="121"/>
      <c r="K363" s="121"/>
      <c r="L363" s="121"/>
      <c r="M363" s="121"/>
      <c r="N363" s="121"/>
      <c r="O363" s="121"/>
      <c r="P363" s="121"/>
      <c r="Q363" s="121"/>
      <c r="R363" s="121"/>
      <c r="S363" s="121"/>
      <c r="T363" s="121"/>
      <c r="U363" s="121"/>
      <c r="V363" s="121"/>
      <c r="W363" s="121"/>
      <c r="X363" s="121"/>
      <c r="Y363" s="121"/>
      <c r="Z363" s="121"/>
      <c r="AA363" s="121"/>
      <c r="AB363" s="121"/>
    </row>
    <row r="364">
      <c r="A364" s="131"/>
      <c r="B364" s="131"/>
      <c r="C364" s="131"/>
      <c r="D364" s="131"/>
      <c r="E364" s="131"/>
      <c r="F364" s="131"/>
      <c r="G364" s="131"/>
      <c r="H364" s="121"/>
      <c r="I364" s="121"/>
      <c r="J364" s="121"/>
      <c r="K364" s="121"/>
      <c r="L364" s="121"/>
      <c r="M364" s="121"/>
      <c r="N364" s="121"/>
      <c r="O364" s="121"/>
      <c r="P364" s="121"/>
      <c r="Q364" s="121"/>
      <c r="R364" s="121"/>
      <c r="S364" s="121"/>
      <c r="T364" s="121"/>
      <c r="U364" s="121"/>
      <c r="V364" s="121"/>
      <c r="W364" s="121"/>
      <c r="X364" s="121"/>
      <c r="Y364" s="121"/>
      <c r="Z364" s="121"/>
      <c r="AA364" s="121"/>
      <c r="AB364" s="121"/>
    </row>
    <row r="365">
      <c r="A365" s="131"/>
      <c r="B365" s="131"/>
      <c r="C365" s="131"/>
      <c r="D365" s="131"/>
      <c r="E365" s="131"/>
      <c r="F365" s="131"/>
      <c r="G365" s="131"/>
      <c r="H365" s="121"/>
      <c r="I365" s="121"/>
      <c r="J365" s="121"/>
      <c r="K365" s="121"/>
      <c r="L365" s="121"/>
      <c r="M365" s="121"/>
      <c r="N365" s="121"/>
      <c r="O365" s="121"/>
      <c r="P365" s="121"/>
      <c r="Q365" s="121"/>
      <c r="R365" s="121"/>
      <c r="S365" s="121"/>
      <c r="T365" s="121"/>
      <c r="U365" s="121"/>
      <c r="V365" s="121"/>
      <c r="W365" s="121"/>
      <c r="X365" s="121"/>
      <c r="Y365" s="121"/>
      <c r="Z365" s="121"/>
      <c r="AA365" s="121"/>
      <c r="AB365" s="121"/>
    </row>
    <row r="366">
      <c r="A366" s="131"/>
      <c r="B366" s="131"/>
      <c r="C366" s="131"/>
      <c r="D366" s="131"/>
      <c r="E366" s="131"/>
      <c r="F366" s="131"/>
      <c r="G366" s="131"/>
      <c r="H366" s="121"/>
      <c r="I366" s="121"/>
      <c r="J366" s="121"/>
      <c r="K366" s="121"/>
      <c r="L366" s="121"/>
      <c r="M366" s="121"/>
      <c r="N366" s="121"/>
      <c r="O366" s="121"/>
      <c r="P366" s="121"/>
      <c r="Q366" s="121"/>
      <c r="R366" s="121"/>
      <c r="S366" s="121"/>
      <c r="T366" s="121"/>
      <c r="U366" s="121"/>
      <c r="V366" s="121"/>
      <c r="W366" s="121"/>
      <c r="X366" s="121"/>
      <c r="Y366" s="121"/>
      <c r="Z366" s="121"/>
      <c r="AA366" s="121"/>
      <c r="AB366" s="121"/>
    </row>
    <row r="367">
      <c r="A367" s="131"/>
      <c r="B367" s="131"/>
      <c r="C367" s="131"/>
      <c r="D367" s="131"/>
      <c r="E367" s="131"/>
      <c r="F367" s="131"/>
      <c r="G367" s="131"/>
      <c r="H367" s="121"/>
      <c r="I367" s="121"/>
      <c r="J367" s="121"/>
      <c r="K367" s="121"/>
      <c r="L367" s="121"/>
      <c r="M367" s="121"/>
      <c r="N367" s="121"/>
      <c r="O367" s="121"/>
      <c r="P367" s="121"/>
      <c r="Q367" s="121"/>
      <c r="R367" s="121"/>
      <c r="S367" s="121"/>
      <c r="T367" s="121"/>
      <c r="U367" s="121"/>
      <c r="V367" s="121"/>
      <c r="W367" s="121"/>
      <c r="X367" s="121"/>
      <c r="Y367" s="121"/>
      <c r="Z367" s="121"/>
      <c r="AA367" s="121"/>
      <c r="AB367" s="121"/>
    </row>
    <row r="368">
      <c r="A368" s="131"/>
      <c r="B368" s="131"/>
      <c r="C368" s="131"/>
      <c r="D368" s="131"/>
      <c r="E368" s="131"/>
      <c r="F368" s="131"/>
      <c r="G368" s="131"/>
      <c r="H368" s="121"/>
      <c r="I368" s="121"/>
      <c r="J368" s="121"/>
      <c r="K368" s="121"/>
      <c r="L368" s="121"/>
      <c r="M368" s="121"/>
      <c r="N368" s="121"/>
      <c r="O368" s="121"/>
      <c r="P368" s="121"/>
      <c r="Q368" s="121"/>
      <c r="R368" s="121"/>
      <c r="S368" s="121"/>
      <c r="T368" s="121"/>
      <c r="U368" s="121"/>
      <c r="V368" s="121"/>
      <c r="W368" s="121"/>
      <c r="X368" s="121"/>
      <c r="Y368" s="121"/>
      <c r="Z368" s="121"/>
      <c r="AA368" s="121"/>
      <c r="AB368" s="121"/>
    </row>
    <row r="369">
      <c r="A369" s="131"/>
      <c r="B369" s="131"/>
      <c r="C369" s="131"/>
      <c r="D369" s="131"/>
      <c r="E369" s="131"/>
      <c r="F369" s="131"/>
      <c r="G369" s="131"/>
      <c r="H369" s="121"/>
      <c r="I369" s="121"/>
      <c r="J369" s="121"/>
      <c r="K369" s="121"/>
      <c r="L369" s="121"/>
      <c r="M369" s="121"/>
      <c r="N369" s="121"/>
      <c r="O369" s="121"/>
      <c r="P369" s="121"/>
      <c r="Q369" s="121"/>
      <c r="R369" s="121"/>
      <c r="S369" s="121"/>
      <c r="T369" s="121"/>
      <c r="U369" s="121"/>
      <c r="V369" s="121"/>
      <c r="W369" s="121"/>
      <c r="X369" s="121"/>
      <c r="Y369" s="121"/>
      <c r="Z369" s="121"/>
      <c r="AA369" s="121"/>
      <c r="AB369" s="121"/>
    </row>
    <row r="370">
      <c r="A370" s="131"/>
      <c r="B370" s="131"/>
      <c r="C370" s="131"/>
      <c r="D370" s="131"/>
      <c r="E370" s="131"/>
      <c r="F370" s="131"/>
      <c r="G370" s="131"/>
      <c r="H370" s="121"/>
      <c r="I370" s="121"/>
      <c r="J370" s="121"/>
      <c r="K370" s="121"/>
      <c r="L370" s="121"/>
      <c r="M370" s="121"/>
      <c r="N370" s="121"/>
      <c r="O370" s="121"/>
      <c r="P370" s="121"/>
      <c r="Q370" s="121"/>
      <c r="R370" s="121"/>
      <c r="S370" s="121"/>
      <c r="T370" s="121"/>
      <c r="U370" s="121"/>
      <c r="V370" s="121"/>
      <c r="W370" s="121"/>
      <c r="X370" s="121"/>
      <c r="Y370" s="121"/>
      <c r="Z370" s="121"/>
      <c r="AA370" s="121"/>
      <c r="AB370" s="121"/>
    </row>
    <row r="371">
      <c r="A371" s="131"/>
      <c r="B371" s="131"/>
      <c r="C371" s="131"/>
      <c r="D371" s="131"/>
      <c r="E371" s="131"/>
      <c r="F371" s="131"/>
      <c r="G371" s="131"/>
      <c r="H371" s="121"/>
      <c r="I371" s="121"/>
      <c r="J371" s="121"/>
      <c r="K371" s="121"/>
      <c r="L371" s="121"/>
      <c r="M371" s="121"/>
      <c r="N371" s="121"/>
      <c r="O371" s="121"/>
      <c r="P371" s="121"/>
      <c r="Q371" s="121"/>
      <c r="R371" s="121"/>
      <c r="S371" s="121"/>
      <c r="T371" s="121"/>
      <c r="U371" s="121"/>
      <c r="V371" s="121"/>
      <c r="W371" s="121"/>
      <c r="X371" s="121"/>
      <c r="Y371" s="121"/>
      <c r="Z371" s="121"/>
      <c r="AA371" s="121"/>
      <c r="AB371" s="121"/>
    </row>
    <row r="372">
      <c r="A372" s="131"/>
      <c r="B372" s="131"/>
      <c r="C372" s="131"/>
      <c r="D372" s="131"/>
      <c r="E372" s="131"/>
      <c r="F372" s="131"/>
      <c r="G372" s="131"/>
      <c r="H372" s="121"/>
      <c r="I372" s="121"/>
      <c r="J372" s="121"/>
      <c r="K372" s="121"/>
      <c r="L372" s="121"/>
      <c r="M372" s="121"/>
      <c r="N372" s="121"/>
      <c r="O372" s="121"/>
      <c r="P372" s="121"/>
      <c r="Q372" s="121"/>
      <c r="R372" s="121"/>
      <c r="S372" s="121"/>
      <c r="T372" s="121"/>
      <c r="U372" s="121"/>
      <c r="V372" s="121"/>
      <c r="W372" s="121"/>
      <c r="X372" s="121"/>
      <c r="Y372" s="121"/>
      <c r="Z372" s="121"/>
      <c r="AA372" s="121"/>
      <c r="AB372" s="121"/>
    </row>
    <row r="373">
      <c r="A373" s="131"/>
      <c r="B373" s="131"/>
      <c r="C373" s="131"/>
      <c r="D373" s="131"/>
      <c r="E373" s="131"/>
      <c r="F373" s="131"/>
      <c r="G373" s="131"/>
      <c r="H373" s="121"/>
      <c r="I373" s="121"/>
      <c r="J373" s="121"/>
      <c r="K373" s="121"/>
      <c r="L373" s="121"/>
      <c r="M373" s="121"/>
      <c r="N373" s="121"/>
      <c r="O373" s="121"/>
      <c r="P373" s="121"/>
      <c r="Q373" s="121"/>
      <c r="R373" s="121"/>
      <c r="S373" s="121"/>
      <c r="T373" s="121"/>
      <c r="U373" s="121"/>
      <c r="V373" s="121"/>
      <c r="W373" s="121"/>
      <c r="X373" s="121"/>
      <c r="Y373" s="121"/>
      <c r="Z373" s="121"/>
      <c r="AA373" s="121"/>
      <c r="AB373" s="121"/>
    </row>
    <row r="374">
      <c r="A374" s="131"/>
      <c r="B374" s="131"/>
      <c r="C374" s="131"/>
      <c r="D374" s="131"/>
      <c r="E374" s="131"/>
      <c r="F374" s="131"/>
      <c r="G374" s="131"/>
      <c r="H374" s="121"/>
      <c r="I374" s="121"/>
      <c r="J374" s="121"/>
      <c r="K374" s="121"/>
      <c r="L374" s="121"/>
      <c r="M374" s="121"/>
      <c r="N374" s="121"/>
      <c r="O374" s="121"/>
      <c r="P374" s="121"/>
      <c r="Q374" s="121"/>
      <c r="R374" s="121"/>
      <c r="S374" s="121"/>
      <c r="T374" s="121"/>
      <c r="U374" s="121"/>
      <c r="V374" s="121"/>
      <c r="W374" s="121"/>
      <c r="X374" s="121"/>
      <c r="Y374" s="121"/>
      <c r="Z374" s="121"/>
      <c r="AA374" s="121"/>
      <c r="AB374" s="121"/>
    </row>
    <row r="375">
      <c r="A375" s="131"/>
      <c r="B375" s="131"/>
      <c r="C375" s="131"/>
      <c r="D375" s="131"/>
      <c r="E375" s="131"/>
      <c r="F375" s="131"/>
      <c r="G375" s="131"/>
      <c r="H375" s="121"/>
      <c r="I375" s="121"/>
      <c r="J375" s="121"/>
      <c r="K375" s="121"/>
      <c r="L375" s="121"/>
      <c r="M375" s="121"/>
      <c r="N375" s="121"/>
      <c r="O375" s="121"/>
      <c r="P375" s="121"/>
      <c r="Q375" s="121"/>
      <c r="R375" s="121"/>
      <c r="S375" s="121"/>
      <c r="T375" s="121"/>
      <c r="U375" s="121"/>
      <c r="V375" s="121"/>
      <c r="W375" s="121"/>
      <c r="X375" s="121"/>
      <c r="Y375" s="121"/>
      <c r="Z375" s="121"/>
      <c r="AA375" s="121"/>
      <c r="AB375" s="121"/>
    </row>
    <row r="376">
      <c r="A376" s="131"/>
      <c r="B376" s="131"/>
      <c r="C376" s="131"/>
      <c r="D376" s="131"/>
      <c r="E376" s="131"/>
      <c r="F376" s="131"/>
      <c r="G376" s="131"/>
      <c r="H376" s="121"/>
      <c r="I376" s="121"/>
      <c r="J376" s="121"/>
      <c r="K376" s="121"/>
      <c r="L376" s="121"/>
      <c r="M376" s="121"/>
      <c r="N376" s="121"/>
      <c r="O376" s="121"/>
      <c r="P376" s="121"/>
      <c r="Q376" s="121"/>
      <c r="R376" s="121"/>
      <c r="S376" s="121"/>
      <c r="T376" s="121"/>
      <c r="U376" s="121"/>
      <c r="V376" s="121"/>
      <c r="W376" s="121"/>
      <c r="X376" s="121"/>
      <c r="Y376" s="121"/>
      <c r="Z376" s="121"/>
      <c r="AA376" s="121"/>
      <c r="AB376" s="121"/>
    </row>
    <row r="377">
      <c r="A377" s="131"/>
      <c r="B377" s="131"/>
      <c r="C377" s="131"/>
      <c r="D377" s="131"/>
      <c r="E377" s="131"/>
      <c r="F377" s="131"/>
      <c r="G377" s="131"/>
      <c r="H377" s="121"/>
      <c r="I377" s="121"/>
      <c r="J377" s="121"/>
      <c r="K377" s="121"/>
      <c r="L377" s="121"/>
      <c r="M377" s="121"/>
      <c r="N377" s="121"/>
      <c r="O377" s="121"/>
      <c r="P377" s="121"/>
      <c r="Q377" s="121"/>
      <c r="R377" s="121"/>
      <c r="S377" s="121"/>
      <c r="T377" s="121"/>
      <c r="U377" s="121"/>
      <c r="V377" s="121"/>
      <c r="W377" s="121"/>
      <c r="X377" s="121"/>
      <c r="Y377" s="121"/>
      <c r="Z377" s="121"/>
      <c r="AA377" s="121"/>
      <c r="AB377" s="121"/>
    </row>
    <row r="378">
      <c r="A378" s="131"/>
      <c r="B378" s="131"/>
      <c r="C378" s="131"/>
      <c r="D378" s="131"/>
      <c r="E378" s="131"/>
      <c r="F378" s="131"/>
      <c r="G378" s="131"/>
      <c r="H378" s="121"/>
      <c r="I378" s="121"/>
      <c r="J378" s="121"/>
      <c r="K378" s="121"/>
      <c r="L378" s="121"/>
      <c r="M378" s="121"/>
      <c r="N378" s="121"/>
      <c r="O378" s="121"/>
      <c r="P378" s="121"/>
      <c r="Q378" s="121"/>
      <c r="R378" s="121"/>
      <c r="S378" s="121"/>
      <c r="T378" s="121"/>
      <c r="U378" s="121"/>
      <c r="V378" s="121"/>
      <c r="W378" s="121"/>
      <c r="X378" s="121"/>
      <c r="Y378" s="121"/>
      <c r="Z378" s="121"/>
      <c r="AA378" s="121"/>
      <c r="AB378" s="121"/>
    </row>
    <row r="379">
      <c r="A379" s="131"/>
      <c r="B379" s="131"/>
      <c r="C379" s="131"/>
      <c r="D379" s="131"/>
      <c r="E379" s="131"/>
      <c r="F379" s="131"/>
      <c r="G379" s="131"/>
      <c r="H379" s="121"/>
      <c r="I379" s="121"/>
      <c r="J379" s="121"/>
      <c r="K379" s="121"/>
      <c r="L379" s="121"/>
      <c r="M379" s="121"/>
      <c r="N379" s="121"/>
      <c r="O379" s="121"/>
      <c r="P379" s="121"/>
      <c r="Q379" s="121"/>
      <c r="R379" s="121"/>
      <c r="S379" s="121"/>
      <c r="T379" s="121"/>
      <c r="U379" s="121"/>
      <c r="V379" s="121"/>
      <c r="W379" s="121"/>
      <c r="X379" s="121"/>
      <c r="Y379" s="121"/>
      <c r="Z379" s="121"/>
      <c r="AA379" s="121"/>
      <c r="AB379" s="121"/>
    </row>
    <row r="380">
      <c r="A380" s="131"/>
      <c r="B380" s="131"/>
      <c r="C380" s="131"/>
      <c r="D380" s="131"/>
      <c r="E380" s="131"/>
      <c r="F380" s="131"/>
      <c r="G380" s="131"/>
      <c r="H380" s="121"/>
      <c r="I380" s="121"/>
      <c r="J380" s="121"/>
      <c r="K380" s="121"/>
      <c r="L380" s="121"/>
      <c r="M380" s="121"/>
      <c r="N380" s="121"/>
      <c r="O380" s="121"/>
      <c r="P380" s="121"/>
      <c r="Q380" s="121"/>
      <c r="R380" s="121"/>
      <c r="S380" s="121"/>
      <c r="T380" s="121"/>
      <c r="U380" s="121"/>
      <c r="V380" s="121"/>
      <c r="W380" s="121"/>
      <c r="X380" s="121"/>
      <c r="Y380" s="121"/>
      <c r="Z380" s="121"/>
      <c r="AA380" s="121"/>
      <c r="AB380" s="121"/>
    </row>
    <row r="381">
      <c r="A381" s="131"/>
      <c r="B381" s="131"/>
      <c r="C381" s="131"/>
      <c r="D381" s="131"/>
      <c r="E381" s="131"/>
      <c r="F381" s="131"/>
      <c r="G381" s="131"/>
      <c r="H381" s="121"/>
      <c r="I381" s="121"/>
      <c r="J381" s="121"/>
      <c r="K381" s="121"/>
      <c r="L381" s="121"/>
      <c r="M381" s="121"/>
      <c r="N381" s="121"/>
      <c r="O381" s="121"/>
      <c r="P381" s="121"/>
      <c r="Q381" s="121"/>
      <c r="R381" s="121"/>
      <c r="S381" s="121"/>
      <c r="T381" s="121"/>
      <c r="U381" s="121"/>
      <c r="V381" s="121"/>
      <c r="W381" s="121"/>
      <c r="X381" s="121"/>
      <c r="Y381" s="121"/>
      <c r="Z381" s="121"/>
      <c r="AA381" s="121"/>
      <c r="AB381" s="121"/>
    </row>
    <row r="382">
      <c r="A382" s="131"/>
      <c r="B382" s="131"/>
      <c r="C382" s="131"/>
      <c r="D382" s="131"/>
      <c r="E382" s="131"/>
      <c r="F382" s="131"/>
      <c r="G382" s="131"/>
      <c r="H382" s="121"/>
      <c r="I382" s="121"/>
      <c r="J382" s="121"/>
      <c r="K382" s="121"/>
      <c r="L382" s="121"/>
      <c r="M382" s="121"/>
      <c r="N382" s="121"/>
      <c r="O382" s="121"/>
      <c r="P382" s="121"/>
      <c r="Q382" s="121"/>
      <c r="R382" s="121"/>
      <c r="S382" s="121"/>
      <c r="T382" s="121"/>
      <c r="U382" s="121"/>
      <c r="V382" s="121"/>
      <c r="W382" s="121"/>
      <c r="X382" s="121"/>
      <c r="Y382" s="121"/>
      <c r="Z382" s="121"/>
      <c r="AA382" s="121"/>
      <c r="AB382" s="121"/>
    </row>
    <row r="383">
      <c r="A383" s="131"/>
      <c r="B383" s="131"/>
      <c r="C383" s="131"/>
      <c r="D383" s="131"/>
      <c r="E383" s="131"/>
      <c r="F383" s="131"/>
      <c r="G383" s="131"/>
      <c r="H383" s="121"/>
      <c r="I383" s="121"/>
      <c r="J383" s="121"/>
      <c r="K383" s="121"/>
      <c r="L383" s="121"/>
      <c r="M383" s="121"/>
      <c r="N383" s="121"/>
      <c r="O383" s="121"/>
      <c r="P383" s="121"/>
      <c r="Q383" s="121"/>
      <c r="R383" s="121"/>
      <c r="S383" s="121"/>
      <c r="T383" s="121"/>
      <c r="U383" s="121"/>
      <c r="V383" s="121"/>
      <c r="W383" s="121"/>
      <c r="X383" s="121"/>
      <c r="Y383" s="121"/>
      <c r="Z383" s="121"/>
      <c r="AA383" s="121"/>
      <c r="AB383" s="121"/>
    </row>
    <row r="384">
      <c r="A384" s="131"/>
      <c r="B384" s="131"/>
      <c r="C384" s="131"/>
      <c r="D384" s="131"/>
      <c r="E384" s="131"/>
      <c r="F384" s="131"/>
      <c r="G384" s="131"/>
      <c r="H384" s="121"/>
      <c r="I384" s="121"/>
      <c r="J384" s="121"/>
      <c r="K384" s="121"/>
      <c r="L384" s="121"/>
      <c r="M384" s="121"/>
      <c r="N384" s="121"/>
      <c r="O384" s="121"/>
      <c r="P384" s="121"/>
      <c r="Q384" s="121"/>
      <c r="R384" s="121"/>
      <c r="S384" s="121"/>
      <c r="T384" s="121"/>
      <c r="U384" s="121"/>
      <c r="V384" s="121"/>
      <c r="W384" s="121"/>
      <c r="X384" s="121"/>
      <c r="Y384" s="121"/>
      <c r="Z384" s="121"/>
      <c r="AA384" s="121"/>
      <c r="AB384" s="121"/>
    </row>
    <row r="385">
      <c r="A385" s="131"/>
      <c r="B385" s="131"/>
      <c r="C385" s="131"/>
      <c r="D385" s="131"/>
      <c r="E385" s="131"/>
      <c r="F385" s="131"/>
      <c r="G385" s="131"/>
      <c r="H385" s="121"/>
      <c r="I385" s="121"/>
      <c r="J385" s="121"/>
      <c r="K385" s="121"/>
      <c r="L385" s="121"/>
      <c r="M385" s="121"/>
      <c r="N385" s="121"/>
      <c r="O385" s="121"/>
      <c r="P385" s="121"/>
      <c r="Q385" s="121"/>
      <c r="R385" s="121"/>
      <c r="S385" s="121"/>
      <c r="T385" s="121"/>
      <c r="U385" s="121"/>
      <c r="V385" s="121"/>
      <c r="W385" s="121"/>
      <c r="X385" s="121"/>
      <c r="Y385" s="121"/>
      <c r="Z385" s="121"/>
      <c r="AA385" s="121"/>
      <c r="AB385" s="121"/>
    </row>
    <row r="386">
      <c r="A386" s="131"/>
      <c r="B386" s="131"/>
      <c r="C386" s="131"/>
      <c r="D386" s="131"/>
      <c r="E386" s="131"/>
      <c r="F386" s="131"/>
      <c r="G386" s="131"/>
      <c r="H386" s="121"/>
      <c r="I386" s="121"/>
      <c r="J386" s="121"/>
      <c r="K386" s="121"/>
      <c r="L386" s="121"/>
      <c r="M386" s="121"/>
      <c r="N386" s="121"/>
      <c r="O386" s="121"/>
      <c r="P386" s="121"/>
      <c r="Q386" s="121"/>
      <c r="R386" s="121"/>
      <c r="S386" s="121"/>
      <c r="T386" s="121"/>
      <c r="U386" s="121"/>
      <c r="V386" s="121"/>
      <c r="W386" s="121"/>
      <c r="X386" s="121"/>
      <c r="Y386" s="121"/>
      <c r="Z386" s="121"/>
      <c r="AA386" s="121"/>
      <c r="AB386" s="121"/>
    </row>
    <row r="387">
      <c r="A387" s="131"/>
      <c r="B387" s="131"/>
      <c r="C387" s="131"/>
      <c r="D387" s="131"/>
      <c r="E387" s="131"/>
      <c r="F387" s="131"/>
      <c r="G387" s="131"/>
      <c r="H387" s="121"/>
      <c r="I387" s="121"/>
      <c r="J387" s="121"/>
      <c r="K387" s="121"/>
      <c r="L387" s="121"/>
      <c r="M387" s="121"/>
      <c r="N387" s="121"/>
      <c r="O387" s="121"/>
      <c r="P387" s="121"/>
      <c r="Q387" s="121"/>
      <c r="R387" s="121"/>
      <c r="S387" s="121"/>
      <c r="T387" s="121"/>
      <c r="U387" s="121"/>
      <c r="V387" s="121"/>
      <c r="W387" s="121"/>
      <c r="X387" s="121"/>
      <c r="Y387" s="121"/>
      <c r="Z387" s="121"/>
      <c r="AA387" s="121"/>
      <c r="AB387" s="121"/>
    </row>
    <row r="388">
      <c r="A388" s="131"/>
      <c r="B388" s="131"/>
      <c r="C388" s="131"/>
      <c r="D388" s="131"/>
      <c r="E388" s="131"/>
      <c r="F388" s="131"/>
      <c r="G388" s="131"/>
      <c r="H388" s="121"/>
      <c r="I388" s="121"/>
      <c r="J388" s="121"/>
      <c r="K388" s="121"/>
      <c r="L388" s="121"/>
      <c r="M388" s="121"/>
      <c r="N388" s="121"/>
      <c r="O388" s="121"/>
      <c r="P388" s="121"/>
      <c r="Q388" s="121"/>
      <c r="R388" s="121"/>
      <c r="S388" s="121"/>
      <c r="T388" s="121"/>
      <c r="U388" s="121"/>
      <c r="V388" s="121"/>
      <c r="W388" s="121"/>
      <c r="X388" s="121"/>
      <c r="Y388" s="121"/>
      <c r="Z388" s="121"/>
      <c r="AA388" s="121"/>
      <c r="AB388" s="121"/>
    </row>
    <row r="389">
      <c r="A389" s="131"/>
      <c r="B389" s="131"/>
      <c r="C389" s="131"/>
      <c r="D389" s="131"/>
      <c r="E389" s="131"/>
      <c r="F389" s="131"/>
      <c r="G389" s="131"/>
      <c r="H389" s="121"/>
      <c r="I389" s="121"/>
      <c r="J389" s="121"/>
      <c r="K389" s="121"/>
      <c r="L389" s="121"/>
      <c r="M389" s="121"/>
      <c r="N389" s="121"/>
      <c r="O389" s="121"/>
      <c r="P389" s="121"/>
      <c r="Q389" s="121"/>
      <c r="R389" s="121"/>
      <c r="S389" s="121"/>
      <c r="T389" s="121"/>
      <c r="U389" s="121"/>
      <c r="V389" s="121"/>
      <c r="W389" s="121"/>
      <c r="X389" s="121"/>
      <c r="Y389" s="121"/>
      <c r="Z389" s="121"/>
      <c r="AA389" s="121"/>
      <c r="AB389" s="121"/>
    </row>
    <row r="390">
      <c r="A390" s="131"/>
      <c r="B390" s="131"/>
      <c r="C390" s="131"/>
      <c r="D390" s="131"/>
      <c r="E390" s="131"/>
      <c r="F390" s="131"/>
      <c r="G390" s="131"/>
      <c r="H390" s="121"/>
      <c r="I390" s="121"/>
      <c r="J390" s="121"/>
      <c r="K390" s="121"/>
      <c r="L390" s="121"/>
      <c r="M390" s="121"/>
      <c r="N390" s="121"/>
      <c r="O390" s="121"/>
      <c r="P390" s="121"/>
      <c r="Q390" s="121"/>
      <c r="R390" s="121"/>
      <c r="S390" s="121"/>
      <c r="T390" s="121"/>
      <c r="U390" s="121"/>
      <c r="V390" s="121"/>
      <c r="W390" s="121"/>
      <c r="X390" s="121"/>
      <c r="Y390" s="121"/>
      <c r="Z390" s="121"/>
      <c r="AA390" s="121"/>
      <c r="AB390" s="121"/>
    </row>
    <row r="391">
      <c r="A391" s="131"/>
      <c r="B391" s="131"/>
      <c r="C391" s="131"/>
      <c r="D391" s="131"/>
      <c r="E391" s="131"/>
      <c r="F391" s="131"/>
      <c r="G391" s="131"/>
      <c r="H391" s="121"/>
      <c r="I391" s="121"/>
      <c r="J391" s="121"/>
      <c r="K391" s="121"/>
      <c r="L391" s="121"/>
      <c r="M391" s="121"/>
      <c r="N391" s="121"/>
      <c r="O391" s="121"/>
      <c r="P391" s="121"/>
      <c r="Q391" s="121"/>
      <c r="R391" s="121"/>
      <c r="S391" s="121"/>
      <c r="T391" s="121"/>
      <c r="U391" s="121"/>
      <c r="V391" s="121"/>
      <c r="W391" s="121"/>
      <c r="X391" s="121"/>
      <c r="Y391" s="121"/>
      <c r="Z391" s="121"/>
      <c r="AA391" s="121"/>
      <c r="AB391" s="121"/>
    </row>
    <row r="392">
      <c r="A392" s="131"/>
      <c r="B392" s="131"/>
      <c r="C392" s="131"/>
      <c r="D392" s="131"/>
      <c r="E392" s="131"/>
      <c r="F392" s="131"/>
      <c r="G392" s="131"/>
      <c r="H392" s="121"/>
      <c r="I392" s="121"/>
      <c r="J392" s="121"/>
      <c r="K392" s="121"/>
      <c r="L392" s="121"/>
      <c r="M392" s="121"/>
      <c r="N392" s="121"/>
      <c r="O392" s="121"/>
      <c r="P392" s="121"/>
      <c r="Q392" s="121"/>
      <c r="R392" s="121"/>
      <c r="S392" s="121"/>
      <c r="T392" s="121"/>
      <c r="U392" s="121"/>
      <c r="V392" s="121"/>
      <c r="W392" s="121"/>
      <c r="X392" s="121"/>
      <c r="Y392" s="121"/>
      <c r="Z392" s="121"/>
      <c r="AA392" s="121"/>
      <c r="AB392" s="121"/>
    </row>
    <row r="393">
      <c r="A393" s="131"/>
      <c r="B393" s="131"/>
      <c r="C393" s="131"/>
      <c r="D393" s="131"/>
      <c r="E393" s="131"/>
      <c r="F393" s="131"/>
      <c r="G393" s="131"/>
      <c r="H393" s="121"/>
      <c r="I393" s="121"/>
      <c r="J393" s="121"/>
      <c r="K393" s="121"/>
      <c r="L393" s="121"/>
      <c r="M393" s="121"/>
      <c r="N393" s="121"/>
      <c r="O393" s="121"/>
      <c r="P393" s="121"/>
      <c r="Q393" s="121"/>
      <c r="R393" s="121"/>
      <c r="S393" s="121"/>
      <c r="T393" s="121"/>
      <c r="U393" s="121"/>
      <c r="V393" s="121"/>
      <c r="W393" s="121"/>
      <c r="X393" s="121"/>
      <c r="Y393" s="121"/>
      <c r="Z393" s="121"/>
      <c r="AA393" s="121"/>
      <c r="AB393" s="121"/>
    </row>
    <row r="394">
      <c r="A394" s="131"/>
      <c r="B394" s="131"/>
      <c r="C394" s="131"/>
      <c r="D394" s="131"/>
      <c r="E394" s="131"/>
      <c r="F394" s="131"/>
      <c r="G394" s="131"/>
      <c r="H394" s="121"/>
      <c r="I394" s="121"/>
      <c r="J394" s="121"/>
      <c r="K394" s="121"/>
      <c r="L394" s="121"/>
      <c r="M394" s="121"/>
      <c r="N394" s="121"/>
      <c r="O394" s="121"/>
      <c r="P394" s="121"/>
      <c r="Q394" s="121"/>
      <c r="R394" s="121"/>
      <c r="S394" s="121"/>
      <c r="T394" s="121"/>
      <c r="U394" s="121"/>
      <c r="V394" s="121"/>
      <c r="W394" s="121"/>
      <c r="X394" s="121"/>
      <c r="Y394" s="121"/>
      <c r="Z394" s="121"/>
      <c r="AA394" s="121"/>
      <c r="AB394" s="121"/>
    </row>
    <row r="395">
      <c r="A395" s="131"/>
      <c r="B395" s="131"/>
      <c r="C395" s="131"/>
      <c r="D395" s="131"/>
      <c r="E395" s="131"/>
      <c r="F395" s="131"/>
      <c r="G395" s="131"/>
      <c r="H395" s="121"/>
      <c r="I395" s="121"/>
      <c r="J395" s="121"/>
      <c r="K395" s="121"/>
      <c r="L395" s="121"/>
      <c r="M395" s="121"/>
      <c r="N395" s="121"/>
      <c r="O395" s="121"/>
      <c r="P395" s="121"/>
      <c r="Q395" s="121"/>
      <c r="R395" s="121"/>
      <c r="S395" s="121"/>
      <c r="T395" s="121"/>
      <c r="U395" s="121"/>
      <c r="V395" s="121"/>
      <c r="W395" s="121"/>
      <c r="X395" s="121"/>
      <c r="Y395" s="121"/>
      <c r="Z395" s="121"/>
      <c r="AA395" s="121"/>
      <c r="AB395" s="121"/>
    </row>
    <row r="396">
      <c r="A396" s="131"/>
      <c r="B396" s="131"/>
      <c r="C396" s="131"/>
      <c r="D396" s="131"/>
      <c r="E396" s="131"/>
      <c r="F396" s="131"/>
      <c r="G396" s="131"/>
      <c r="H396" s="121"/>
      <c r="I396" s="121"/>
      <c r="J396" s="121"/>
      <c r="K396" s="121"/>
      <c r="L396" s="121"/>
      <c r="M396" s="121"/>
      <c r="N396" s="121"/>
      <c r="O396" s="121"/>
      <c r="P396" s="121"/>
      <c r="Q396" s="121"/>
      <c r="R396" s="121"/>
      <c r="S396" s="121"/>
      <c r="T396" s="121"/>
      <c r="U396" s="121"/>
      <c r="V396" s="121"/>
      <c r="W396" s="121"/>
      <c r="X396" s="121"/>
      <c r="Y396" s="121"/>
      <c r="Z396" s="121"/>
      <c r="AA396" s="121"/>
      <c r="AB396" s="121"/>
    </row>
    <row r="397">
      <c r="A397" s="131"/>
      <c r="B397" s="131"/>
      <c r="C397" s="131"/>
      <c r="D397" s="131"/>
      <c r="E397" s="131"/>
      <c r="F397" s="131"/>
      <c r="G397" s="131"/>
      <c r="H397" s="121"/>
      <c r="I397" s="121"/>
      <c r="J397" s="121"/>
      <c r="K397" s="121"/>
      <c r="L397" s="121"/>
      <c r="M397" s="121"/>
      <c r="N397" s="121"/>
      <c r="O397" s="121"/>
      <c r="P397" s="121"/>
      <c r="Q397" s="121"/>
      <c r="R397" s="121"/>
      <c r="S397" s="121"/>
      <c r="T397" s="121"/>
      <c r="U397" s="121"/>
      <c r="V397" s="121"/>
      <c r="W397" s="121"/>
      <c r="X397" s="121"/>
      <c r="Y397" s="121"/>
      <c r="Z397" s="121"/>
      <c r="AA397" s="121"/>
      <c r="AB397" s="121"/>
    </row>
    <row r="398">
      <c r="A398" s="131"/>
      <c r="B398" s="131"/>
      <c r="C398" s="131"/>
      <c r="D398" s="131"/>
      <c r="E398" s="131"/>
      <c r="F398" s="131"/>
      <c r="G398" s="131"/>
      <c r="H398" s="121"/>
      <c r="I398" s="121"/>
      <c r="J398" s="121"/>
      <c r="K398" s="121"/>
      <c r="L398" s="121"/>
      <c r="M398" s="121"/>
      <c r="N398" s="121"/>
      <c r="O398" s="121"/>
      <c r="P398" s="121"/>
      <c r="Q398" s="121"/>
      <c r="R398" s="121"/>
      <c r="S398" s="121"/>
      <c r="T398" s="121"/>
      <c r="U398" s="121"/>
      <c r="V398" s="121"/>
      <c r="W398" s="121"/>
      <c r="X398" s="121"/>
      <c r="Y398" s="121"/>
      <c r="Z398" s="121"/>
      <c r="AA398" s="121"/>
      <c r="AB398" s="121"/>
    </row>
    <row r="399">
      <c r="A399" s="131"/>
      <c r="B399" s="131"/>
      <c r="C399" s="131"/>
      <c r="D399" s="131"/>
      <c r="E399" s="131"/>
      <c r="F399" s="131"/>
      <c r="G399" s="131"/>
      <c r="H399" s="121"/>
      <c r="I399" s="121"/>
      <c r="J399" s="121"/>
      <c r="K399" s="121"/>
      <c r="L399" s="121"/>
      <c r="M399" s="121"/>
      <c r="N399" s="121"/>
      <c r="O399" s="121"/>
      <c r="P399" s="121"/>
      <c r="Q399" s="121"/>
      <c r="R399" s="121"/>
      <c r="S399" s="121"/>
      <c r="T399" s="121"/>
      <c r="U399" s="121"/>
      <c r="V399" s="121"/>
      <c r="W399" s="121"/>
      <c r="X399" s="121"/>
      <c r="Y399" s="121"/>
      <c r="Z399" s="121"/>
      <c r="AA399" s="121"/>
      <c r="AB399" s="121"/>
    </row>
    <row r="400">
      <c r="A400" s="131"/>
      <c r="B400" s="131"/>
      <c r="C400" s="131"/>
      <c r="D400" s="131"/>
      <c r="E400" s="131"/>
      <c r="F400" s="131"/>
      <c r="G400" s="131"/>
      <c r="H400" s="121"/>
      <c r="I400" s="121"/>
      <c r="J400" s="121"/>
      <c r="K400" s="121"/>
      <c r="L400" s="121"/>
      <c r="M400" s="121"/>
      <c r="N400" s="121"/>
      <c r="O400" s="121"/>
      <c r="P400" s="121"/>
      <c r="Q400" s="121"/>
      <c r="R400" s="121"/>
      <c r="S400" s="121"/>
      <c r="T400" s="121"/>
      <c r="U400" s="121"/>
      <c r="V400" s="121"/>
      <c r="W400" s="121"/>
      <c r="X400" s="121"/>
      <c r="Y400" s="121"/>
      <c r="Z400" s="121"/>
      <c r="AA400" s="121"/>
      <c r="AB400" s="121"/>
    </row>
    <row r="401">
      <c r="A401" s="131"/>
      <c r="B401" s="131"/>
      <c r="C401" s="131"/>
      <c r="D401" s="131"/>
      <c r="E401" s="131"/>
      <c r="F401" s="131"/>
      <c r="G401" s="131"/>
      <c r="H401" s="121"/>
      <c r="I401" s="121"/>
      <c r="J401" s="121"/>
      <c r="K401" s="121"/>
      <c r="L401" s="121"/>
      <c r="M401" s="121"/>
      <c r="N401" s="121"/>
      <c r="O401" s="121"/>
      <c r="P401" s="121"/>
      <c r="Q401" s="121"/>
      <c r="R401" s="121"/>
      <c r="S401" s="121"/>
      <c r="T401" s="121"/>
      <c r="U401" s="121"/>
      <c r="V401" s="121"/>
      <c r="W401" s="121"/>
      <c r="X401" s="121"/>
      <c r="Y401" s="121"/>
      <c r="Z401" s="121"/>
      <c r="AA401" s="121"/>
      <c r="AB401" s="121"/>
    </row>
    <row r="402">
      <c r="A402" s="131"/>
      <c r="B402" s="131"/>
      <c r="C402" s="131"/>
      <c r="D402" s="131"/>
      <c r="E402" s="131"/>
      <c r="F402" s="131"/>
      <c r="G402" s="131"/>
      <c r="H402" s="121"/>
      <c r="I402" s="121"/>
      <c r="J402" s="121"/>
      <c r="K402" s="121"/>
      <c r="L402" s="121"/>
      <c r="M402" s="121"/>
      <c r="N402" s="121"/>
      <c r="O402" s="121"/>
      <c r="P402" s="121"/>
      <c r="Q402" s="121"/>
      <c r="R402" s="121"/>
      <c r="S402" s="121"/>
      <c r="T402" s="121"/>
      <c r="U402" s="121"/>
      <c r="V402" s="121"/>
      <c r="W402" s="121"/>
      <c r="X402" s="121"/>
      <c r="Y402" s="121"/>
      <c r="Z402" s="121"/>
      <c r="AA402" s="121"/>
      <c r="AB402" s="121"/>
    </row>
    <row r="403">
      <c r="A403" s="131"/>
      <c r="B403" s="131"/>
      <c r="C403" s="131"/>
      <c r="D403" s="131"/>
      <c r="E403" s="131"/>
      <c r="F403" s="131"/>
      <c r="G403" s="131"/>
      <c r="H403" s="121"/>
      <c r="I403" s="121"/>
      <c r="J403" s="121"/>
      <c r="K403" s="121"/>
      <c r="L403" s="121"/>
      <c r="M403" s="121"/>
      <c r="N403" s="121"/>
      <c r="O403" s="121"/>
      <c r="P403" s="121"/>
      <c r="Q403" s="121"/>
      <c r="R403" s="121"/>
      <c r="S403" s="121"/>
      <c r="T403" s="121"/>
      <c r="U403" s="121"/>
      <c r="V403" s="121"/>
      <c r="W403" s="121"/>
      <c r="X403" s="121"/>
      <c r="Y403" s="121"/>
      <c r="Z403" s="121"/>
      <c r="AA403" s="121"/>
      <c r="AB403" s="121"/>
    </row>
    <row r="404">
      <c r="A404" s="131"/>
      <c r="B404" s="131"/>
      <c r="C404" s="131"/>
      <c r="D404" s="131"/>
      <c r="E404" s="131"/>
      <c r="F404" s="131"/>
      <c r="G404" s="131"/>
      <c r="H404" s="121"/>
      <c r="I404" s="121"/>
      <c r="J404" s="121"/>
      <c r="K404" s="121"/>
      <c r="L404" s="121"/>
      <c r="M404" s="121"/>
      <c r="N404" s="121"/>
      <c r="O404" s="121"/>
      <c r="P404" s="121"/>
      <c r="Q404" s="121"/>
      <c r="R404" s="121"/>
      <c r="S404" s="121"/>
      <c r="T404" s="121"/>
      <c r="U404" s="121"/>
      <c r="V404" s="121"/>
      <c r="W404" s="121"/>
      <c r="X404" s="121"/>
      <c r="Y404" s="121"/>
      <c r="Z404" s="121"/>
      <c r="AA404" s="121"/>
      <c r="AB404" s="121"/>
    </row>
    <row r="405">
      <c r="A405" s="131"/>
      <c r="B405" s="131"/>
      <c r="C405" s="131"/>
      <c r="D405" s="131"/>
      <c r="E405" s="131"/>
      <c r="F405" s="131"/>
      <c r="G405" s="131"/>
      <c r="H405" s="121"/>
      <c r="I405" s="121"/>
      <c r="J405" s="121"/>
      <c r="K405" s="121"/>
      <c r="L405" s="121"/>
      <c r="M405" s="121"/>
      <c r="N405" s="121"/>
      <c r="O405" s="121"/>
      <c r="P405" s="121"/>
      <c r="Q405" s="121"/>
      <c r="R405" s="121"/>
      <c r="S405" s="121"/>
      <c r="T405" s="121"/>
      <c r="U405" s="121"/>
      <c r="V405" s="121"/>
      <c r="W405" s="121"/>
      <c r="X405" s="121"/>
      <c r="Y405" s="121"/>
      <c r="Z405" s="121"/>
      <c r="AA405" s="121"/>
      <c r="AB405" s="121"/>
    </row>
    <row r="406">
      <c r="A406" s="131"/>
      <c r="B406" s="131"/>
      <c r="C406" s="131"/>
      <c r="D406" s="131"/>
      <c r="E406" s="131"/>
      <c r="F406" s="131"/>
      <c r="G406" s="131"/>
      <c r="H406" s="121"/>
      <c r="I406" s="121"/>
      <c r="J406" s="121"/>
      <c r="K406" s="121"/>
      <c r="L406" s="121"/>
      <c r="M406" s="121"/>
      <c r="N406" s="121"/>
      <c r="O406" s="121"/>
      <c r="P406" s="121"/>
      <c r="Q406" s="121"/>
      <c r="R406" s="121"/>
      <c r="S406" s="121"/>
      <c r="T406" s="121"/>
      <c r="U406" s="121"/>
      <c r="V406" s="121"/>
      <c r="W406" s="121"/>
      <c r="X406" s="121"/>
      <c r="Y406" s="121"/>
      <c r="Z406" s="121"/>
      <c r="AA406" s="121"/>
      <c r="AB406" s="121"/>
    </row>
    <row r="407">
      <c r="A407" s="131"/>
      <c r="B407" s="131"/>
      <c r="C407" s="131"/>
      <c r="D407" s="131"/>
      <c r="E407" s="131"/>
      <c r="F407" s="131"/>
      <c r="G407" s="131"/>
      <c r="H407" s="121"/>
      <c r="I407" s="121"/>
      <c r="J407" s="121"/>
      <c r="K407" s="121"/>
      <c r="L407" s="121"/>
      <c r="M407" s="121"/>
      <c r="N407" s="121"/>
      <c r="O407" s="121"/>
      <c r="P407" s="121"/>
      <c r="Q407" s="121"/>
      <c r="R407" s="121"/>
      <c r="S407" s="121"/>
      <c r="T407" s="121"/>
      <c r="U407" s="121"/>
      <c r="V407" s="121"/>
      <c r="W407" s="121"/>
      <c r="X407" s="121"/>
      <c r="Y407" s="121"/>
      <c r="Z407" s="121"/>
      <c r="AA407" s="121"/>
      <c r="AB407" s="121"/>
    </row>
    <row r="408">
      <c r="A408" s="131"/>
      <c r="B408" s="131"/>
      <c r="C408" s="131"/>
      <c r="D408" s="131"/>
      <c r="E408" s="131"/>
      <c r="F408" s="131"/>
      <c r="G408" s="131"/>
      <c r="H408" s="121"/>
      <c r="I408" s="121"/>
      <c r="J408" s="121"/>
      <c r="K408" s="121"/>
      <c r="L408" s="121"/>
      <c r="M408" s="121"/>
      <c r="N408" s="121"/>
      <c r="O408" s="121"/>
      <c r="P408" s="121"/>
      <c r="Q408" s="121"/>
      <c r="R408" s="121"/>
      <c r="S408" s="121"/>
      <c r="T408" s="121"/>
      <c r="U408" s="121"/>
      <c r="V408" s="121"/>
      <c r="W408" s="121"/>
      <c r="X408" s="121"/>
      <c r="Y408" s="121"/>
      <c r="Z408" s="121"/>
      <c r="AA408" s="121"/>
      <c r="AB408" s="121"/>
    </row>
    <row r="409">
      <c r="A409" s="131"/>
      <c r="B409" s="131"/>
      <c r="C409" s="131"/>
      <c r="D409" s="131"/>
      <c r="E409" s="131"/>
      <c r="F409" s="131"/>
      <c r="G409" s="131"/>
      <c r="H409" s="121"/>
      <c r="I409" s="121"/>
      <c r="J409" s="121"/>
      <c r="K409" s="121"/>
      <c r="L409" s="121"/>
      <c r="M409" s="121"/>
      <c r="N409" s="121"/>
      <c r="O409" s="121"/>
      <c r="P409" s="121"/>
      <c r="Q409" s="121"/>
      <c r="R409" s="121"/>
      <c r="S409" s="121"/>
      <c r="T409" s="121"/>
      <c r="U409" s="121"/>
      <c r="V409" s="121"/>
      <c r="W409" s="121"/>
      <c r="X409" s="121"/>
      <c r="Y409" s="121"/>
      <c r="Z409" s="121"/>
      <c r="AA409" s="121"/>
      <c r="AB409" s="121"/>
    </row>
    <row r="410">
      <c r="A410" s="131"/>
      <c r="B410" s="131"/>
      <c r="C410" s="131"/>
      <c r="D410" s="131"/>
      <c r="E410" s="131"/>
      <c r="F410" s="131"/>
      <c r="G410" s="131"/>
      <c r="H410" s="121"/>
      <c r="I410" s="121"/>
      <c r="J410" s="121"/>
      <c r="K410" s="121"/>
      <c r="L410" s="121"/>
      <c r="M410" s="121"/>
      <c r="N410" s="121"/>
      <c r="O410" s="121"/>
      <c r="P410" s="121"/>
      <c r="Q410" s="121"/>
      <c r="R410" s="121"/>
      <c r="S410" s="121"/>
      <c r="T410" s="121"/>
      <c r="U410" s="121"/>
      <c r="V410" s="121"/>
      <c r="W410" s="121"/>
      <c r="X410" s="121"/>
      <c r="Y410" s="121"/>
      <c r="Z410" s="121"/>
      <c r="AA410" s="121"/>
      <c r="AB410" s="121"/>
    </row>
    <row r="411">
      <c r="A411" s="131"/>
      <c r="B411" s="131"/>
      <c r="C411" s="131"/>
      <c r="D411" s="131"/>
      <c r="E411" s="131"/>
      <c r="F411" s="131"/>
      <c r="G411" s="131"/>
      <c r="H411" s="121"/>
      <c r="I411" s="121"/>
      <c r="J411" s="121"/>
      <c r="K411" s="121"/>
      <c r="L411" s="121"/>
      <c r="M411" s="121"/>
      <c r="N411" s="121"/>
      <c r="O411" s="121"/>
      <c r="P411" s="121"/>
      <c r="Q411" s="121"/>
      <c r="R411" s="121"/>
      <c r="S411" s="121"/>
      <c r="T411" s="121"/>
      <c r="U411" s="121"/>
      <c r="V411" s="121"/>
      <c r="W411" s="121"/>
      <c r="X411" s="121"/>
      <c r="Y411" s="121"/>
      <c r="Z411" s="121"/>
      <c r="AA411" s="121"/>
      <c r="AB411" s="121"/>
    </row>
    <row r="412">
      <c r="A412" s="131"/>
      <c r="B412" s="131"/>
      <c r="C412" s="131"/>
      <c r="D412" s="131"/>
      <c r="E412" s="131"/>
      <c r="F412" s="131"/>
      <c r="G412" s="131"/>
      <c r="H412" s="121"/>
      <c r="I412" s="121"/>
      <c r="J412" s="121"/>
      <c r="K412" s="121"/>
      <c r="L412" s="121"/>
      <c r="M412" s="121"/>
      <c r="N412" s="121"/>
      <c r="O412" s="121"/>
      <c r="P412" s="121"/>
      <c r="Q412" s="121"/>
      <c r="R412" s="121"/>
      <c r="S412" s="121"/>
      <c r="T412" s="121"/>
      <c r="U412" s="121"/>
      <c r="V412" s="121"/>
      <c r="W412" s="121"/>
      <c r="X412" s="121"/>
      <c r="Y412" s="121"/>
      <c r="Z412" s="121"/>
      <c r="AA412" s="121"/>
      <c r="AB412" s="121"/>
    </row>
    <row r="413">
      <c r="A413" s="131"/>
      <c r="B413" s="131"/>
      <c r="C413" s="131"/>
      <c r="D413" s="131"/>
      <c r="E413" s="131"/>
      <c r="F413" s="131"/>
      <c r="G413" s="131"/>
      <c r="H413" s="121"/>
      <c r="I413" s="121"/>
      <c r="J413" s="121"/>
      <c r="K413" s="121"/>
      <c r="L413" s="121"/>
      <c r="M413" s="121"/>
      <c r="N413" s="121"/>
      <c r="O413" s="121"/>
      <c r="P413" s="121"/>
      <c r="Q413" s="121"/>
      <c r="R413" s="121"/>
      <c r="S413" s="121"/>
      <c r="T413" s="121"/>
      <c r="U413" s="121"/>
      <c r="V413" s="121"/>
      <c r="W413" s="121"/>
      <c r="X413" s="121"/>
      <c r="Y413" s="121"/>
      <c r="Z413" s="121"/>
      <c r="AA413" s="121"/>
      <c r="AB413" s="121"/>
    </row>
    <row r="414">
      <c r="A414" s="131"/>
      <c r="B414" s="131"/>
      <c r="C414" s="131"/>
      <c r="D414" s="131"/>
      <c r="E414" s="131"/>
      <c r="F414" s="131"/>
      <c r="G414" s="131"/>
      <c r="H414" s="121"/>
      <c r="I414" s="121"/>
      <c r="J414" s="121"/>
      <c r="K414" s="121"/>
      <c r="L414" s="121"/>
      <c r="M414" s="121"/>
      <c r="N414" s="121"/>
      <c r="O414" s="121"/>
      <c r="P414" s="121"/>
      <c r="Q414" s="121"/>
      <c r="R414" s="121"/>
      <c r="S414" s="121"/>
      <c r="T414" s="121"/>
      <c r="U414" s="121"/>
      <c r="V414" s="121"/>
      <c r="W414" s="121"/>
      <c r="X414" s="121"/>
      <c r="Y414" s="121"/>
      <c r="Z414" s="121"/>
      <c r="AA414" s="121"/>
      <c r="AB414" s="121"/>
    </row>
    <row r="415">
      <c r="A415" s="131"/>
      <c r="B415" s="131"/>
      <c r="C415" s="131"/>
      <c r="D415" s="131"/>
      <c r="E415" s="131"/>
      <c r="F415" s="131"/>
      <c r="G415" s="131"/>
      <c r="H415" s="121"/>
      <c r="I415" s="121"/>
      <c r="J415" s="121"/>
      <c r="K415" s="121"/>
      <c r="L415" s="121"/>
      <c r="M415" s="121"/>
      <c r="N415" s="121"/>
      <c r="O415" s="121"/>
      <c r="P415" s="121"/>
      <c r="Q415" s="121"/>
      <c r="R415" s="121"/>
      <c r="S415" s="121"/>
      <c r="T415" s="121"/>
      <c r="U415" s="121"/>
      <c r="V415" s="121"/>
      <c r="W415" s="121"/>
      <c r="X415" s="121"/>
      <c r="Y415" s="121"/>
      <c r="Z415" s="121"/>
      <c r="AA415" s="121"/>
      <c r="AB415" s="121"/>
    </row>
    <row r="416">
      <c r="A416" s="131"/>
      <c r="B416" s="131"/>
      <c r="C416" s="131"/>
      <c r="D416" s="131"/>
      <c r="E416" s="131"/>
      <c r="F416" s="131"/>
      <c r="G416" s="131"/>
      <c r="H416" s="121"/>
      <c r="I416" s="121"/>
      <c r="J416" s="121"/>
      <c r="K416" s="121"/>
      <c r="L416" s="121"/>
      <c r="M416" s="121"/>
      <c r="N416" s="121"/>
      <c r="O416" s="121"/>
      <c r="P416" s="121"/>
      <c r="Q416" s="121"/>
      <c r="R416" s="121"/>
      <c r="S416" s="121"/>
      <c r="T416" s="121"/>
      <c r="U416" s="121"/>
      <c r="V416" s="121"/>
      <c r="W416" s="121"/>
      <c r="X416" s="121"/>
      <c r="Y416" s="121"/>
      <c r="Z416" s="121"/>
      <c r="AA416" s="121"/>
      <c r="AB416" s="121"/>
    </row>
    <row r="417">
      <c r="A417" s="131"/>
      <c r="B417" s="131"/>
      <c r="C417" s="131"/>
      <c r="D417" s="131"/>
      <c r="E417" s="131"/>
      <c r="F417" s="131"/>
      <c r="G417" s="131"/>
      <c r="H417" s="121"/>
      <c r="I417" s="121"/>
      <c r="J417" s="121"/>
      <c r="K417" s="121"/>
      <c r="L417" s="121"/>
      <c r="M417" s="121"/>
      <c r="N417" s="121"/>
      <c r="O417" s="121"/>
      <c r="P417" s="121"/>
      <c r="Q417" s="121"/>
      <c r="R417" s="121"/>
      <c r="S417" s="121"/>
      <c r="T417" s="121"/>
      <c r="U417" s="121"/>
      <c r="V417" s="121"/>
      <c r="W417" s="121"/>
      <c r="X417" s="121"/>
      <c r="Y417" s="121"/>
      <c r="Z417" s="121"/>
      <c r="AA417" s="121"/>
      <c r="AB417" s="121"/>
    </row>
    <row r="418">
      <c r="A418" s="131"/>
      <c r="B418" s="131"/>
      <c r="C418" s="131"/>
      <c r="D418" s="131"/>
      <c r="E418" s="131"/>
      <c r="F418" s="131"/>
      <c r="G418" s="131"/>
      <c r="H418" s="121"/>
      <c r="I418" s="121"/>
      <c r="J418" s="121"/>
      <c r="K418" s="121"/>
      <c r="L418" s="121"/>
      <c r="M418" s="121"/>
      <c r="N418" s="121"/>
      <c r="O418" s="121"/>
      <c r="P418" s="121"/>
      <c r="Q418" s="121"/>
      <c r="R418" s="121"/>
      <c r="S418" s="121"/>
      <c r="T418" s="121"/>
      <c r="U418" s="121"/>
      <c r="V418" s="121"/>
      <c r="W418" s="121"/>
      <c r="X418" s="121"/>
      <c r="Y418" s="121"/>
      <c r="Z418" s="121"/>
      <c r="AA418" s="121"/>
      <c r="AB418" s="121"/>
    </row>
    <row r="419">
      <c r="A419" s="131"/>
      <c r="B419" s="131"/>
      <c r="C419" s="131"/>
      <c r="D419" s="131"/>
      <c r="E419" s="131"/>
      <c r="F419" s="131"/>
      <c r="G419" s="131"/>
      <c r="H419" s="121"/>
      <c r="I419" s="121"/>
      <c r="J419" s="121"/>
      <c r="K419" s="121"/>
      <c r="L419" s="121"/>
      <c r="M419" s="121"/>
      <c r="N419" s="121"/>
      <c r="O419" s="121"/>
      <c r="P419" s="121"/>
      <c r="Q419" s="121"/>
      <c r="R419" s="121"/>
      <c r="S419" s="121"/>
      <c r="T419" s="121"/>
      <c r="U419" s="121"/>
      <c r="V419" s="121"/>
      <c r="W419" s="121"/>
      <c r="X419" s="121"/>
      <c r="Y419" s="121"/>
      <c r="Z419" s="121"/>
      <c r="AA419" s="121"/>
      <c r="AB419" s="121"/>
    </row>
    <row r="420">
      <c r="A420" s="131"/>
      <c r="B420" s="131"/>
      <c r="C420" s="131"/>
      <c r="D420" s="131"/>
      <c r="E420" s="131"/>
      <c r="F420" s="131"/>
      <c r="G420" s="131"/>
      <c r="H420" s="121"/>
      <c r="I420" s="121"/>
      <c r="J420" s="121"/>
      <c r="K420" s="121"/>
      <c r="L420" s="121"/>
      <c r="M420" s="121"/>
      <c r="N420" s="121"/>
      <c r="O420" s="121"/>
      <c r="P420" s="121"/>
      <c r="Q420" s="121"/>
      <c r="R420" s="121"/>
      <c r="S420" s="121"/>
      <c r="T420" s="121"/>
      <c r="U420" s="121"/>
      <c r="V420" s="121"/>
      <c r="W420" s="121"/>
      <c r="X420" s="121"/>
      <c r="Y420" s="121"/>
      <c r="Z420" s="121"/>
      <c r="AA420" s="121"/>
      <c r="AB420" s="121"/>
    </row>
    <row r="421">
      <c r="A421" s="131"/>
      <c r="B421" s="131"/>
      <c r="C421" s="131"/>
      <c r="D421" s="131"/>
      <c r="E421" s="131"/>
      <c r="F421" s="131"/>
      <c r="G421" s="131"/>
      <c r="H421" s="121"/>
      <c r="I421" s="121"/>
      <c r="J421" s="121"/>
      <c r="K421" s="121"/>
      <c r="L421" s="121"/>
      <c r="M421" s="121"/>
      <c r="N421" s="121"/>
      <c r="O421" s="121"/>
      <c r="P421" s="121"/>
      <c r="Q421" s="121"/>
      <c r="R421" s="121"/>
      <c r="S421" s="121"/>
      <c r="T421" s="121"/>
      <c r="U421" s="121"/>
      <c r="V421" s="121"/>
      <c r="W421" s="121"/>
      <c r="X421" s="121"/>
      <c r="Y421" s="121"/>
      <c r="Z421" s="121"/>
      <c r="AA421" s="121"/>
      <c r="AB421" s="121"/>
    </row>
    <row r="422">
      <c r="A422" s="131"/>
      <c r="B422" s="131"/>
      <c r="C422" s="131"/>
      <c r="D422" s="131"/>
      <c r="E422" s="131"/>
      <c r="F422" s="131"/>
      <c r="G422" s="131"/>
      <c r="H422" s="121"/>
      <c r="I422" s="121"/>
      <c r="J422" s="121"/>
      <c r="K422" s="121"/>
      <c r="L422" s="121"/>
      <c r="M422" s="121"/>
      <c r="N422" s="121"/>
      <c r="O422" s="121"/>
      <c r="P422" s="121"/>
      <c r="Q422" s="121"/>
      <c r="R422" s="121"/>
      <c r="S422" s="121"/>
      <c r="T422" s="121"/>
      <c r="U422" s="121"/>
      <c r="V422" s="121"/>
      <c r="W422" s="121"/>
      <c r="X422" s="121"/>
      <c r="Y422" s="121"/>
      <c r="Z422" s="121"/>
      <c r="AA422" s="121"/>
      <c r="AB422" s="121"/>
    </row>
    <row r="423">
      <c r="A423" s="131"/>
      <c r="B423" s="131"/>
      <c r="C423" s="131"/>
      <c r="D423" s="131"/>
      <c r="E423" s="131"/>
      <c r="F423" s="131"/>
      <c r="G423" s="131"/>
      <c r="H423" s="121"/>
      <c r="I423" s="121"/>
      <c r="J423" s="121"/>
      <c r="K423" s="121"/>
      <c r="L423" s="121"/>
      <c r="M423" s="121"/>
      <c r="N423" s="121"/>
      <c r="O423" s="121"/>
      <c r="P423" s="121"/>
      <c r="Q423" s="121"/>
      <c r="R423" s="121"/>
      <c r="S423" s="121"/>
      <c r="T423" s="121"/>
      <c r="U423" s="121"/>
      <c r="V423" s="121"/>
      <c r="W423" s="121"/>
      <c r="X423" s="121"/>
      <c r="Y423" s="121"/>
      <c r="Z423" s="121"/>
      <c r="AA423" s="121"/>
      <c r="AB423" s="121"/>
    </row>
    <row r="424">
      <c r="A424" s="131"/>
      <c r="B424" s="131"/>
      <c r="C424" s="131"/>
      <c r="D424" s="131"/>
      <c r="E424" s="131"/>
      <c r="F424" s="131"/>
      <c r="G424" s="131"/>
      <c r="H424" s="121"/>
      <c r="I424" s="121"/>
      <c r="J424" s="121"/>
      <c r="K424" s="121"/>
      <c r="L424" s="121"/>
      <c r="M424" s="121"/>
      <c r="N424" s="121"/>
      <c r="O424" s="121"/>
      <c r="P424" s="121"/>
      <c r="Q424" s="121"/>
      <c r="R424" s="121"/>
      <c r="S424" s="121"/>
      <c r="T424" s="121"/>
      <c r="U424" s="121"/>
      <c r="V424" s="121"/>
      <c r="W424" s="121"/>
      <c r="X424" s="121"/>
      <c r="Y424" s="121"/>
      <c r="Z424" s="121"/>
      <c r="AA424" s="121"/>
      <c r="AB424" s="121"/>
    </row>
    <row r="425">
      <c r="A425" s="131"/>
      <c r="B425" s="131"/>
      <c r="C425" s="131"/>
      <c r="D425" s="131"/>
      <c r="E425" s="131"/>
      <c r="F425" s="131"/>
      <c r="G425" s="131"/>
      <c r="H425" s="121"/>
      <c r="I425" s="121"/>
      <c r="J425" s="121"/>
      <c r="K425" s="121"/>
      <c r="L425" s="121"/>
      <c r="M425" s="121"/>
      <c r="N425" s="121"/>
      <c r="O425" s="121"/>
      <c r="P425" s="121"/>
      <c r="Q425" s="121"/>
      <c r="R425" s="121"/>
      <c r="S425" s="121"/>
      <c r="T425" s="121"/>
      <c r="U425" s="121"/>
      <c r="V425" s="121"/>
      <c r="W425" s="121"/>
      <c r="X425" s="121"/>
      <c r="Y425" s="121"/>
      <c r="Z425" s="121"/>
      <c r="AA425" s="121"/>
      <c r="AB425" s="121"/>
    </row>
    <row r="426">
      <c r="A426" s="131"/>
      <c r="B426" s="131"/>
      <c r="C426" s="131"/>
      <c r="D426" s="131"/>
      <c r="E426" s="131"/>
      <c r="F426" s="131"/>
      <c r="G426" s="131"/>
      <c r="H426" s="121"/>
      <c r="I426" s="121"/>
      <c r="J426" s="121"/>
      <c r="K426" s="121"/>
      <c r="L426" s="121"/>
      <c r="M426" s="121"/>
      <c r="N426" s="121"/>
      <c r="O426" s="121"/>
      <c r="P426" s="121"/>
      <c r="Q426" s="121"/>
      <c r="R426" s="121"/>
      <c r="S426" s="121"/>
      <c r="T426" s="121"/>
      <c r="U426" s="121"/>
      <c r="V426" s="121"/>
      <c r="W426" s="121"/>
      <c r="X426" s="121"/>
      <c r="Y426" s="121"/>
      <c r="Z426" s="121"/>
      <c r="AA426" s="121"/>
      <c r="AB426" s="121"/>
    </row>
    <row r="427">
      <c r="A427" s="131"/>
      <c r="B427" s="131"/>
      <c r="C427" s="131"/>
      <c r="D427" s="131"/>
      <c r="E427" s="131"/>
      <c r="F427" s="131"/>
      <c r="G427" s="131"/>
      <c r="H427" s="121"/>
      <c r="I427" s="121"/>
      <c r="J427" s="121"/>
      <c r="K427" s="121"/>
      <c r="L427" s="121"/>
      <c r="M427" s="121"/>
      <c r="N427" s="121"/>
      <c r="O427" s="121"/>
      <c r="P427" s="121"/>
      <c r="Q427" s="121"/>
      <c r="R427" s="121"/>
      <c r="S427" s="121"/>
      <c r="T427" s="121"/>
      <c r="U427" s="121"/>
      <c r="V427" s="121"/>
      <c r="W427" s="121"/>
      <c r="X427" s="121"/>
      <c r="Y427" s="121"/>
      <c r="Z427" s="121"/>
      <c r="AA427" s="121"/>
      <c r="AB427" s="121"/>
    </row>
    <row r="428">
      <c r="A428" s="131"/>
      <c r="B428" s="131"/>
      <c r="C428" s="131"/>
      <c r="D428" s="131"/>
      <c r="E428" s="131"/>
      <c r="F428" s="131"/>
      <c r="G428" s="131"/>
      <c r="H428" s="121"/>
      <c r="I428" s="121"/>
      <c r="J428" s="121"/>
      <c r="K428" s="121"/>
      <c r="L428" s="121"/>
      <c r="M428" s="121"/>
      <c r="N428" s="121"/>
      <c r="O428" s="121"/>
      <c r="P428" s="121"/>
      <c r="Q428" s="121"/>
      <c r="R428" s="121"/>
      <c r="S428" s="121"/>
      <c r="T428" s="121"/>
      <c r="U428" s="121"/>
      <c r="V428" s="121"/>
      <c r="W428" s="121"/>
      <c r="X428" s="121"/>
      <c r="Y428" s="121"/>
      <c r="Z428" s="121"/>
      <c r="AA428" s="121"/>
      <c r="AB428" s="121"/>
    </row>
    <row r="429">
      <c r="A429" s="131"/>
      <c r="B429" s="131"/>
      <c r="C429" s="131"/>
      <c r="D429" s="131"/>
      <c r="E429" s="131"/>
      <c r="F429" s="131"/>
      <c r="G429" s="131"/>
      <c r="H429" s="121"/>
      <c r="I429" s="121"/>
      <c r="J429" s="121"/>
      <c r="K429" s="121"/>
      <c r="L429" s="121"/>
      <c r="M429" s="121"/>
      <c r="N429" s="121"/>
      <c r="O429" s="121"/>
      <c r="P429" s="121"/>
      <c r="Q429" s="121"/>
      <c r="R429" s="121"/>
      <c r="S429" s="121"/>
      <c r="T429" s="121"/>
      <c r="U429" s="121"/>
      <c r="V429" s="121"/>
      <c r="W429" s="121"/>
      <c r="X429" s="121"/>
      <c r="Y429" s="121"/>
      <c r="Z429" s="121"/>
      <c r="AA429" s="121"/>
      <c r="AB429" s="121"/>
    </row>
    <row r="430">
      <c r="A430" s="131"/>
      <c r="B430" s="131"/>
      <c r="C430" s="131"/>
      <c r="D430" s="131"/>
      <c r="E430" s="131"/>
      <c r="F430" s="131"/>
      <c r="G430" s="131"/>
      <c r="H430" s="121"/>
      <c r="I430" s="121"/>
      <c r="J430" s="121"/>
      <c r="K430" s="121"/>
      <c r="L430" s="121"/>
      <c r="M430" s="121"/>
      <c r="N430" s="121"/>
      <c r="O430" s="121"/>
      <c r="P430" s="121"/>
      <c r="Q430" s="121"/>
      <c r="R430" s="121"/>
      <c r="S430" s="121"/>
      <c r="T430" s="121"/>
      <c r="U430" s="121"/>
      <c r="V430" s="121"/>
      <c r="W430" s="121"/>
      <c r="X430" s="121"/>
      <c r="Y430" s="121"/>
      <c r="Z430" s="121"/>
      <c r="AA430" s="121"/>
      <c r="AB430" s="121"/>
    </row>
    <row r="431">
      <c r="A431" s="131"/>
      <c r="B431" s="131"/>
      <c r="C431" s="131"/>
      <c r="D431" s="131"/>
      <c r="E431" s="131"/>
      <c r="F431" s="131"/>
      <c r="G431" s="131"/>
      <c r="H431" s="121"/>
      <c r="I431" s="121"/>
      <c r="J431" s="121"/>
      <c r="K431" s="121"/>
      <c r="L431" s="121"/>
      <c r="M431" s="121"/>
      <c r="N431" s="121"/>
      <c r="O431" s="121"/>
      <c r="P431" s="121"/>
      <c r="Q431" s="121"/>
      <c r="R431" s="121"/>
      <c r="S431" s="121"/>
      <c r="T431" s="121"/>
      <c r="U431" s="121"/>
      <c r="V431" s="121"/>
      <c r="W431" s="121"/>
      <c r="X431" s="121"/>
      <c r="Y431" s="121"/>
      <c r="Z431" s="121"/>
      <c r="AA431" s="121"/>
      <c r="AB431" s="121"/>
    </row>
    <row r="432">
      <c r="A432" s="131"/>
      <c r="B432" s="131"/>
      <c r="C432" s="131"/>
      <c r="D432" s="131"/>
      <c r="E432" s="131"/>
      <c r="F432" s="131"/>
      <c r="G432" s="131"/>
      <c r="H432" s="121"/>
      <c r="I432" s="121"/>
      <c r="J432" s="121"/>
      <c r="K432" s="121"/>
      <c r="L432" s="121"/>
      <c r="M432" s="121"/>
      <c r="N432" s="121"/>
      <c r="O432" s="121"/>
      <c r="P432" s="121"/>
      <c r="Q432" s="121"/>
      <c r="R432" s="121"/>
      <c r="S432" s="121"/>
      <c r="T432" s="121"/>
      <c r="U432" s="121"/>
      <c r="V432" s="121"/>
      <c r="W432" s="121"/>
      <c r="X432" s="121"/>
      <c r="Y432" s="121"/>
      <c r="Z432" s="121"/>
      <c r="AA432" s="121"/>
      <c r="AB432" s="121"/>
    </row>
    <row r="433">
      <c r="A433" s="131"/>
      <c r="B433" s="131"/>
      <c r="C433" s="131"/>
      <c r="D433" s="131"/>
      <c r="E433" s="131"/>
      <c r="F433" s="131"/>
      <c r="G433" s="131"/>
      <c r="H433" s="121"/>
      <c r="I433" s="121"/>
      <c r="J433" s="121"/>
      <c r="K433" s="121"/>
      <c r="L433" s="121"/>
      <c r="M433" s="121"/>
      <c r="N433" s="121"/>
      <c r="O433" s="121"/>
      <c r="P433" s="121"/>
      <c r="Q433" s="121"/>
      <c r="R433" s="121"/>
      <c r="S433" s="121"/>
      <c r="T433" s="121"/>
      <c r="U433" s="121"/>
      <c r="V433" s="121"/>
      <c r="W433" s="121"/>
      <c r="X433" s="121"/>
      <c r="Y433" s="121"/>
      <c r="Z433" s="121"/>
      <c r="AA433" s="121"/>
      <c r="AB433" s="121"/>
    </row>
    <row r="434">
      <c r="A434" s="131"/>
      <c r="B434" s="131"/>
      <c r="C434" s="131"/>
      <c r="D434" s="131"/>
      <c r="E434" s="131"/>
      <c r="F434" s="131"/>
      <c r="G434" s="131"/>
      <c r="H434" s="121"/>
      <c r="I434" s="121"/>
      <c r="J434" s="121"/>
      <c r="K434" s="121"/>
      <c r="L434" s="121"/>
      <c r="M434" s="121"/>
      <c r="N434" s="121"/>
      <c r="O434" s="121"/>
      <c r="P434" s="121"/>
      <c r="Q434" s="121"/>
      <c r="R434" s="121"/>
      <c r="S434" s="121"/>
      <c r="T434" s="121"/>
      <c r="U434" s="121"/>
      <c r="V434" s="121"/>
      <c r="W434" s="121"/>
      <c r="X434" s="121"/>
      <c r="Y434" s="121"/>
      <c r="Z434" s="121"/>
      <c r="AA434" s="121"/>
      <c r="AB434" s="121"/>
    </row>
    <row r="435">
      <c r="A435" s="131"/>
      <c r="B435" s="131"/>
      <c r="C435" s="131"/>
      <c r="D435" s="131"/>
      <c r="E435" s="131"/>
      <c r="F435" s="131"/>
      <c r="G435" s="131"/>
      <c r="H435" s="121"/>
      <c r="I435" s="121"/>
      <c r="J435" s="121"/>
      <c r="K435" s="121"/>
      <c r="L435" s="121"/>
      <c r="M435" s="121"/>
      <c r="N435" s="121"/>
      <c r="O435" s="121"/>
      <c r="P435" s="121"/>
      <c r="Q435" s="121"/>
      <c r="R435" s="121"/>
      <c r="S435" s="121"/>
      <c r="T435" s="121"/>
      <c r="U435" s="121"/>
      <c r="V435" s="121"/>
      <c r="W435" s="121"/>
      <c r="X435" s="121"/>
      <c r="Y435" s="121"/>
      <c r="Z435" s="121"/>
      <c r="AA435" s="121"/>
      <c r="AB435" s="121"/>
    </row>
    <row r="436">
      <c r="A436" s="131"/>
      <c r="B436" s="131"/>
      <c r="C436" s="131"/>
      <c r="D436" s="131"/>
      <c r="E436" s="131"/>
      <c r="F436" s="131"/>
      <c r="G436" s="131"/>
      <c r="H436" s="121"/>
      <c r="I436" s="121"/>
      <c r="J436" s="121"/>
      <c r="K436" s="121"/>
      <c r="L436" s="121"/>
      <c r="M436" s="121"/>
      <c r="N436" s="121"/>
      <c r="O436" s="121"/>
      <c r="P436" s="121"/>
      <c r="Q436" s="121"/>
      <c r="R436" s="121"/>
      <c r="S436" s="121"/>
      <c r="T436" s="121"/>
      <c r="U436" s="121"/>
      <c r="V436" s="121"/>
      <c r="W436" s="121"/>
      <c r="X436" s="121"/>
      <c r="Y436" s="121"/>
      <c r="Z436" s="121"/>
      <c r="AA436" s="121"/>
      <c r="AB436" s="121"/>
    </row>
    <row r="437">
      <c r="A437" s="131"/>
      <c r="B437" s="131"/>
      <c r="C437" s="131"/>
      <c r="D437" s="131"/>
      <c r="E437" s="131"/>
      <c r="F437" s="131"/>
      <c r="G437" s="131"/>
      <c r="H437" s="121"/>
      <c r="I437" s="121"/>
      <c r="J437" s="121"/>
      <c r="K437" s="121"/>
      <c r="L437" s="121"/>
      <c r="M437" s="121"/>
      <c r="N437" s="121"/>
      <c r="O437" s="121"/>
      <c r="P437" s="121"/>
      <c r="Q437" s="121"/>
      <c r="R437" s="121"/>
      <c r="S437" s="121"/>
      <c r="T437" s="121"/>
      <c r="U437" s="121"/>
      <c r="V437" s="121"/>
      <c r="W437" s="121"/>
      <c r="X437" s="121"/>
      <c r="Y437" s="121"/>
      <c r="Z437" s="121"/>
      <c r="AA437" s="121"/>
      <c r="AB437" s="121"/>
    </row>
    <row r="438">
      <c r="A438" s="131"/>
      <c r="B438" s="131"/>
      <c r="C438" s="131"/>
      <c r="D438" s="131"/>
      <c r="E438" s="131"/>
      <c r="F438" s="131"/>
      <c r="G438" s="131"/>
      <c r="H438" s="121"/>
      <c r="I438" s="121"/>
      <c r="J438" s="121"/>
      <c r="K438" s="121"/>
      <c r="L438" s="121"/>
      <c r="M438" s="121"/>
      <c r="N438" s="121"/>
      <c r="O438" s="121"/>
      <c r="P438" s="121"/>
      <c r="Q438" s="121"/>
      <c r="R438" s="121"/>
      <c r="S438" s="121"/>
      <c r="T438" s="121"/>
      <c r="U438" s="121"/>
      <c r="V438" s="121"/>
      <c r="W438" s="121"/>
      <c r="X438" s="121"/>
      <c r="Y438" s="121"/>
      <c r="Z438" s="121"/>
      <c r="AA438" s="121"/>
      <c r="AB438" s="121"/>
    </row>
    <row r="439">
      <c r="A439" s="131"/>
      <c r="B439" s="131"/>
      <c r="C439" s="131"/>
      <c r="D439" s="131"/>
      <c r="E439" s="131"/>
      <c r="F439" s="131"/>
      <c r="G439" s="131"/>
      <c r="H439" s="121"/>
      <c r="I439" s="121"/>
      <c r="J439" s="121"/>
      <c r="K439" s="121"/>
      <c r="L439" s="121"/>
      <c r="M439" s="121"/>
      <c r="N439" s="121"/>
      <c r="O439" s="121"/>
      <c r="P439" s="121"/>
      <c r="Q439" s="121"/>
      <c r="R439" s="121"/>
      <c r="S439" s="121"/>
      <c r="T439" s="121"/>
      <c r="U439" s="121"/>
      <c r="V439" s="121"/>
      <c r="W439" s="121"/>
      <c r="X439" s="121"/>
      <c r="Y439" s="121"/>
      <c r="Z439" s="121"/>
      <c r="AA439" s="121"/>
      <c r="AB439" s="121"/>
    </row>
    <row r="440">
      <c r="A440" s="131"/>
      <c r="B440" s="131"/>
      <c r="C440" s="131"/>
      <c r="D440" s="131"/>
      <c r="E440" s="131"/>
      <c r="F440" s="131"/>
      <c r="G440" s="131"/>
      <c r="H440" s="121"/>
      <c r="I440" s="121"/>
      <c r="J440" s="121"/>
      <c r="K440" s="121"/>
      <c r="L440" s="121"/>
      <c r="M440" s="121"/>
      <c r="N440" s="121"/>
      <c r="O440" s="121"/>
      <c r="P440" s="121"/>
      <c r="Q440" s="121"/>
      <c r="R440" s="121"/>
      <c r="S440" s="121"/>
      <c r="T440" s="121"/>
      <c r="U440" s="121"/>
      <c r="V440" s="121"/>
      <c r="W440" s="121"/>
      <c r="X440" s="121"/>
      <c r="Y440" s="121"/>
      <c r="Z440" s="121"/>
      <c r="AA440" s="121"/>
      <c r="AB440" s="121"/>
    </row>
    <row r="441">
      <c r="A441" s="131"/>
      <c r="B441" s="131"/>
      <c r="C441" s="131"/>
      <c r="D441" s="131"/>
      <c r="E441" s="131"/>
      <c r="F441" s="131"/>
      <c r="G441" s="131"/>
      <c r="H441" s="121"/>
      <c r="I441" s="121"/>
      <c r="J441" s="121"/>
      <c r="K441" s="121"/>
      <c r="L441" s="121"/>
      <c r="M441" s="121"/>
      <c r="N441" s="121"/>
      <c r="O441" s="121"/>
      <c r="P441" s="121"/>
      <c r="Q441" s="121"/>
      <c r="R441" s="121"/>
      <c r="S441" s="121"/>
      <c r="T441" s="121"/>
      <c r="U441" s="121"/>
      <c r="V441" s="121"/>
      <c r="W441" s="121"/>
      <c r="X441" s="121"/>
      <c r="Y441" s="121"/>
      <c r="Z441" s="121"/>
      <c r="AA441" s="121"/>
      <c r="AB441" s="121"/>
    </row>
    <row r="442">
      <c r="A442" s="131"/>
      <c r="B442" s="131"/>
      <c r="C442" s="131"/>
      <c r="D442" s="131"/>
      <c r="E442" s="131"/>
      <c r="F442" s="131"/>
      <c r="G442" s="131"/>
      <c r="H442" s="121"/>
      <c r="I442" s="121"/>
      <c r="J442" s="121"/>
      <c r="K442" s="121"/>
      <c r="L442" s="121"/>
      <c r="M442" s="121"/>
      <c r="N442" s="121"/>
      <c r="O442" s="121"/>
      <c r="P442" s="121"/>
      <c r="Q442" s="121"/>
      <c r="R442" s="121"/>
      <c r="S442" s="121"/>
      <c r="T442" s="121"/>
      <c r="U442" s="121"/>
      <c r="V442" s="121"/>
      <c r="W442" s="121"/>
      <c r="X442" s="121"/>
      <c r="Y442" s="121"/>
      <c r="Z442" s="121"/>
      <c r="AA442" s="121"/>
      <c r="AB442" s="121"/>
    </row>
    <row r="443">
      <c r="A443" s="131"/>
      <c r="B443" s="131"/>
      <c r="C443" s="131"/>
      <c r="D443" s="131"/>
      <c r="E443" s="131"/>
      <c r="F443" s="131"/>
      <c r="G443" s="131"/>
      <c r="H443" s="121"/>
      <c r="I443" s="121"/>
      <c r="J443" s="121"/>
      <c r="K443" s="121"/>
      <c r="L443" s="121"/>
      <c r="M443" s="121"/>
      <c r="N443" s="121"/>
      <c r="O443" s="121"/>
      <c r="P443" s="121"/>
      <c r="Q443" s="121"/>
      <c r="R443" s="121"/>
      <c r="S443" s="121"/>
      <c r="T443" s="121"/>
      <c r="U443" s="121"/>
      <c r="V443" s="121"/>
      <c r="W443" s="121"/>
      <c r="X443" s="121"/>
      <c r="Y443" s="121"/>
      <c r="Z443" s="121"/>
      <c r="AA443" s="121"/>
      <c r="AB443" s="121"/>
    </row>
    <row r="444">
      <c r="A444" s="131"/>
      <c r="B444" s="131"/>
      <c r="C444" s="131"/>
      <c r="D444" s="131"/>
      <c r="E444" s="131"/>
      <c r="F444" s="131"/>
      <c r="G444" s="131"/>
      <c r="H444" s="121"/>
      <c r="I444" s="121"/>
      <c r="J444" s="121"/>
      <c r="K444" s="121"/>
      <c r="L444" s="121"/>
      <c r="M444" s="121"/>
      <c r="N444" s="121"/>
      <c r="O444" s="121"/>
      <c r="P444" s="121"/>
      <c r="Q444" s="121"/>
      <c r="R444" s="121"/>
      <c r="S444" s="121"/>
      <c r="T444" s="121"/>
      <c r="U444" s="121"/>
      <c r="V444" s="121"/>
      <c r="W444" s="121"/>
      <c r="X444" s="121"/>
      <c r="Y444" s="121"/>
      <c r="Z444" s="121"/>
      <c r="AA444" s="121"/>
      <c r="AB444" s="121"/>
    </row>
    <row r="445">
      <c r="A445" s="131"/>
      <c r="B445" s="131"/>
      <c r="C445" s="131"/>
      <c r="D445" s="131"/>
      <c r="E445" s="131"/>
      <c r="F445" s="131"/>
      <c r="G445" s="131"/>
      <c r="H445" s="121"/>
      <c r="I445" s="121"/>
      <c r="J445" s="121"/>
      <c r="K445" s="121"/>
      <c r="L445" s="121"/>
      <c r="M445" s="121"/>
      <c r="N445" s="121"/>
      <c r="O445" s="121"/>
      <c r="P445" s="121"/>
      <c r="Q445" s="121"/>
      <c r="R445" s="121"/>
      <c r="S445" s="121"/>
      <c r="T445" s="121"/>
      <c r="U445" s="121"/>
      <c r="V445" s="121"/>
      <c r="W445" s="121"/>
      <c r="X445" s="121"/>
      <c r="Y445" s="121"/>
      <c r="Z445" s="121"/>
      <c r="AA445" s="121"/>
      <c r="AB445" s="121"/>
    </row>
    <row r="446">
      <c r="A446" s="131"/>
      <c r="B446" s="131"/>
      <c r="C446" s="131"/>
      <c r="D446" s="131"/>
      <c r="E446" s="131"/>
      <c r="F446" s="131"/>
      <c r="G446" s="131"/>
      <c r="H446" s="121"/>
      <c r="I446" s="121"/>
      <c r="J446" s="121"/>
      <c r="K446" s="121"/>
      <c r="L446" s="121"/>
      <c r="M446" s="121"/>
      <c r="N446" s="121"/>
      <c r="O446" s="121"/>
      <c r="P446" s="121"/>
      <c r="Q446" s="121"/>
      <c r="R446" s="121"/>
      <c r="S446" s="121"/>
      <c r="T446" s="121"/>
      <c r="U446" s="121"/>
      <c r="V446" s="121"/>
      <c r="W446" s="121"/>
      <c r="X446" s="121"/>
      <c r="Y446" s="121"/>
      <c r="Z446" s="121"/>
      <c r="AA446" s="121"/>
      <c r="AB446" s="121"/>
    </row>
    <row r="447">
      <c r="A447" s="131"/>
      <c r="B447" s="131"/>
      <c r="C447" s="131"/>
      <c r="D447" s="131"/>
      <c r="E447" s="131"/>
      <c r="F447" s="131"/>
      <c r="G447" s="131"/>
      <c r="H447" s="121"/>
      <c r="I447" s="121"/>
      <c r="J447" s="121"/>
      <c r="K447" s="121"/>
      <c r="L447" s="121"/>
      <c r="M447" s="121"/>
      <c r="N447" s="121"/>
      <c r="O447" s="121"/>
      <c r="P447" s="121"/>
      <c r="Q447" s="121"/>
      <c r="R447" s="121"/>
      <c r="S447" s="121"/>
      <c r="T447" s="121"/>
      <c r="U447" s="121"/>
      <c r="V447" s="121"/>
      <c r="W447" s="121"/>
      <c r="X447" s="121"/>
      <c r="Y447" s="121"/>
      <c r="Z447" s="121"/>
      <c r="AA447" s="121"/>
      <c r="AB447" s="121"/>
    </row>
    <row r="448">
      <c r="A448" s="131"/>
      <c r="B448" s="131"/>
      <c r="C448" s="131"/>
      <c r="D448" s="131"/>
      <c r="E448" s="131"/>
      <c r="F448" s="131"/>
      <c r="G448" s="131"/>
      <c r="H448" s="121"/>
      <c r="I448" s="121"/>
      <c r="J448" s="121"/>
      <c r="K448" s="121"/>
      <c r="L448" s="121"/>
      <c r="M448" s="121"/>
      <c r="N448" s="121"/>
      <c r="O448" s="121"/>
      <c r="P448" s="121"/>
      <c r="Q448" s="121"/>
      <c r="R448" s="121"/>
      <c r="S448" s="121"/>
      <c r="T448" s="121"/>
      <c r="U448" s="121"/>
      <c r="V448" s="121"/>
      <c r="W448" s="121"/>
      <c r="X448" s="121"/>
      <c r="Y448" s="121"/>
      <c r="Z448" s="121"/>
      <c r="AA448" s="121"/>
      <c r="AB448" s="121"/>
    </row>
    <row r="449">
      <c r="A449" s="131"/>
      <c r="B449" s="131"/>
      <c r="C449" s="131"/>
      <c r="D449" s="131"/>
      <c r="E449" s="131"/>
      <c r="F449" s="131"/>
      <c r="G449" s="131"/>
      <c r="H449" s="121"/>
      <c r="I449" s="121"/>
      <c r="J449" s="121"/>
      <c r="K449" s="121"/>
      <c r="L449" s="121"/>
      <c r="M449" s="121"/>
      <c r="N449" s="121"/>
      <c r="O449" s="121"/>
      <c r="P449" s="121"/>
      <c r="Q449" s="121"/>
      <c r="R449" s="121"/>
      <c r="S449" s="121"/>
      <c r="T449" s="121"/>
      <c r="U449" s="121"/>
      <c r="V449" s="121"/>
      <c r="W449" s="121"/>
      <c r="X449" s="121"/>
      <c r="Y449" s="121"/>
      <c r="Z449" s="121"/>
      <c r="AA449" s="121"/>
      <c r="AB449" s="121"/>
    </row>
    <row r="450">
      <c r="A450" s="131"/>
      <c r="B450" s="131"/>
      <c r="C450" s="131"/>
      <c r="D450" s="131"/>
      <c r="E450" s="131"/>
      <c r="F450" s="131"/>
      <c r="G450" s="131"/>
      <c r="H450" s="121"/>
      <c r="I450" s="121"/>
      <c r="J450" s="121"/>
      <c r="K450" s="121"/>
      <c r="L450" s="121"/>
      <c r="M450" s="121"/>
      <c r="N450" s="121"/>
      <c r="O450" s="121"/>
      <c r="P450" s="121"/>
      <c r="Q450" s="121"/>
      <c r="R450" s="121"/>
      <c r="S450" s="121"/>
      <c r="T450" s="121"/>
      <c r="U450" s="121"/>
      <c r="V450" s="121"/>
      <c r="W450" s="121"/>
      <c r="X450" s="121"/>
      <c r="Y450" s="121"/>
      <c r="Z450" s="121"/>
      <c r="AA450" s="121"/>
      <c r="AB450" s="121"/>
    </row>
    <row r="451">
      <c r="A451" s="131"/>
      <c r="B451" s="131"/>
      <c r="C451" s="131"/>
      <c r="D451" s="131"/>
      <c r="E451" s="131"/>
      <c r="F451" s="131"/>
      <c r="G451" s="131"/>
      <c r="H451" s="121"/>
      <c r="I451" s="121"/>
      <c r="J451" s="121"/>
      <c r="K451" s="121"/>
      <c r="L451" s="121"/>
      <c r="M451" s="121"/>
      <c r="N451" s="121"/>
      <c r="O451" s="121"/>
      <c r="P451" s="121"/>
      <c r="Q451" s="121"/>
      <c r="R451" s="121"/>
      <c r="S451" s="121"/>
      <c r="T451" s="121"/>
      <c r="U451" s="121"/>
      <c r="V451" s="121"/>
      <c r="W451" s="121"/>
      <c r="X451" s="121"/>
      <c r="Y451" s="121"/>
      <c r="Z451" s="121"/>
      <c r="AA451" s="121"/>
      <c r="AB451" s="121"/>
    </row>
    <row r="452">
      <c r="A452" s="131"/>
      <c r="B452" s="131"/>
      <c r="C452" s="131"/>
      <c r="D452" s="131"/>
      <c r="E452" s="131"/>
      <c r="F452" s="131"/>
      <c r="G452" s="131"/>
      <c r="H452" s="121"/>
      <c r="I452" s="121"/>
      <c r="J452" s="121"/>
      <c r="K452" s="121"/>
      <c r="L452" s="121"/>
      <c r="M452" s="121"/>
      <c r="N452" s="121"/>
      <c r="O452" s="121"/>
      <c r="P452" s="121"/>
      <c r="Q452" s="121"/>
      <c r="R452" s="121"/>
      <c r="S452" s="121"/>
      <c r="T452" s="121"/>
      <c r="U452" s="121"/>
      <c r="V452" s="121"/>
      <c r="W452" s="121"/>
      <c r="X452" s="121"/>
      <c r="Y452" s="121"/>
      <c r="Z452" s="121"/>
      <c r="AA452" s="121"/>
      <c r="AB452" s="121"/>
    </row>
    <row r="453">
      <c r="A453" s="131"/>
      <c r="B453" s="131"/>
      <c r="C453" s="131"/>
      <c r="D453" s="131"/>
      <c r="E453" s="131"/>
      <c r="F453" s="131"/>
      <c r="G453" s="131"/>
      <c r="H453" s="121"/>
      <c r="I453" s="121"/>
      <c r="J453" s="121"/>
      <c r="K453" s="121"/>
      <c r="L453" s="121"/>
      <c r="M453" s="121"/>
      <c r="N453" s="121"/>
      <c r="O453" s="121"/>
      <c r="P453" s="121"/>
      <c r="Q453" s="121"/>
      <c r="R453" s="121"/>
      <c r="S453" s="121"/>
      <c r="T453" s="121"/>
      <c r="U453" s="121"/>
      <c r="V453" s="121"/>
      <c r="W453" s="121"/>
      <c r="X453" s="121"/>
      <c r="Y453" s="121"/>
      <c r="Z453" s="121"/>
      <c r="AA453" s="121"/>
      <c r="AB453" s="121"/>
    </row>
    <row r="454">
      <c r="A454" s="131"/>
      <c r="B454" s="131"/>
      <c r="C454" s="131"/>
      <c r="D454" s="131"/>
      <c r="E454" s="131"/>
      <c r="F454" s="131"/>
      <c r="G454" s="131"/>
      <c r="H454" s="121"/>
      <c r="I454" s="121"/>
      <c r="J454" s="121"/>
      <c r="K454" s="121"/>
      <c r="L454" s="121"/>
      <c r="M454" s="121"/>
      <c r="N454" s="121"/>
      <c r="O454" s="121"/>
      <c r="P454" s="121"/>
      <c r="Q454" s="121"/>
      <c r="R454" s="121"/>
      <c r="S454" s="121"/>
      <c r="T454" s="121"/>
      <c r="U454" s="121"/>
      <c r="V454" s="121"/>
      <c r="W454" s="121"/>
      <c r="X454" s="121"/>
      <c r="Y454" s="121"/>
      <c r="Z454" s="121"/>
      <c r="AA454" s="121"/>
      <c r="AB454" s="121"/>
    </row>
    <row r="455">
      <c r="A455" s="131"/>
      <c r="B455" s="131"/>
      <c r="C455" s="131"/>
      <c r="D455" s="131"/>
      <c r="E455" s="131"/>
      <c r="F455" s="131"/>
      <c r="G455" s="131"/>
      <c r="H455" s="121"/>
      <c r="I455" s="121"/>
      <c r="J455" s="121"/>
      <c r="K455" s="121"/>
      <c r="L455" s="121"/>
      <c r="M455" s="121"/>
      <c r="N455" s="121"/>
      <c r="O455" s="121"/>
      <c r="P455" s="121"/>
      <c r="Q455" s="121"/>
      <c r="R455" s="121"/>
      <c r="S455" s="121"/>
      <c r="T455" s="121"/>
      <c r="U455" s="121"/>
      <c r="V455" s="121"/>
      <c r="W455" s="121"/>
      <c r="X455" s="121"/>
      <c r="Y455" s="121"/>
      <c r="Z455" s="121"/>
      <c r="AA455" s="121"/>
      <c r="AB455" s="121"/>
    </row>
    <row r="456">
      <c r="A456" s="131"/>
      <c r="B456" s="131"/>
      <c r="C456" s="131"/>
      <c r="D456" s="131"/>
      <c r="E456" s="131"/>
      <c r="F456" s="131"/>
      <c r="G456" s="131"/>
      <c r="H456" s="121"/>
      <c r="I456" s="121"/>
      <c r="J456" s="121"/>
      <c r="K456" s="121"/>
      <c r="L456" s="121"/>
      <c r="M456" s="121"/>
      <c r="N456" s="121"/>
      <c r="O456" s="121"/>
      <c r="P456" s="121"/>
      <c r="Q456" s="121"/>
      <c r="R456" s="121"/>
      <c r="S456" s="121"/>
      <c r="T456" s="121"/>
      <c r="U456" s="121"/>
      <c r="V456" s="121"/>
      <c r="W456" s="121"/>
      <c r="X456" s="121"/>
      <c r="Y456" s="121"/>
      <c r="Z456" s="121"/>
      <c r="AA456" s="121"/>
      <c r="AB456" s="121"/>
    </row>
    <row r="457">
      <c r="A457" s="131"/>
      <c r="B457" s="131"/>
      <c r="C457" s="131"/>
      <c r="D457" s="131"/>
      <c r="E457" s="131"/>
      <c r="F457" s="131"/>
      <c r="G457" s="131"/>
      <c r="H457" s="121"/>
      <c r="I457" s="121"/>
      <c r="J457" s="121"/>
      <c r="K457" s="121"/>
      <c r="L457" s="121"/>
      <c r="M457" s="121"/>
      <c r="N457" s="121"/>
      <c r="O457" s="121"/>
      <c r="P457" s="121"/>
      <c r="Q457" s="121"/>
      <c r="R457" s="121"/>
      <c r="S457" s="121"/>
      <c r="T457" s="121"/>
      <c r="U457" s="121"/>
      <c r="V457" s="121"/>
      <c r="W457" s="121"/>
      <c r="X457" s="121"/>
      <c r="Y457" s="121"/>
      <c r="Z457" s="121"/>
      <c r="AA457" s="121"/>
      <c r="AB457" s="121"/>
    </row>
    <row r="458">
      <c r="A458" s="131"/>
      <c r="B458" s="131"/>
      <c r="C458" s="131"/>
      <c r="D458" s="131"/>
      <c r="E458" s="131"/>
      <c r="F458" s="131"/>
      <c r="G458" s="131"/>
      <c r="H458" s="121"/>
      <c r="I458" s="121"/>
      <c r="J458" s="121"/>
      <c r="K458" s="121"/>
      <c r="L458" s="121"/>
      <c r="M458" s="121"/>
      <c r="N458" s="121"/>
      <c r="O458" s="121"/>
      <c r="P458" s="121"/>
      <c r="Q458" s="121"/>
      <c r="R458" s="121"/>
      <c r="S458" s="121"/>
      <c r="T458" s="121"/>
      <c r="U458" s="121"/>
      <c r="V458" s="121"/>
      <c r="W458" s="121"/>
      <c r="X458" s="121"/>
      <c r="Y458" s="121"/>
      <c r="Z458" s="121"/>
      <c r="AA458" s="121"/>
      <c r="AB458" s="121"/>
    </row>
    <row r="459">
      <c r="A459" s="131"/>
      <c r="B459" s="131"/>
      <c r="C459" s="131"/>
      <c r="D459" s="131"/>
      <c r="E459" s="131"/>
      <c r="F459" s="131"/>
      <c r="G459" s="131"/>
      <c r="H459" s="121"/>
      <c r="I459" s="121"/>
      <c r="J459" s="121"/>
      <c r="K459" s="121"/>
      <c r="L459" s="121"/>
      <c r="M459" s="121"/>
      <c r="N459" s="121"/>
      <c r="O459" s="121"/>
      <c r="P459" s="121"/>
      <c r="Q459" s="121"/>
      <c r="R459" s="121"/>
      <c r="S459" s="121"/>
      <c r="T459" s="121"/>
      <c r="U459" s="121"/>
      <c r="V459" s="121"/>
      <c r="W459" s="121"/>
      <c r="X459" s="121"/>
      <c r="Y459" s="121"/>
      <c r="Z459" s="121"/>
      <c r="AA459" s="121"/>
      <c r="AB459" s="121"/>
    </row>
    <row r="460">
      <c r="A460" s="131"/>
      <c r="B460" s="131"/>
      <c r="C460" s="131"/>
      <c r="D460" s="131"/>
      <c r="E460" s="131"/>
      <c r="F460" s="131"/>
      <c r="G460" s="131"/>
      <c r="H460" s="121"/>
      <c r="I460" s="121"/>
      <c r="J460" s="121"/>
      <c r="K460" s="121"/>
      <c r="L460" s="121"/>
      <c r="M460" s="121"/>
      <c r="N460" s="121"/>
      <c r="O460" s="121"/>
      <c r="P460" s="121"/>
      <c r="Q460" s="121"/>
      <c r="R460" s="121"/>
      <c r="S460" s="121"/>
      <c r="T460" s="121"/>
      <c r="U460" s="121"/>
      <c r="V460" s="121"/>
      <c r="W460" s="121"/>
      <c r="X460" s="121"/>
      <c r="Y460" s="121"/>
      <c r="Z460" s="121"/>
      <c r="AA460" s="121"/>
      <c r="AB460" s="121"/>
    </row>
    <row r="461">
      <c r="A461" s="131"/>
      <c r="B461" s="131"/>
      <c r="C461" s="131"/>
      <c r="D461" s="131"/>
      <c r="E461" s="131"/>
      <c r="F461" s="131"/>
      <c r="G461" s="131"/>
      <c r="H461" s="121"/>
      <c r="I461" s="121"/>
      <c r="J461" s="121"/>
      <c r="K461" s="121"/>
      <c r="L461" s="121"/>
      <c r="M461" s="121"/>
      <c r="N461" s="121"/>
      <c r="O461" s="121"/>
      <c r="P461" s="121"/>
      <c r="Q461" s="121"/>
      <c r="R461" s="121"/>
      <c r="S461" s="121"/>
      <c r="T461" s="121"/>
      <c r="U461" s="121"/>
      <c r="V461" s="121"/>
      <c r="W461" s="121"/>
      <c r="X461" s="121"/>
      <c r="Y461" s="121"/>
      <c r="Z461" s="121"/>
      <c r="AA461" s="121"/>
      <c r="AB461" s="121"/>
    </row>
    <row r="462">
      <c r="A462" s="131"/>
      <c r="B462" s="131"/>
      <c r="C462" s="131"/>
      <c r="D462" s="131"/>
      <c r="E462" s="131"/>
      <c r="F462" s="131"/>
      <c r="G462" s="131"/>
      <c r="H462" s="121"/>
      <c r="I462" s="121"/>
      <c r="J462" s="121"/>
      <c r="K462" s="121"/>
      <c r="L462" s="121"/>
      <c r="M462" s="121"/>
      <c r="N462" s="121"/>
      <c r="O462" s="121"/>
      <c r="P462" s="121"/>
      <c r="Q462" s="121"/>
      <c r="R462" s="121"/>
      <c r="S462" s="121"/>
      <c r="T462" s="121"/>
      <c r="U462" s="121"/>
      <c r="V462" s="121"/>
      <c r="W462" s="121"/>
      <c r="X462" s="121"/>
      <c r="Y462" s="121"/>
      <c r="Z462" s="121"/>
      <c r="AA462" s="121"/>
      <c r="AB462" s="121"/>
    </row>
    <row r="463">
      <c r="A463" s="131"/>
      <c r="B463" s="131"/>
      <c r="C463" s="131"/>
      <c r="D463" s="131"/>
      <c r="E463" s="131"/>
      <c r="F463" s="131"/>
      <c r="G463" s="131"/>
      <c r="H463" s="121"/>
      <c r="I463" s="121"/>
      <c r="J463" s="121"/>
      <c r="K463" s="121"/>
      <c r="L463" s="121"/>
      <c r="M463" s="121"/>
      <c r="N463" s="121"/>
      <c r="O463" s="121"/>
      <c r="P463" s="121"/>
      <c r="Q463" s="121"/>
      <c r="R463" s="121"/>
      <c r="S463" s="121"/>
      <c r="T463" s="121"/>
      <c r="U463" s="121"/>
      <c r="V463" s="121"/>
      <c r="W463" s="121"/>
      <c r="X463" s="121"/>
      <c r="Y463" s="121"/>
      <c r="Z463" s="121"/>
      <c r="AA463" s="121"/>
      <c r="AB463" s="121"/>
    </row>
    <row r="464">
      <c r="A464" s="131"/>
      <c r="B464" s="131"/>
      <c r="C464" s="131"/>
      <c r="D464" s="131"/>
      <c r="E464" s="131"/>
      <c r="F464" s="131"/>
      <c r="G464" s="131"/>
      <c r="H464" s="121"/>
      <c r="I464" s="121"/>
      <c r="J464" s="121"/>
      <c r="K464" s="121"/>
      <c r="L464" s="121"/>
      <c r="M464" s="121"/>
      <c r="N464" s="121"/>
      <c r="O464" s="121"/>
      <c r="P464" s="121"/>
      <c r="Q464" s="121"/>
      <c r="R464" s="121"/>
      <c r="S464" s="121"/>
      <c r="T464" s="121"/>
      <c r="U464" s="121"/>
      <c r="V464" s="121"/>
      <c r="W464" s="121"/>
      <c r="X464" s="121"/>
      <c r="Y464" s="121"/>
      <c r="Z464" s="121"/>
      <c r="AA464" s="121"/>
      <c r="AB464" s="121"/>
    </row>
    <row r="465">
      <c r="A465" s="131"/>
      <c r="B465" s="131"/>
      <c r="C465" s="131"/>
      <c r="D465" s="131"/>
      <c r="E465" s="131"/>
      <c r="F465" s="131"/>
      <c r="G465" s="131"/>
      <c r="H465" s="121"/>
      <c r="I465" s="121"/>
      <c r="J465" s="121"/>
      <c r="K465" s="121"/>
      <c r="L465" s="121"/>
      <c r="M465" s="121"/>
      <c r="N465" s="121"/>
      <c r="O465" s="121"/>
      <c r="P465" s="121"/>
      <c r="Q465" s="121"/>
      <c r="R465" s="121"/>
      <c r="S465" s="121"/>
      <c r="T465" s="121"/>
      <c r="U465" s="121"/>
      <c r="V465" s="121"/>
      <c r="W465" s="121"/>
      <c r="X465" s="121"/>
      <c r="Y465" s="121"/>
      <c r="Z465" s="121"/>
      <c r="AA465" s="121"/>
      <c r="AB465" s="121"/>
    </row>
    <row r="466">
      <c r="A466" s="131"/>
      <c r="B466" s="131"/>
      <c r="C466" s="131"/>
      <c r="D466" s="131"/>
      <c r="E466" s="131"/>
      <c r="F466" s="131"/>
      <c r="G466" s="131"/>
      <c r="H466" s="121"/>
      <c r="I466" s="121"/>
      <c r="J466" s="121"/>
      <c r="K466" s="121"/>
      <c r="L466" s="121"/>
      <c r="M466" s="121"/>
      <c r="N466" s="121"/>
      <c r="O466" s="121"/>
      <c r="P466" s="121"/>
      <c r="Q466" s="121"/>
      <c r="R466" s="121"/>
      <c r="S466" s="121"/>
      <c r="T466" s="121"/>
      <c r="U466" s="121"/>
      <c r="V466" s="121"/>
      <c r="W466" s="121"/>
      <c r="X466" s="121"/>
      <c r="Y466" s="121"/>
      <c r="Z466" s="121"/>
      <c r="AA466" s="121"/>
      <c r="AB466" s="121"/>
    </row>
    <row r="467">
      <c r="A467" s="131"/>
      <c r="B467" s="131"/>
      <c r="C467" s="131"/>
      <c r="D467" s="131"/>
      <c r="E467" s="131"/>
      <c r="F467" s="131"/>
      <c r="G467" s="131"/>
      <c r="H467" s="121"/>
      <c r="I467" s="121"/>
      <c r="J467" s="121"/>
      <c r="K467" s="121"/>
      <c r="L467" s="121"/>
      <c r="M467" s="121"/>
      <c r="N467" s="121"/>
      <c r="O467" s="121"/>
      <c r="P467" s="121"/>
      <c r="Q467" s="121"/>
      <c r="R467" s="121"/>
      <c r="S467" s="121"/>
      <c r="T467" s="121"/>
      <c r="U467" s="121"/>
      <c r="V467" s="121"/>
      <c r="W467" s="121"/>
      <c r="X467" s="121"/>
      <c r="Y467" s="121"/>
      <c r="Z467" s="121"/>
      <c r="AA467" s="121"/>
      <c r="AB467" s="121"/>
    </row>
    <row r="468">
      <c r="A468" s="131"/>
      <c r="B468" s="131"/>
      <c r="C468" s="131"/>
      <c r="D468" s="131"/>
      <c r="E468" s="131"/>
      <c r="F468" s="131"/>
      <c r="G468" s="131"/>
      <c r="H468" s="121"/>
      <c r="I468" s="121"/>
      <c r="J468" s="121"/>
      <c r="K468" s="121"/>
      <c r="L468" s="121"/>
      <c r="M468" s="121"/>
      <c r="N468" s="121"/>
      <c r="O468" s="121"/>
      <c r="P468" s="121"/>
      <c r="Q468" s="121"/>
      <c r="R468" s="121"/>
      <c r="S468" s="121"/>
      <c r="T468" s="121"/>
      <c r="U468" s="121"/>
      <c r="V468" s="121"/>
      <c r="W468" s="121"/>
      <c r="X468" s="121"/>
      <c r="Y468" s="121"/>
      <c r="Z468" s="121"/>
      <c r="AA468" s="121"/>
      <c r="AB468" s="121"/>
    </row>
    <row r="469">
      <c r="A469" s="131"/>
      <c r="B469" s="131"/>
      <c r="C469" s="131"/>
      <c r="D469" s="131"/>
      <c r="E469" s="131"/>
      <c r="F469" s="131"/>
      <c r="G469" s="131"/>
      <c r="H469" s="121"/>
      <c r="I469" s="121"/>
      <c r="J469" s="121"/>
      <c r="K469" s="121"/>
      <c r="L469" s="121"/>
      <c r="M469" s="121"/>
      <c r="N469" s="121"/>
      <c r="O469" s="121"/>
      <c r="P469" s="121"/>
      <c r="Q469" s="121"/>
      <c r="R469" s="121"/>
      <c r="S469" s="121"/>
      <c r="T469" s="121"/>
      <c r="U469" s="121"/>
      <c r="V469" s="121"/>
      <c r="W469" s="121"/>
      <c r="X469" s="121"/>
      <c r="Y469" s="121"/>
      <c r="Z469" s="121"/>
      <c r="AA469" s="121"/>
      <c r="AB469" s="121"/>
    </row>
    <row r="470">
      <c r="A470" s="131"/>
      <c r="B470" s="131"/>
      <c r="C470" s="131"/>
      <c r="D470" s="131"/>
      <c r="E470" s="131"/>
      <c r="F470" s="131"/>
      <c r="G470" s="131"/>
      <c r="H470" s="121"/>
      <c r="I470" s="121"/>
      <c r="J470" s="121"/>
      <c r="K470" s="121"/>
      <c r="L470" s="121"/>
      <c r="M470" s="121"/>
      <c r="N470" s="121"/>
      <c r="O470" s="121"/>
      <c r="P470" s="121"/>
      <c r="Q470" s="121"/>
      <c r="R470" s="121"/>
      <c r="S470" s="121"/>
      <c r="T470" s="121"/>
      <c r="U470" s="121"/>
      <c r="V470" s="121"/>
      <c r="W470" s="121"/>
      <c r="X470" s="121"/>
      <c r="Y470" s="121"/>
      <c r="Z470" s="121"/>
      <c r="AA470" s="121"/>
      <c r="AB470" s="121"/>
    </row>
    <row r="471">
      <c r="A471" s="131"/>
      <c r="B471" s="131"/>
      <c r="C471" s="131"/>
      <c r="D471" s="131"/>
      <c r="E471" s="131"/>
      <c r="F471" s="131"/>
      <c r="G471" s="131"/>
      <c r="H471" s="121"/>
      <c r="I471" s="121"/>
      <c r="J471" s="121"/>
      <c r="K471" s="121"/>
      <c r="L471" s="121"/>
      <c r="M471" s="121"/>
      <c r="N471" s="121"/>
      <c r="O471" s="121"/>
      <c r="P471" s="121"/>
      <c r="Q471" s="121"/>
      <c r="R471" s="121"/>
      <c r="S471" s="121"/>
      <c r="T471" s="121"/>
      <c r="U471" s="121"/>
      <c r="V471" s="121"/>
      <c r="W471" s="121"/>
      <c r="X471" s="121"/>
      <c r="Y471" s="121"/>
      <c r="Z471" s="121"/>
      <c r="AA471" s="121"/>
      <c r="AB471" s="121"/>
    </row>
    <row r="472">
      <c r="A472" s="131"/>
      <c r="B472" s="131"/>
      <c r="C472" s="131"/>
      <c r="D472" s="131"/>
      <c r="E472" s="131"/>
      <c r="F472" s="131"/>
      <c r="G472" s="131"/>
      <c r="H472" s="121"/>
      <c r="I472" s="121"/>
      <c r="J472" s="121"/>
      <c r="K472" s="121"/>
      <c r="L472" s="121"/>
      <c r="M472" s="121"/>
      <c r="N472" s="121"/>
      <c r="O472" s="121"/>
      <c r="P472" s="121"/>
      <c r="Q472" s="121"/>
      <c r="R472" s="121"/>
      <c r="S472" s="121"/>
      <c r="T472" s="121"/>
      <c r="U472" s="121"/>
      <c r="V472" s="121"/>
      <c r="W472" s="121"/>
      <c r="X472" s="121"/>
      <c r="Y472" s="121"/>
      <c r="Z472" s="121"/>
      <c r="AA472" s="121"/>
      <c r="AB472" s="121"/>
    </row>
    <row r="473">
      <c r="A473" s="131"/>
      <c r="B473" s="131"/>
      <c r="C473" s="131"/>
      <c r="D473" s="131"/>
      <c r="E473" s="131"/>
      <c r="F473" s="131"/>
      <c r="G473" s="131"/>
      <c r="H473" s="121"/>
      <c r="I473" s="121"/>
      <c r="J473" s="121"/>
      <c r="K473" s="121"/>
      <c r="L473" s="121"/>
      <c r="M473" s="121"/>
      <c r="N473" s="121"/>
      <c r="O473" s="121"/>
      <c r="P473" s="121"/>
      <c r="Q473" s="121"/>
      <c r="R473" s="121"/>
      <c r="S473" s="121"/>
      <c r="T473" s="121"/>
      <c r="U473" s="121"/>
      <c r="V473" s="121"/>
      <c r="W473" s="121"/>
      <c r="X473" s="121"/>
      <c r="Y473" s="121"/>
      <c r="Z473" s="121"/>
      <c r="AA473" s="121"/>
      <c r="AB473" s="121"/>
    </row>
    <row r="474">
      <c r="A474" s="131"/>
      <c r="B474" s="131"/>
      <c r="C474" s="131"/>
      <c r="D474" s="131"/>
      <c r="E474" s="131"/>
      <c r="F474" s="131"/>
      <c r="G474" s="131"/>
      <c r="H474" s="121"/>
      <c r="I474" s="121"/>
      <c r="J474" s="121"/>
      <c r="K474" s="121"/>
      <c r="L474" s="121"/>
      <c r="M474" s="121"/>
      <c r="N474" s="121"/>
      <c r="O474" s="121"/>
      <c r="P474" s="121"/>
      <c r="Q474" s="121"/>
      <c r="R474" s="121"/>
      <c r="S474" s="121"/>
      <c r="T474" s="121"/>
      <c r="U474" s="121"/>
      <c r="V474" s="121"/>
      <c r="W474" s="121"/>
      <c r="X474" s="121"/>
      <c r="Y474" s="121"/>
      <c r="Z474" s="121"/>
      <c r="AA474" s="121"/>
      <c r="AB474" s="121"/>
    </row>
    <row r="475">
      <c r="A475" s="131"/>
      <c r="B475" s="131"/>
      <c r="C475" s="131"/>
      <c r="D475" s="131"/>
      <c r="E475" s="131"/>
      <c r="F475" s="131"/>
      <c r="G475" s="131"/>
      <c r="H475" s="121"/>
      <c r="I475" s="121"/>
      <c r="J475" s="121"/>
      <c r="K475" s="121"/>
      <c r="L475" s="121"/>
      <c r="M475" s="121"/>
      <c r="N475" s="121"/>
      <c r="O475" s="121"/>
      <c r="P475" s="121"/>
      <c r="Q475" s="121"/>
      <c r="R475" s="121"/>
      <c r="S475" s="121"/>
      <c r="T475" s="121"/>
      <c r="U475" s="121"/>
      <c r="V475" s="121"/>
      <c r="W475" s="121"/>
      <c r="X475" s="121"/>
      <c r="Y475" s="121"/>
      <c r="Z475" s="121"/>
      <c r="AA475" s="121"/>
      <c r="AB475" s="121"/>
    </row>
    <row r="476">
      <c r="A476" s="131"/>
      <c r="B476" s="131"/>
      <c r="C476" s="131"/>
      <c r="D476" s="131"/>
      <c r="E476" s="131"/>
      <c r="F476" s="131"/>
      <c r="G476" s="131"/>
      <c r="H476" s="121"/>
      <c r="I476" s="121"/>
      <c r="J476" s="121"/>
      <c r="K476" s="121"/>
      <c r="L476" s="121"/>
      <c r="M476" s="121"/>
      <c r="N476" s="121"/>
      <c r="O476" s="121"/>
      <c r="P476" s="121"/>
      <c r="Q476" s="121"/>
      <c r="R476" s="121"/>
      <c r="S476" s="121"/>
      <c r="T476" s="121"/>
      <c r="U476" s="121"/>
      <c r="V476" s="121"/>
      <c r="W476" s="121"/>
      <c r="X476" s="121"/>
      <c r="Y476" s="121"/>
      <c r="Z476" s="121"/>
      <c r="AA476" s="121"/>
      <c r="AB476" s="121"/>
    </row>
    <row r="477">
      <c r="A477" s="131"/>
      <c r="B477" s="131"/>
      <c r="C477" s="131"/>
      <c r="D477" s="131"/>
      <c r="E477" s="131"/>
      <c r="F477" s="131"/>
      <c r="G477" s="131"/>
      <c r="H477" s="121"/>
      <c r="I477" s="121"/>
      <c r="J477" s="121"/>
      <c r="K477" s="121"/>
      <c r="L477" s="121"/>
      <c r="M477" s="121"/>
      <c r="N477" s="121"/>
      <c r="O477" s="121"/>
      <c r="P477" s="121"/>
      <c r="Q477" s="121"/>
      <c r="R477" s="121"/>
      <c r="S477" s="121"/>
      <c r="T477" s="121"/>
      <c r="U477" s="121"/>
      <c r="V477" s="121"/>
      <c r="W477" s="121"/>
      <c r="X477" s="121"/>
      <c r="Y477" s="121"/>
      <c r="Z477" s="121"/>
      <c r="AA477" s="121"/>
      <c r="AB477" s="121"/>
    </row>
    <row r="478">
      <c r="A478" s="131"/>
      <c r="B478" s="131"/>
      <c r="C478" s="131"/>
      <c r="D478" s="131"/>
      <c r="E478" s="131"/>
      <c r="F478" s="131"/>
      <c r="G478" s="131"/>
      <c r="H478" s="121"/>
      <c r="I478" s="121"/>
      <c r="J478" s="121"/>
      <c r="K478" s="121"/>
      <c r="L478" s="121"/>
      <c r="M478" s="121"/>
      <c r="N478" s="121"/>
      <c r="O478" s="121"/>
      <c r="P478" s="121"/>
      <c r="Q478" s="121"/>
      <c r="R478" s="121"/>
      <c r="S478" s="121"/>
      <c r="T478" s="121"/>
      <c r="U478" s="121"/>
      <c r="V478" s="121"/>
      <c r="W478" s="121"/>
      <c r="X478" s="121"/>
      <c r="Y478" s="121"/>
      <c r="Z478" s="121"/>
      <c r="AA478" s="121"/>
      <c r="AB478" s="121"/>
    </row>
    <row r="479">
      <c r="A479" s="131"/>
      <c r="B479" s="131"/>
      <c r="C479" s="131"/>
      <c r="D479" s="131"/>
      <c r="E479" s="131"/>
      <c r="F479" s="131"/>
      <c r="G479" s="131"/>
      <c r="H479" s="121"/>
      <c r="I479" s="121"/>
      <c r="J479" s="121"/>
      <c r="K479" s="121"/>
      <c r="L479" s="121"/>
      <c r="M479" s="121"/>
      <c r="N479" s="121"/>
      <c r="O479" s="121"/>
      <c r="P479" s="121"/>
      <c r="Q479" s="121"/>
      <c r="R479" s="121"/>
      <c r="S479" s="121"/>
      <c r="T479" s="121"/>
      <c r="U479" s="121"/>
      <c r="V479" s="121"/>
      <c r="W479" s="121"/>
      <c r="X479" s="121"/>
      <c r="Y479" s="121"/>
      <c r="Z479" s="121"/>
      <c r="AA479" s="121"/>
      <c r="AB479" s="121"/>
    </row>
    <row r="480">
      <c r="A480" s="131"/>
      <c r="B480" s="131"/>
      <c r="C480" s="131"/>
      <c r="D480" s="131"/>
      <c r="E480" s="131"/>
      <c r="F480" s="131"/>
      <c r="G480" s="131"/>
      <c r="H480" s="121"/>
      <c r="I480" s="121"/>
      <c r="J480" s="121"/>
      <c r="K480" s="121"/>
      <c r="L480" s="121"/>
      <c r="M480" s="121"/>
      <c r="N480" s="121"/>
      <c r="O480" s="121"/>
      <c r="P480" s="121"/>
      <c r="Q480" s="121"/>
      <c r="R480" s="121"/>
      <c r="S480" s="121"/>
      <c r="T480" s="121"/>
      <c r="U480" s="121"/>
      <c r="V480" s="121"/>
      <c r="W480" s="121"/>
      <c r="X480" s="121"/>
      <c r="Y480" s="121"/>
      <c r="Z480" s="121"/>
      <c r="AA480" s="121"/>
      <c r="AB480" s="121"/>
    </row>
    <row r="481">
      <c r="A481" s="131"/>
      <c r="B481" s="131"/>
      <c r="C481" s="131"/>
      <c r="D481" s="131"/>
      <c r="E481" s="131"/>
      <c r="F481" s="131"/>
      <c r="G481" s="131"/>
      <c r="H481" s="121"/>
      <c r="I481" s="121"/>
      <c r="J481" s="121"/>
      <c r="K481" s="121"/>
      <c r="L481" s="121"/>
      <c r="M481" s="121"/>
      <c r="N481" s="121"/>
      <c r="O481" s="121"/>
      <c r="P481" s="121"/>
      <c r="Q481" s="121"/>
      <c r="R481" s="121"/>
      <c r="S481" s="121"/>
      <c r="T481" s="121"/>
      <c r="U481" s="121"/>
      <c r="V481" s="121"/>
      <c r="W481" s="121"/>
      <c r="X481" s="121"/>
      <c r="Y481" s="121"/>
      <c r="Z481" s="121"/>
      <c r="AA481" s="121"/>
      <c r="AB481" s="121"/>
    </row>
    <row r="482">
      <c r="A482" s="131"/>
      <c r="B482" s="131"/>
      <c r="C482" s="131"/>
      <c r="D482" s="131"/>
      <c r="E482" s="131"/>
      <c r="F482" s="131"/>
      <c r="G482" s="131"/>
      <c r="H482" s="121"/>
      <c r="I482" s="121"/>
      <c r="J482" s="121"/>
      <c r="K482" s="121"/>
      <c r="L482" s="121"/>
      <c r="M482" s="121"/>
      <c r="N482" s="121"/>
      <c r="O482" s="121"/>
      <c r="P482" s="121"/>
      <c r="Q482" s="121"/>
      <c r="R482" s="121"/>
      <c r="S482" s="121"/>
      <c r="T482" s="121"/>
      <c r="U482" s="121"/>
      <c r="V482" s="121"/>
      <c r="W482" s="121"/>
      <c r="X482" s="121"/>
      <c r="Y482" s="121"/>
      <c r="Z482" s="121"/>
      <c r="AA482" s="121"/>
      <c r="AB482" s="121"/>
    </row>
    <row r="483">
      <c r="A483" s="131"/>
      <c r="B483" s="131"/>
      <c r="C483" s="131"/>
      <c r="D483" s="131"/>
      <c r="E483" s="131"/>
      <c r="F483" s="131"/>
      <c r="G483" s="131"/>
      <c r="H483" s="121"/>
      <c r="I483" s="121"/>
      <c r="J483" s="121"/>
      <c r="K483" s="121"/>
      <c r="L483" s="121"/>
      <c r="M483" s="121"/>
      <c r="N483" s="121"/>
      <c r="O483" s="121"/>
      <c r="P483" s="121"/>
      <c r="Q483" s="121"/>
      <c r="R483" s="121"/>
      <c r="S483" s="121"/>
      <c r="T483" s="121"/>
      <c r="U483" s="121"/>
      <c r="V483" s="121"/>
      <c r="W483" s="121"/>
      <c r="X483" s="121"/>
      <c r="Y483" s="121"/>
      <c r="Z483" s="121"/>
      <c r="AA483" s="121"/>
      <c r="AB483" s="121"/>
    </row>
    <row r="484">
      <c r="A484" s="131"/>
      <c r="B484" s="131"/>
      <c r="C484" s="131"/>
      <c r="D484" s="131"/>
      <c r="E484" s="131"/>
      <c r="F484" s="131"/>
      <c r="G484" s="131"/>
      <c r="H484" s="121"/>
      <c r="I484" s="121"/>
      <c r="J484" s="121"/>
      <c r="K484" s="121"/>
      <c r="L484" s="121"/>
      <c r="M484" s="121"/>
      <c r="N484" s="121"/>
      <c r="O484" s="121"/>
      <c r="P484" s="121"/>
      <c r="Q484" s="121"/>
      <c r="R484" s="121"/>
      <c r="S484" s="121"/>
      <c r="T484" s="121"/>
      <c r="U484" s="121"/>
      <c r="V484" s="121"/>
      <c r="W484" s="121"/>
      <c r="X484" s="121"/>
      <c r="Y484" s="121"/>
      <c r="Z484" s="121"/>
      <c r="AA484" s="121"/>
      <c r="AB484" s="121"/>
    </row>
    <row r="485">
      <c r="A485" s="131"/>
      <c r="B485" s="131"/>
      <c r="C485" s="131"/>
      <c r="D485" s="131"/>
      <c r="E485" s="131"/>
      <c r="F485" s="131"/>
      <c r="G485" s="131"/>
      <c r="H485" s="121"/>
      <c r="I485" s="121"/>
      <c r="J485" s="121"/>
      <c r="K485" s="121"/>
      <c r="L485" s="121"/>
      <c r="M485" s="121"/>
      <c r="N485" s="121"/>
      <c r="O485" s="121"/>
      <c r="P485" s="121"/>
      <c r="Q485" s="121"/>
      <c r="R485" s="121"/>
      <c r="S485" s="121"/>
      <c r="T485" s="121"/>
      <c r="U485" s="121"/>
      <c r="V485" s="121"/>
      <c r="W485" s="121"/>
      <c r="X485" s="121"/>
      <c r="Y485" s="121"/>
      <c r="Z485" s="121"/>
      <c r="AA485" s="121"/>
      <c r="AB485" s="121"/>
    </row>
    <row r="486">
      <c r="A486" s="131"/>
      <c r="B486" s="131"/>
      <c r="C486" s="131"/>
      <c r="D486" s="131"/>
      <c r="E486" s="131"/>
      <c r="F486" s="131"/>
      <c r="G486" s="131"/>
      <c r="H486" s="121"/>
      <c r="I486" s="121"/>
      <c r="J486" s="121"/>
      <c r="K486" s="121"/>
      <c r="L486" s="121"/>
      <c r="M486" s="121"/>
      <c r="N486" s="121"/>
      <c r="O486" s="121"/>
      <c r="P486" s="121"/>
      <c r="Q486" s="121"/>
      <c r="R486" s="121"/>
      <c r="S486" s="121"/>
      <c r="T486" s="121"/>
      <c r="U486" s="121"/>
      <c r="V486" s="121"/>
      <c r="W486" s="121"/>
      <c r="X486" s="121"/>
      <c r="Y486" s="121"/>
      <c r="Z486" s="121"/>
      <c r="AA486" s="121"/>
      <c r="AB486" s="121"/>
    </row>
    <row r="487">
      <c r="A487" s="131"/>
      <c r="B487" s="131"/>
      <c r="C487" s="131"/>
      <c r="D487" s="131"/>
      <c r="E487" s="131"/>
      <c r="F487" s="131"/>
      <c r="G487" s="131"/>
      <c r="H487" s="121"/>
      <c r="I487" s="121"/>
      <c r="J487" s="121"/>
      <c r="K487" s="121"/>
      <c r="L487" s="121"/>
      <c r="M487" s="121"/>
      <c r="N487" s="121"/>
      <c r="O487" s="121"/>
      <c r="P487" s="121"/>
      <c r="Q487" s="121"/>
      <c r="R487" s="121"/>
      <c r="S487" s="121"/>
      <c r="T487" s="121"/>
      <c r="U487" s="121"/>
      <c r="V487" s="121"/>
      <c r="W487" s="121"/>
      <c r="X487" s="121"/>
      <c r="Y487" s="121"/>
      <c r="Z487" s="121"/>
      <c r="AA487" s="121"/>
      <c r="AB487" s="121"/>
    </row>
    <row r="488">
      <c r="A488" s="131"/>
      <c r="B488" s="131"/>
      <c r="C488" s="131"/>
      <c r="D488" s="131"/>
      <c r="E488" s="131"/>
      <c r="F488" s="131"/>
      <c r="G488" s="131"/>
      <c r="H488" s="121"/>
      <c r="I488" s="121"/>
      <c r="J488" s="121"/>
      <c r="K488" s="121"/>
      <c r="L488" s="121"/>
      <c r="M488" s="121"/>
      <c r="N488" s="121"/>
      <c r="O488" s="121"/>
      <c r="P488" s="121"/>
      <c r="Q488" s="121"/>
      <c r="R488" s="121"/>
      <c r="S488" s="121"/>
      <c r="T488" s="121"/>
      <c r="U488" s="121"/>
      <c r="V488" s="121"/>
      <c r="W488" s="121"/>
      <c r="X488" s="121"/>
      <c r="Y488" s="121"/>
      <c r="Z488" s="121"/>
      <c r="AA488" s="121"/>
      <c r="AB488" s="121"/>
    </row>
    <row r="489">
      <c r="A489" s="131"/>
      <c r="B489" s="131"/>
      <c r="C489" s="131"/>
      <c r="D489" s="131"/>
      <c r="E489" s="131"/>
      <c r="F489" s="131"/>
      <c r="G489" s="131"/>
      <c r="H489" s="121"/>
      <c r="I489" s="121"/>
      <c r="J489" s="121"/>
      <c r="K489" s="121"/>
      <c r="L489" s="121"/>
      <c r="M489" s="121"/>
      <c r="N489" s="121"/>
      <c r="O489" s="121"/>
      <c r="P489" s="121"/>
      <c r="Q489" s="121"/>
      <c r="R489" s="121"/>
      <c r="S489" s="121"/>
      <c r="T489" s="121"/>
      <c r="U489" s="121"/>
      <c r="V489" s="121"/>
      <c r="W489" s="121"/>
      <c r="X489" s="121"/>
      <c r="Y489" s="121"/>
      <c r="Z489" s="121"/>
      <c r="AA489" s="121"/>
      <c r="AB489" s="121"/>
    </row>
    <row r="490">
      <c r="A490" s="131"/>
      <c r="B490" s="131"/>
      <c r="C490" s="131"/>
      <c r="D490" s="131"/>
      <c r="E490" s="131"/>
      <c r="F490" s="131"/>
      <c r="G490" s="131"/>
      <c r="H490" s="121"/>
      <c r="I490" s="121"/>
      <c r="J490" s="121"/>
      <c r="K490" s="121"/>
      <c r="L490" s="121"/>
      <c r="M490" s="121"/>
      <c r="N490" s="121"/>
      <c r="O490" s="121"/>
      <c r="P490" s="121"/>
      <c r="Q490" s="121"/>
      <c r="R490" s="121"/>
      <c r="S490" s="121"/>
      <c r="T490" s="121"/>
      <c r="U490" s="121"/>
      <c r="V490" s="121"/>
      <c r="W490" s="121"/>
      <c r="X490" s="121"/>
      <c r="Y490" s="121"/>
      <c r="Z490" s="121"/>
      <c r="AA490" s="121"/>
      <c r="AB490" s="121"/>
    </row>
    <row r="491">
      <c r="A491" s="131"/>
      <c r="B491" s="131"/>
      <c r="C491" s="131"/>
      <c r="D491" s="131"/>
      <c r="E491" s="131"/>
      <c r="F491" s="131"/>
      <c r="G491" s="131"/>
      <c r="H491" s="121"/>
      <c r="I491" s="121"/>
      <c r="J491" s="121"/>
      <c r="K491" s="121"/>
      <c r="L491" s="121"/>
      <c r="M491" s="121"/>
      <c r="N491" s="121"/>
      <c r="O491" s="121"/>
      <c r="P491" s="121"/>
      <c r="Q491" s="121"/>
      <c r="R491" s="121"/>
      <c r="S491" s="121"/>
      <c r="T491" s="121"/>
      <c r="U491" s="121"/>
      <c r="V491" s="121"/>
      <c r="W491" s="121"/>
      <c r="X491" s="121"/>
      <c r="Y491" s="121"/>
      <c r="Z491" s="121"/>
      <c r="AA491" s="121"/>
      <c r="AB491" s="121"/>
    </row>
    <row r="492">
      <c r="A492" s="131"/>
      <c r="B492" s="131"/>
      <c r="C492" s="131"/>
      <c r="D492" s="131"/>
      <c r="E492" s="131"/>
      <c r="F492" s="131"/>
      <c r="G492" s="131"/>
      <c r="H492" s="121"/>
      <c r="I492" s="121"/>
      <c r="J492" s="121"/>
      <c r="K492" s="121"/>
      <c r="L492" s="121"/>
      <c r="M492" s="121"/>
      <c r="N492" s="121"/>
      <c r="O492" s="121"/>
      <c r="P492" s="121"/>
      <c r="Q492" s="121"/>
      <c r="R492" s="121"/>
      <c r="S492" s="121"/>
      <c r="T492" s="121"/>
      <c r="U492" s="121"/>
      <c r="V492" s="121"/>
      <c r="W492" s="121"/>
      <c r="X492" s="121"/>
      <c r="Y492" s="121"/>
      <c r="Z492" s="121"/>
      <c r="AA492" s="121"/>
      <c r="AB492" s="121"/>
    </row>
    <row r="493">
      <c r="A493" s="131"/>
      <c r="B493" s="131"/>
      <c r="C493" s="131"/>
      <c r="D493" s="131"/>
      <c r="E493" s="131"/>
      <c r="F493" s="131"/>
      <c r="G493" s="131"/>
      <c r="H493" s="121"/>
      <c r="I493" s="121"/>
      <c r="J493" s="121"/>
      <c r="K493" s="121"/>
      <c r="L493" s="121"/>
      <c r="M493" s="121"/>
      <c r="N493" s="121"/>
      <c r="O493" s="121"/>
      <c r="P493" s="121"/>
      <c r="Q493" s="121"/>
      <c r="R493" s="121"/>
      <c r="S493" s="121"/>
      <c r="T493" s="121"/>
      <c r="U493" s="121"/>
      <c r="V493" s="121"/>
      <c r="W493" s="121"/>
      <c r="X493" s="121"/>
      <c r="Y493" s="121"/>
      <c r="Z493" s="121"/>
      <c r="AA493" s="121"/>
      <c r="AB493" s="121"/>
    </row>
    <row r="494">
      <c r="A494" s="131"/>
      <c r="B494" s="131"/>
      <c r="C494" s="131"/>
      <c r="D494" s="131"/>
      <c r="E494" s="131"/>
      <c r="F494" s="131"/>
      <c r="G494" s="131"/>
      <c r="H494" s="121"/>
      <c r="I494" s="121"/>
      <c r="J494" s="121"/>
      <c r="K494" s="121"/>
      <c r="L494" s="121"/>
      <c r="M494" s="121"/>
      <c r="N494" s="121"/>
      <c r="O494" s="121"/>
      <c r="P494" s="121"/>
      <c r="Q494" s="121"/>
      <c r="R494" s="121"/>
      <c r="S494" s="121"/>
      <c r="T494" s="121"/>
      <c r="U494" s="121"/>
      <c r="V494" s="121"/>
      <c r="W494" s="121"/>
      <c r="X494" s="121"/>
      <c r="Y494" s="121"/>
      <c r="Z494" s="121"/>
      <c r="AA494" s="121"/>
      <c r="AB494" s="121"/>
    </row>
    <row r="495">
      <c r="A495" s="131"/>
      <c r="B495" s="131"/>
      <c r="C495" s="131"/>
      <c r="D495" s="131"/>
      <c r="E495" s="131"/>
      <c r="F495" s="131"/>
      <c r="G495" s="131"/>
      <c r="H495" s="121"/>
      <c r="I495" s="121"/>
      <c r="J495" s="121"/>
      <c r="K495" s="121"/>
      <c r="L495" s="121"/>
      <c r="M495" s="121"/>
      <c r="N495" s="121"/>
      <c r="O495" s="121"/>
      <c r="P495" s="121"/>
      <c r="Q495" s="121"/>
      <c r="R495" s="121"/>
      <c r="S495" s="121"/>
      <c r="T495" s="121"/>
      <c r="U495" s="121"/>
      <c r="V495" s="121"/>
      <c r="W495" s="121"/>
      <c r="X495" s="121"/>
      <c r="Y495" s="121"/>
      <c r="Z495" s="121"/>
      <c r="AA495" s="121"/>
      <c r="AB495" s="121"/>
    </row>
    <row r="496">
      <c r="A496" s="131"/>
      <c r="B496" s="131"/>
      <c r="C496" s="131"/>
      <c r="D496" s="131"/>
      <c r="E496" s="131"/>
      <c r="F496" s="131"/>
      <c r="G496" s="131"/>
      <c r="H496" s="121"/>
      <c r="I496" s="121"/>
      <c r="J496" s="121"/>
      <c r="K496" s="121"/>
      <c r="L496" s="121"/>
      <c r="M496" s="121"/>
      <c r="N496" s="121"/>
      <c r="O496" s="121"/>
      <c r="P496" s="121"/>
      <c r="Q496" s="121"/>
      <c r="R496" s="121"/>
      <c r="S496" s="121"/>
      <c r="T496" s="121"/>
      <c r="U496" s="121"/>
      <c r="V496" s="121"/>
      <c r="W496" s="121"/>
      <c r="X496" s="121"/>
      <c r="Y496" s="121"/>
      <c r="Z496" s="121"/>
      <c r="AA496" s="121"/>
      <c r="AB496" s="121"/>
    </row>
    <row r="497">
      <c r="A497" s="131"/>
      <c r="B497" s="131"/>
      <c r="C497" s="131"/>
      <c r="D497" s="131"/>
      <c r="E497" s="131"/>
      <c r="F497" s="131"/>
      <c r="G497" s="131"/>
      <c r="H497" s="121"/>
      <c r="I497" s="121"/>
      <c r="J497" s="121"/>
      <c r="K497" s="121"/>
      <c r="L497" s="121"/>
      <c r="M497" s="121"/>
      <c r="N497" s="121"/>
      <c r="O497" s="121"/>
      <c r="P497" s="121"/>
      <c r="Q497" s="121"/>
      <c r="R497" s="121"/>
      <c r="S497" s="121"/>
      <c r="T497" s="121"/>
      <c r="U497" s="121"/>
      <c r="V497" s="121"/>
      <c r="W497" s="121"/>
      <c r="X497" s="121"/>
      <c r="Y497" s="121"/>
      <c r="Z497" s="121"/>
      <c r="AA497" s="121"/>
      <c r="AB497" s="121"/>
    </row>
    <row r="498">
      <c r="A498" s="131"/>
      <c r="B498" s="131"/>
      <c r="C498" s="131"/>
      <c r="D498" s="131"/>
      <c r="E498" s="131"/>
      <c r="F498" s="131"/>
      <c r="G498" s="131"/>
      <c r="H498" s="121"/>
      <c r="I498" s="121"/>
      <c r="J498" s="121"/>
      <c r="K498" s="121"/>
      <c r="L498" s="121"/>
      <c r="M498" s="121"/>
      <c r="N498" s="121"/>
      <c r="O498" s="121"/>
      <c r="P498" s="121"/>
      <c r="Q498" s="121"/>
      <c r="R498" s="121"/>
      <c r="S498" s="121"/>
      <c r="T498" s="121"/>
      <c r="U498" s="121"/>
      <c r="V498" s="121"/>
      <c r="W498" s="121"/>
      <c r="X498" s="121"/>
      <c r="Y498" s="121"/>
      <c r="Z498" s="121"/>
      <c r="AA498" s="121"/>
      <c r="AB498" s="121"/>
    </row>
    <row r="499">
      <c r="A499" s="131"/>
      <c r="B499" s="131"/>
      <c r="C499" s="131"/>
      <c r="D499" s="131"/>
      <c r="E499" s="131"/>
      <c r="F499" s="131"/>
      <c r="G499" s="131"/>
      <c r="H499" s="121"/>
      <c r="I499" s="121"/>
      <c r="J499" s="121"/>
      <c r="K499" s="121"/>
      <c r="L499" s="121"/>
      <c r="M499" s="121"/>
      <c r="N499" s="121"/>
      <c r="O499" s="121"/>
      <c r="P499" s="121"/>
      <c r="Q499" s="121"/>
      <c r="R499" s="121"/>
      <c r="S499" s="121"/>
      <c r="T499" s="121"/>
      <c r="U499" s="121"/>
      <c r="V499" s="121"/>
      <c r="W499" s="121"/>
      <c r="X499" s="121"/>
      <c r="Y499" s="121"/>
      <c r="Z499" s="121"/>
      <c r="AA499" s="121"/>
      <c r="AB499" s="121"/>
    </row>
    <row r="500">
      <c r="A500" s="131"/>
      <c r="B500" s="131"/>
      <c r="C500" s="131"/>
      <c r="D500" s="131"/>
      <c r="E500" s="131"/>
      <c r="F500" s="131"/>
      <c r="G500" s="131"/>
      <c r="H500" s="121"/>
      <c r="I500" s="121"/>
      <c r="J500" s="121"/>
      <c r="K500" s="121"/>
      <c r="L500" s="121"/>
      <c r="M500" s="121"/>
      <c r="N500" s="121"/>
      <c r="O500" s="121"/>
      <c r="P500" s="121"/>
      <c r="Q500" s="121"/>
      <c r="R500" s="121"/>
      <c r="S500" s="121"/>
      <c r="T500" s="121"/>
      <c r="U500" s="121"/>
      <c r="V500" s="121"/>
      <c r="W500" s="121"/>
      <c r="X500" s="121"/>
      <c r="Y500" s="121"/>
      <c r="Z500" s="121"/>
      <c r="AA500" s="121"/>
      <c r="AB500" s="121"/>
    </row>
    <row r="501">
      <c r="A501" s="131"/>
      <c r="B501" s="131"/>
      <c r="C501" s="131"/>
      <c r="D501" s="131"/>
      <c r="E501" s="131"/>
      <c r="F501" s="131"/>
      <c r="G501" s="131"/>
      <c r="H501" s="121"/>
      <c r="I501" s="121"/>
      <c r="J501" s="121"/>
      <c r="K501" s="121"/>
      <c r="L501" s="121"/>
      <c r="M501" s="121"/>
      <c r="N501" s="121"/>
      <c r="O501" s="121"/>
      <c r="P501" s="121"/>
      <c r="Q501" s="121"/>
      <c r="R501" s="121"/>
      <c r="S501" s="121"/>
      <c r="T501" s="121"/>
      <c r="U501" s="121"/>
      <c r="V501" s="121"/>
      <c r="W501" s="121"/>
      <c r="X501" s="121"/>
      <c r="Y501" s="121"/>
      <c r="Z501" s="121"/>
      <c r="AA501" s="121"/>
      <c r="AB501" s="121"/>
    </row>
    <row r="502">
      <c r="A502" s="131"/>
      <c r="B502" s="131"/>
      <c r="C502" s="131"/>
      <c r="D502" s="131"/>
      <c r="E502" s="131"/>
      <c r="F502" s="131"/>
      <c r="G502" s="131"/>
      <c r="H502" s="121"/>
      <c r="I502" s="121"/>
      <c r="J502" s="121"/>
      <c r="K502" s="121"/>
      <c r="L502" s="121"/>
      <c r="M502" s="121"/>
      <c r="N502" s="121"/>
      <c r="O502" s="121"/>
      <c r="P502" s="121"/>
      <c r="Q502" s="121"/>
      <c r="R502" s="121"/>
      <c r="S502" s="121"/>
      <c r="T502" s="121"/>
      <c r="U502" s="121"/>
      <c r="V502" s="121"/>
      <c r="W502" s="121"/>
      <c r="X502" s="121"/>
      <c r="Y502" s="121"/>
      <c r="Z502" s="121"/>
      <c r="AA502" s="121"/>
      <c r="AB502" s="121"/>
    </row>
    <row r="503">
      <c r="A503" s="131"/>
      <c r="B503" s="131"/>
      <c r="C503" s="131"/>
      <c r="D503" s="131"/>
      <c r="E503" s="131"/>
      <c r="F503" s="131"/>
      <c r="G503" s="131"/>
      <c r="H503" s="121"/>
      <c r="I503" s="121"/>
      <c r="J503" s="121"/>
      <c r="K503" s="121"/>
      <c r="L503" s="121"/>
      <c r="M503" s="121"/>
      <c r="N503" s="121"/>
      <c r="O503" s="121"/>
      <c r="P503" s="121"/>
      <c r="Q503" s="121"/>
      <c r="R503" s="121"/>
      <c r="S503" s="121"/>
      <c r="T503" s="121"/>
      <c r="U503" s="121"/>
      <c r="V503" s="121"/>
      <c r="W503" s="121"/>
      <c r="X503" s="121"/>
      <c r="Y503" s="121"/>
      <c r="Z503" s="121"/>
      <c r="AA503" s="121"/>
      <c r="AB503" s="121"/>
    </row>
    <row r="504">
      <c r="A504" s="131"/>
      <c r="B504" s="131"/>
      <c r="C504" s="131"/>
      <c r="D504" s="131"/>
      <c r="E504" s="131"/>
      <c r="F504" s="131"/>
      <c r="G504" s="131"/>
      <c r="H504" s="121"/>
      <c r="I504" s="121"/>
      <c r="J504" s="121"/>
      <c r="K504" s="121"/>
      <c r="L504" s="121"/>
      <c r="M504" s="121"/>
      <c r="N504" s="121"/>
      <c r="O504" s="121"/>
      <c r="P504" s="121"/>
      <c r="Q504" s="121"/>
      <c r="R504" s="121"/>
      <c r="S504" s="121"/>
      <c r="T504" s="121"/>
      <c r="U504" s="121"/>
      <c r="V504" s="121"/>
      <c r="W504" s="121"/>
      <c r="X504" s="121"/>
      <c r="Y504" s="121"/>
      <c r="Z504" s="121"/>
      <c r="AA504" s="121"/>
      <c r="AB504" s="121"/>
    </row>
    <row r="505">
      <c r="A505" s="131"/>
      <c r="B505" s="131"/>
      <c r="C505" s="131"/>
      <c r="D505" s="131"/>
      <c r="E505" s="131"/>
      <c r="F505" s="131"/>
      <c r="G505" s="131"/>
      <c r="H505" s="121"/>
      <c r="I505" s="121"/>
      <c r="J505" s="121"/>
      <c r="K505" s="121"/>
      <c r="L505" s="121"/>
      <c r="M505" s="121"/>
      <c r="N505" s="121"/>
      <c r="O505" s="121"/>
      <c r="P505" s="121"/>
      <c r="Q505" s="121"/>
      <c r="R505" s="121"/>
      <c r="S505" s="121"/>
      <c r="T505" s="121"/>
      <c r="U505" s="121"/>
      <c r="V505" s="121"/>
      <c r="W505" s="121"/>
      <c r="X505" s="121"/>
      <c r="Y505" s="121"/>
      <c r="Z505" s="121"/>
      <c r="AA505" s="121"/>
      <c r="AB505" s="121"/>
    </row>
    <row r="506">
      <c r="A506" s="131"/>
      <c r="B506" s="131"/>
      <c r="C506" s="131"/>
      <c r="D506" s="131"/>
      <c r="E506" s="131"/>
      <c r="F506" s="131"/>
      <c r="G506" s="131"/>
      <c r="H506" s="121"/>
      <c r="I506" s="121"/>
      <c r="J506" s="121"/>
      <c r="K506" s="121"/>
      <c r="L506" s="121"/>
      <c r="M506" s="121"/>
      <c r="N506" s="121"/>
      <c r="O506" s="121"/>
      <c r="P506" s="121"/>
      <c r="Q506" s="121"/>
      <c r="R506" s="121"/>
      <c r="S506" s="121"/>
      <c r="T506" s="121"/>
      <c r="U506" s="121"/>
      <c r="V506" s="121"/>
      <c r="W506" s="121"/>
      <c r="X506" s="121"/>
      <c r="Y506" s="121"/>
      <c r="Z506" s="121"/>
      <c r="AA506" s="121"/>
      <c r="AB506" s="121"/>
    </row>
    <row r="507">
      <c r="A507" s="131"/>
      <c r="B507" s="131"/>
      <c r="C507" s="131"/>
      <c r="D507" s="131"/>
      <c r="E507" s="131"/>
      <c r="F507" s="131"/>
      <c r="G507" s="131"/>
      <c r="H507" s="121"/>
      <c r="I507" s="121"/>
      <c r="J507" s="121"/>
      <c r="K507" s="121"/>
      <c r="L507" s="121"/>
      <c r="M507" s="121"/>
      <c r="N507" s="121"/>
      <c r="O507" s="121"/>
      <c r="P507" s="121"/>
      <c r="Q507" s="121"/>
      <c r="R507" s="121"/>
      <c r="S507" s="121"/>
      <c r="T507" s="121"/>
      <c r="U507" s="121"/>
      <c r="V507" s="121"/>
      <c r="W507" s="121"/>
      <c r="X507" s="121"/>
      <c r="Y507" s="121"/>
      <c r="Z507" s="121"/>
      <c r="AA507" s="121"/>
      <c r="AB507" s="121"/>
    </row>
    <row r="508">
      <c r="A508" s="131"/>
      <c r="B508" s="131"/>
      <c r="C508" s="131"/>
      <c r="D508" s="131"/>
      <c r="E508" s="131"/>
      <c r="F508" s="131"/>
      <c r="G508" s="131"/>
      <c r="H508" s="121"/>
      <c r="I508" s="121"/>
      <c r="J508" s="121"/>
      <c r="K508" s="121"/>
      <c r="L508" s="121"/>
      <c r="M508" s="121"/>
      <c r="N508" s="121"/>
      <c r="O508" s="121"/>
      <c r="P508" s="121"/>
      <c r="Q508" s="121"/>
      <c r="R508" s="121"/>
      <c r="S508" s="121"/>
      <c r="T508" s="121"/>
      <c r="U508" s="121"/>
      <c r="V508" s="121"/>
      <c r="W508" s="121"/>
      <c r="X508" s="121"/>
      <c r="Y508" s="121"/>
      <c r="Z508" s="121"/>
      <c r="AA508" s="121"/>
      <c r="AB508" s="121"/>
    </row>
    <row r="509">
      <c r="A509" s="131"/>
      <c r="B509" s="131"/>
      <c r="C509" s="131"/>
      <c r="D509" s="131"/>
      <c r="E509" s="131"/>
      <c r="F509" s="131"/>
      <c r="G509" s="131"/>
      <c r="H509" s="121"/>
      <c r="I509" s="121"/>
      <c r="J509" s="121"/>
      <c r="K509" s="121"/>
      <c r="L509" s="121"/>
      <c r="M509" s="121"/>
      <c r="N509" s="121"/>
      <c r="O509" s="121"/>
      <c r="P509" s="121"/>
      <c r="Q509" s="121"/>
      <c r="R509" s="121"/>
      <c r="S509" s="121"/>
      <c r="T509" s="121"/>
      <c r="U509" s="121"/>
      <c r="V509" s="121"/>
      <c r="W509" s="121"/>
      <c r="X509" s="121"/>
      <c r="Y509" s="121"/>
      <c r="Z509" s="121"/>
      <c r="AA509" s="121"/>
      <c r="AB509" s="121"/>
    </row>
    <row r="510">
      <c r="A510" s="131"/>
      <c r="B510" s="131"/>
      <c r="C510" s="131"/>
      <c r="D510" s="131"/>
      <c r="E510" s="131"/>
      <c r="F510" s="131"/>
      <c r="G510" s="131"/>
      <c r="H510" s="121"/>
      <c r="I510" s="121"/>
      <c r="J510" s="121"/>
      <c r="K510" s="121"/>
      <c r="L510" s="121"/>
      <c r="M510" s="121"/>
      <c r="N510" s="121"/>
      <c r="O510" s="121"/>
      <c r="P510" s="121"/>
      <c r="Q510" s="121"/>
      <c r="R510" s="121"/>
      <c r="S510" s="121"/>
      <c r="T510" s="121"/>
      <c r="U510" s="121"/>
      <c r="V510" s="121"/>
      <c r="W510" s="121"/>
      <c r="X510" s="121"/>
      <c r="Y510" s="121"/>
      <c r="Z510" s="121"/>
      <c r="AA510" s="121"/>
      <c r="AB510" s="121"/>
    </row>
    <row r="511">
      <c r="A511" s="131"/>
      <c r="B511" s="131"/>
      <c r="C511" s="131"/>
      <c r="D511" s="131"/>
      <c r="E511" s="131"/>
      <c r="F511" s="131"/>
      <c r="G511" s="131"/>
      <c r="H511" s="121"/>
      <c r="I511" s="121"/>
      <c r="J511" s="121"/>
      <c r="K511" s="121"/>
      <c r="L511" s="121"/>
      <c r="M511" s="121"/>
      <c r="N511" s="121"/>
      <c r="O511" s="121"/>
      <c r="P511" s="121"/>
      <c r="Q511" s="121"/>
      <c r="R511" s="121"/>
      <c r="S511" s="121"/>
      <c r="T511" s="121"/>
      <c r="U511" s="121"/>
      <c r="V511" s="121"/>
      <c r="W511" s="121"/>
      <c r="X511" s="121"/>
      <c r="Y511" s="121"/>
      <c r="Z511" s="121"/>
      <c r="AA511" s="121"/>
      <c r="AB511" s="121"/>
    </row>
    <row r="512">
      <c r="A512" s="131"/>
      <c r="B512" s="131"/>
      <c r="C512" s="131"/>
      <c r="D512" s="131"/>
      <c r="E512" s="131"/>
      <c r="F512" s="131"/>
      <c r="G512" s="131"/>
      <c r="H512" s="121"/>
      <c r="I512" s="121"/>
      <c r="J512" s="121"/>
      <c r="K512" s="121"/>
      <c r="L512" s="121"/>
      <c r="M512" s="121"/>
      <c r="N512" s="121"/>
      <c r="O512" s="121"/>
      <c r="P512" s="121"/>
      <c r="Q512" s="121"/>
      <c r="R512" s="121"/>
      <c r="S512" s="121"/>
      <c r="T512" s="121"/>
      <c r="U512" s="121"/>
      <c r="V512" s="121"/>
      <c r="W512" s="121"/>
      <c r="X512" s="121"/>
      <c r="Y512" s="121"/>
      <c r="Z512" s="121"/>
      <c r="AA512" s="121"/>
      <c r="AB512" s="121"/>
    </row>
    <row r="513">
      <c r="A513" s="131"/>
      <c r="B513" s="131"/>
      <c r="C513" s="131"/>
      <c r="D513" s="131"/>
      <c r="E513" s="131"/>
      <c r="F513" s="131"/>
      <c r="G513" s="131"/>
      <c r="H513" s="121"/>
      <c r="I513" s="121"/>
      <c r="J513" s="121"/>
      <c r="K513" s="121"/>
      <c r="L513" s="121"/>
      <c r="M513" s="121"/>
      <c r="N513" s="121"/>
      <c r="O513" s="121"/>
      <c r="P513" s="121"/>
      <c r="Q513" s="121"/>
      <c r="R513" s="121"/>
      <c r="S513" s="121"/>
      <c r="T513" s="121"/>
      <c r="U513" s="121"/>
      <c r="V513" s="121"/>
      <c r="W513" s="121"/>
      <c r="X513" s="121"/>
      <c r="Y513" s="121"/>
      <c r="Z513" s="121"/>
      <c r="AA513" s="121"/>
      <c r="AB513" s="121"/>
    </row>
    <row r="514">
      <c r="A514" s="131"/>
      <c r="B514" s="131"/>
      <c r="C514" s="131"/>
      <c r="D514" s="131"/>
      <c r="E514" s="131"/>
      <c r="F514" s="131"/>
      <c r="G514" s="131"/>
      <c r="H514" s="121"/>
      <c r="I514" s="121"/>
      <c r="J514" s="121"/>
      <c r="K514" s="121"/>
      <c r="L514" s="121"/>
      <c r="M514" s="121"/>
      <c r="N514" s="121"/>
      <c r="O514" s="121"/>
      <c r="P514" s="121"/>
      <c r="Q514" s="121"/>
      <c r="R514" s="121"/>
      <c r="S514" s="121"/>
      <c r="T514" s="121"/>
      <c r="U514" s="121"/>
      <c r="V514" s="121"/>
      <c r="W514" s="121"/>
      <c r="X514" s="121"/>
      <c r="Y514" s="121"/>
      <c r="Z514" s="121"/>
      <c r="AA514" s="121"/>
      <c r="AB514" s="121"/>
    </row>
    <row r="515">
      <c r="A515" s="131"/>
      <c r="B515" s="131"/>
      <c r="C515" s="131"/>
      <c r="D515" s="131"/>
      <c r="E515" s="131"/>
      <c r="F515" s="131"/>
      <c r="G515" s="131"/>
      <c r="H515" s="121"/>
      <c r="I515" s="121"/>
      <c r="J515" s="121"/>
      <c r="K515" s="121"/>
      <c r="L515" s="121"/>
      <c r="M515" s="121"/>
      <c r="N515" s="121"/>
      <c r="O515" s="121"/>
      <c r="P515" s="121"/>
      <c r="Q515" s="121"/>
      <c r="R515" s="121"/>
      <c r="S515" s="121"/>
      <c r="T515" s="121"/>
      <c r="U515" s="121"/>
      <c r="V515" s="121"/>
      <c r="W515" s="121"/>
      <c r="X515" s="121"/>
      <c r="Y515" s="121"/>
      <c r="Z515" s="121"/>
      <c r="AA515" s="121"/>
      <c r="AB515" s="121"/>
    </row>
    <row r="516">
      <c r="A516" s="131"/>
      <c r="B516" s="131"/>
      <c r="C516" s="131"/>
      <c r="D516" s="131"/>
      <c r="E516" s="131"/>
      <c r="F516" s="131"/>
      <c r="G516" s="131"/>
      <c r="H516" s="121"/>
      <c r="I516" s="121"/>
      <c r="J516" s="121"/>
      <c r="K516" s="121"/>
      <c r="L516" s="121"/>
      <c r="M516" s="121"/>
      <c r="N516" s="121"/>
      <c r="O516" s="121"/>
      <c r="P516" s="121"/>
      <c r="Q516" s="121"/>
      <c r="R516" s="121"/>
      <c r="S516" s="121"/>
      <c r="T516" s="121"/>
      <c r="U516" s="121"/>
      <c r="V516" s="121"/>
      <c r="W516" s="121"/>
      <c r="X516" s="121"/>
      <c r="Y516" s="121"/>
      <c r="Z516" s="121"/>
      <c r="AA516" s="121"/>
      <c r="AB516" s="121"/>
    </row>
    <row r="517">
      <c r="A517" s="131"/>
      <c r="B517" s="131"/>
      <c r="C517" s="131"/>
      <c r="D517" s="131"/>
      <c r="E517" s="131"/>
      <c r="F517" s="131"/>
      <c r="G517" s="131"/>
      <c r="H517" s="121"/>
      <c r="I517" s="121"/>
      <c r="J517" s="121"/>
      <c r="K517" s="121"/>
      <c r="L517" s="121"/>
      <c r="M517" s="121"/>
      <c r="N517" s="121"/>
      <c r="O517" s="121"/>
      <c r="P517" s="121"/>
      <c r="Q517" s="121"/>
      <c r="R517" s="121"/>
      <c r="S517" s="121"/>
      <c r="T517" s="121"/>
      <c r="U517" s="121"/>
      <c r="V517" s="121"/>
      <c r="W517" s="121"/>
      <c r="X517" s="121"/>
      <c r="Y517" s="121"/>
      <c r="Z517" s="121"/>
      <c r="AA517" s="121"/>
      <c r="AB517" s="121"/>
    </row>
    <row r="518">
      <c r="A518" s="131"/>
      <c r="B518" s="131"/>
      <c r="C518" s="131"/>
      <c r="D518" s="131"/>
      <c r="E518" s="131"/>
      <c r="F518" s="131"/>
      <c r="G518" s="131"/>
      <c r="H518" s="121"/>
      <c r="I518" s="121"/>
      <c r="J518" s="121"/>
      <c r="K518" s="121"/>
      <c r="L518" s="121"/>
      <c r="M518" s="121"/>
      <c r="N518" s="121"/>
      <c r="O518" s="121"/>
      <c r="P518" s="121"/>
      <c r="Q518" s="121"/>
      <c r="R518" s="121"/>
      <c r="S518" s="121"/>
      <c r="T518" s="121"/>
      <c r="U518" s="121"/>
      <c r="V518" s="121"/>
      <c r="W518" s="121"/>
      <c r="X518" s="121"/>
      <c r="Y518" s="121"/>
      <c r="Z518" s="121"/>
      <c r="AA518" s="121"/>
      <c r="AB518" s="121"/>
    </row>
    <row r="519">
      <c r="A519" s="131"/>
      <c r="B519" s="131"/>
      <c r="C519" s="131"/>
      <c r="D519" s="131"/>
      <c r="E519" s="131"/>
      <c r="F519" s="131"/>
      <c r="G519" s="131"/>
      <c r="H519" s="121"/>
      <c r="I519" s="121"/>
      <c r="J519" s="121"/>
      <c r="K519" s="121"/>
      <c r="L519" s="121"/>
      <c r="M519" s="121"/>
      <c r="N519" s="121"/>
      <c r="O519" s="121"/>
      <c r="P519" s="121"/>
      <c r="Q519" s="121"/>
      <c r="R519" s="121"/>
      <c r="S519" s="121"/>
      <c r="T519" s="121"/>
      <c r="U519" s="121"/>
      <c r="V519" s="121"/>
      <c r="W519" s="121"/>
      <c r="X519" s="121"/>
      <c r="Y519" s="121"/>
      <c r="Z519" s="121"/>
      <c r="AA519" s="121"/>
      <c r="AB519" s="121"/>
    </row>
    <row r="520">
      <c r="A520" s="131"/>
      <c r="B520" s="131"/>
      <c r="C520" s="131"/>
      <c r="D520" s="131"/>
      <c r="E520" s="131"/>
      <c r="F520" s="131"/>
      <c r="G520" s="131"/>
      <c r="H520" s="121"/>
      <c r="I520" s="121"/>
      <c r="J520" s="121"/>
      <c r="K520" s="121"/>
      <c r="L520" s="121"/>
      <c r="M520" s="121"/>
      <c r="N520" s="121"/>
      <c r="O520" s="121"/>
      <c r="P520" s="121"/>
      <c r="Q520" s="121"/>
      <c r="R520" s="121"/>
      <c r="S520" s="121"/>
      <c r="T520" s="121"/>
      <c r="U520" s="121"/>
      <c r="V520" s="121"/>
      <c r="W520" s="121"/>
      <c r="X520" s="121"/>
      <c r="Y520" s="121"/>
      <c r="Z520" s="121"/>
      <c r="AA520" s="121"/>
      <c r="AB520" s="121"/>
    </row>
    <row r="521">
      <c r="A521" s="131"/>
      <c r="B521" s="131"/>
      <c r="C521" s="131"/>
      <c r="D521" s="131"/>
      <c r="E521" s="131"/>
      <c r="F521" s="131"/>
      <c r="G521" s="131"/>
      <c r="H521" s="121"/>
      <c r="I521" s="121"/>
      <c r="J521" s="121"/>
      <c r="K521" s="121"/>
      <c r="L521" s="121"/>
      <c r="M521" s="121"/>
      <c r="N521" s="121"/>
      <c r="O521" s="121"/>
      <c r="P521" s="121"/>
      <c r="Q521" s="121"/>
      <c r="R521" s="121"/>
      <c r="S521" s="121"/>
      <c r="T521" s="121"/>
      <c r="U521" s="121"/>
      <c r="V521" s="121"/>
      <c r="W521" s="121"/>
      <c r="X521" s="121"/>
      <c r="Y521" s="121"/>
      <c r="Z521" s="121"/>
      <c r="AA521" s="121"/>
      <c r="AB521" s="121"/>
    </row>
    <row r="522">
      <c r="A522" s="131"/>
      <c r="B522" s="131"/>
      <c r="C522" s="131"/>
      <c r="D522" s="131"/>
      <c r="E522" s="131"/>
      <c r="F522" s="131"/>
      <c r="G522" s="131"/>
      <c r="H522" s="121"/>
      <c r="I522" s="121"/>
      <c r="J522" s="121"/>
      <c r="K522" s="121"/>
      <c r="L522" s="121"/>
      <c r="M522" s="121"/>
      <c r="N522" s="121"/>
      <c r="O522" s="121"/>
      <c r="P522" s="121"/>
      <c r="Q522" s="121"/>
      <c r="R522" s="121"/>
      <c r="S522" s="121"/>
      <c r="T522" s="121"/>
      <c r="U522" s="121"/>
      <c r="V522" s="121"/>
      <c r="W522" s="121"/>
      <c r="X522" s="121"/>
      <c r="Y522" s="121"/>
      <c r="Z522" s="121"/>
      <c r="AA522" s="121"/>
      <c r="AB522" s="121"/>
    </row>
    <row r="523">
      <c r="A523" s="131"/>
      <c r="B523" s="131"/>
      <c r="C523" s="131"/>
      <c r="D523" s="131"/>
      <c r="E523" s="131"/>
      <c r="F523" s="131"/>
      <c r="G523" s="131"/>
      <c r="H523" s="121"/>
      <c r="I523" s="121"/>
      <c r="J523" s="121"/>
      <c r="K523" s="121"/>
      <c r="L523" s="121"/>
      <c r="M523" s="121"/>
      <c r="N523" s="121"/>
      <c r="O523" s="121"/>
      <c r="P523" s="121"/>
      <c r="Q523" s="121"/>
      <c r="R523" s="121"/>
      <c r="S523" s="121"/>
      <c r="T523" s="121"/>
      <c r="U523" s="121"/>
      <c r="V523" s="121"/>
      <c r="W523" s="121"/>
      <c r="X523" s="121"/>
      <c r="Y523" s="121"/>
      <c r="Z523" s="121"/>
      <c r="AA523" s="121"/>
      <c r="AB523" s="121"/>
    </row>
    <row r="524">
      <c r="A524" s="131"/>
      <c r="B524" s="131"/>
      <c r="C524" s="131"/>
      <c r="D524" s="131"/>
      <c r="E524" s="131"/>
      <c r="F524" s="131"/>
      <c r="G524" s="131"/>
      <c r="H524" s="121"/>
      <c r="I524" s="121"/>
      <c r="J524" s="121"/>
      <c r="K524" s="121"/>
      <c r="L524" s="121"/>
      <c r="M524" s="121"/>
      <c r="N524" s="121"/>
      <c r="O524" s="121"/>
      <c r="P524" s="121"/>
      <c r="Q524" s="121"/>
      <c r="R524" s="121"/>
      <c r="S524" s="121"/>
      <c r="T524" s="121"/>
      <c r="U524" s="121"/>
      <c r="V524" s="121"/>
      <c r="W524" s="121"/>
      <c r="X524" s="121"/>
      <c r="Y524" s="121"/>
      <c r="Z524" s="121"/>
      <c r="AA524" s="121"/>
      <c r="AB524" s="121"/>
    </row>
    <row r="525">
      <c r="A525" s="131"/>
      <c r="B525" s="131"/>
      <c r="C525" s="131"/>
      <c r="D525" s="131"/>
      <c r="E525" s="131"/>
      <c r="F525" s="131"/>
      <c r="G525" s="131"/>
      <c r="H525" s="121"/>
      <c r="I525" s="121"/>
      <c r="J525" s="121"/>
      <c r="K525" s="121"/>
      <c r="L525" s="121"/>
      <c r="M525" s="121"/>
      <c r="N525" s="121"/>
      <c r="O525" s="121"/>
      <c r="P525" s="121"/>
      <c r="Q525" s="121"/>
      <c r="R525" s="121"/>
      <c r="S525" s="121"/>
      <c r="T525" s="121"/>
      <c r="U525" s="121"/>
      <c r="V525" s="121"/>
      <c r="W525" s="121"/>
      <c r="X525" s="121"/>
      <c r="Y525" s="121"/>
      <c r="Z525" s="121"/>
      <c r="AA525" s="121"/>
      <c r="AB525" s="121"/>
    </row>
    <row r="526">
      <c r="A526" s="131"/>
      <c r="B526" s="131"/>
      <c r="C526" s="131"/>
      <c r="D526" s="131"/>
      <c r="E526" s="131"/>
      <c r="F526" s="131"/>
      <c r="G526" s="131"/>
      <c r="H526" s="121"/>
      <c r="I526" s="121"/>
      <c r="J526" s="121"/>
      <c r="K526" s="121"/>
      <c r="L526" s="121"/>
      <c r="M526" s="121"/>
      <c r="N526" s="121"/>
      <c r="O526" s="121"/>
      <c r="P526" s="121"/>
      <c r="Q526" s="121"/>
      <c r="R526" s="121"/>
      <c r="S526" s="121"/>
      <c r="T526" s="121"/>
      <c r="U526" s="121"/>
      <c r="V526" s="121"/>
      <c r="W526" s="121"/>
      <c r="X526" s="121"/>
      <c r="Y526" s="121"/>
      <c r="Z526" s="121"/>
      <c r="AA526" s="121"/>
      <c r="AB526" s="121"/>
    </row>
    <row r="527">
      <c r="A527" s="131"/>
      <c r="B527" s="131"/>
      <c r="C527" s="131"/>
      <c r="D527" s="131"/>
      <c r="E527" s="131"/>
      <c r="F527" s="131"/>
      <c r="G527" s="131"/>
      <c r="H527" s="121"/>
      <c r="I527" s="121"/>
      <c r="J527" s="121"/>
      <c r="K527" s="121"/>
      <c r="L527" s="121"/>
      <c r="M527" s="121"/>
      <c r="N527" s="121"/>
      <c r="O527" s="121"/>
      <c r="P527" s="121"/>
      <c r="Q527" s="121"/>
      <c r="R527" s="121"/>
      <c r="S527" s="121"/>
      <c r="T527" s="121"/>
      <c r="U527" s="121"/>
      <c r="V527" s="121"/>
      <c r="W527" s="121"/>
      <c r="X527" s="121"/>
      <c r="Y527" s="121"/>
      <c r="Z527" s="121"/>
      <c r="AA527" s="121"/>
      <c r="AB527" s="121"/>
    </row>
    <row r="528">
      <c r="A528" s="131"/>
      <c r="B528" s="131"/>
      <c r="C528" s="131"/>
      <c r="D528" s="131"/>
      <c r="E528" s="131"/>
      <c r="F528" s="131"/>
      <c r="G528" s="131"/>
      <c r="H528" s="121"/>
      <c r="I528" s="121"/>
      <c r="J528" s="121"/>
      <c r="K528" s="121"/>
      <c r="L528" s="121"/>
      <c r="M528" s="121"/>
      <c r="N528" s="121"/>
      <c r="O528" s="121"/>
      <c r="P528" s="121"/>
      <c r="Q528" s="121"/>
      <c r="R528" s="121"/>
      <c r="S528" s="121"/>
      <c r="T528" s="121"/>
      <c r="U528" s="121"/>
      <c r="V528" s="121"/>
      <c r="W528" s="121"/>
      <c r="X528" s="121"/>
      <c r="Y528" s="121"/>
      <c r="Z528" s="121"/>
      <c r="AA528" s="121"/>
      <c r="AB528" s="121"/>
    </row>
    <row r="529">
      <c r="A529" s="131"/>
      <c r="B529" s="131"/>
      <c r="C529" s="131"/>
      <c r="D529" s="131"/>
      <c r="E529" s="131"/>
      <c r="F529" s="131"/>
      <c r="G529" s="131"/>
      <c r="H529" s="121"/>
      <c r="I529" s="121"/>
      <c r="J529" s="121"/>
      <c r="K529" s="121"/>
      <c r="L529" s="121"/>
      <c r="M529" s="121"/>
      <c r="N529" s="121"/>
      <c r="O529" s="121"/>
      <c r="P529" s="121"/>
      <c r="Q529" s="121"/>
      <c r="R529" s="121"/>
      <c r="S529" s="121"/>
      <c r="T529" s="121"/>
      <c r="U529" s="121"/>
      <c r="V529" s="121"/>
      <c r="W529" s="121"/>
      <c r="X529" s="121"/>
      <c r="Y529" s="121"/>
      <c r="Z529" s="121"/>
      <c r="AA529" s="121"/>
      <c r="AB529" s="121"/>
    </row>
    <row r="530">
      <c r="A530" s="131"/>
      <c r="B530" s="131"/>
      <c r="C530" s="131"/>
      <c r="D530" s="131"/>
      <c r="E530" s="131"/>
      <c r="F530" s="131"/>
      <c r="G530" s="131"/>
      <c r="H530" s="121"/>
      <c r="I530" s="121"/>
      <c r="J530" s="121"/>
      <c r="K530" s="121"/>
      <c r="L530" s="121"/>
      <c r="M530" s="121"/>
      <c r="N530" s="121"/>
      <c r="O530" s="121"/>
      <c r="P530" s="121"/>
      <c r="Q530" s="121"/>
      <c r="R530" s="121"/>
      <c r="S530" s="121"/>
      <c r="T530" s="121"/>
      <c r="U530" s="121"/>
      <c r="V530" s="121"/>
      <c r="W530" s="121"/>
      <c r="X530" s="121"/>
      <c r="Y530" s="121"/>
      <c r="Z530" s="121"/>
      <c r="AA530" s="121"/>
      <c r="AB530" s="121"/>
    </row>
    <row r="531">
      <c r="A531" s="131"/>
      <c r="B531" s="131"/>
      <c r="C531" s="131"/>
      <c r="D531" s="131"/>
      <c r="E531" s="131"/>
      <c r="F531" s="131"/>
      <c r="G531" s="131"/>
      <c r="H531" s="121"/>
      <c r="I531" s="121"/>
      <c r="J531" s="121"/>
      <c r="K531" s="121"/>
      <c r="L531" s="121"/>
      <c r="M531" s="121"/>
      <c r="N531" s="121"/>
      <c r="O531" s="121"/>
      <c r="P531" s="121"/>
      <c r="Q531" s="121"/>
      <c r="R531" s="121"/>
      <c r="S531" s="121"/>
      <c r="T531" s="121"/>
      <c r="U531" s="121"/>
      <c r="V531" s="121"/>
      <c r="W531" s="121"/>
      <c r="X531" s="121"/>
      <c r="Y531" s="121"/>
      <c r="Z531" s="121"/>
      <c r="AA531" s="121"/>
      <c r="AB531" s="121"/>
    </row>
    <row r="532">
      <c r="A532" s="131"/>
      <c r="B532" s="131"/>
      <c r="C532" s="131"/>
      <c r="D532" s="131"/>
      <c r="E532" s="131"/>
      <c r="F532" s="131"/>
      <c r="G532" s="131"/>
      <c r="H532" s="121"/>
      <c r="I532" s="121"/>
      <c r="J532" s="121"/>
      <c r="K532" s="121"/>
      <c r="L532" s="121"/>
      <c r="M532" s="121"/>
      <c r="N532" s="121"/>
      <c r="O532" s="121"/>
      <c r="P532" s="121"/>
      <c r="Q532" s="121"/>
      <c r="R532" s="121"/>
      <c r="S532" s="121"/>
      <c r="T532" s="121"/>
      <c r="U532" s="121"/>
      <c r="V532" s="121"/>
      <c r="W532" s="121"/>
      <c r="X532" s="121"/>
      <c r="Y532" s="121"/>
      <c r="Z532" s="121"/>
      <c r="AA532" s="121"/>
      <c r="AB532" s="121"/>
    </row>
    <row r="533">
      <c r="A533" s="131"/>
      <c r="B533" s="131"/>
      <c r="C533" s="131"/>
      <c r="D533" s="131"/>
      <c r="E533" s="131"/>
      <c r="F533" s="131"/>
      <c r="G533" s="131"/>
      <c r="H533" s="121"/>
      <c r="I533" s="121"/>
      <c r="J533" s="121"/>
      <c r="K533" s="121"/>
      <c r="L533" s="121"/>
      <c r="M533" s="121"/>
      <c r="N533" s="121"/>
      <c r="O533" s="121"/>
      <c r="P533" s="121"/>
      <c r="Q533" s="121"/>
      <c r="R533" s="121"/>
      <c r="S533" s="121"/>
      <c r="T533" s="121"/>
      <c r="U533" s="121"/>
      <c r="V533" s="121"/>
      <c r="W533" s="121"/>
      <c r="X533" s="121"/>
      <c r="Y533" s="121"/>
      <c r="Z533" s="121"/>
      <c r="AA533" s="121"/>
      <c r="AB533" s="121"/>
    </row>
    <row r="534">
      <c r="A534" s="131"/>
      <c r="B534" s="131"/>
      <c r="C534" s="131"/>
      <c r="D534" s="131"/>
      <c r="E534" s="131"/>
      <c r="F534" s="131"/>
      <c r="G534" s="131"/>
      <c r="H534" s="121"/>
      <c r="I534" s="121"/>
      <c r="J534" s="121"/>
      <c r="K534" s="121"/>
      <c r="L534" s="121"/>
      <c r="M534" s="121"/>
      <c r="N534" s="121"/>
      <c r="O534" s="121"/>
      <c r="P534" s="121"/>
      <c r="Q534" s="121"/>
      <c r="R534" s="121"/>
      <c r="S534" s="121"/>
      <c r="T534" s="121"/>
      <c r="U534" s="121"/>
      <c r="V534" s="121"/>
      <c r="W534" s="121"/>
      <c r="X534" s="121"/>
      <c r="Y534" s="121"/>
      <c r="Z534" s="121"/>
      <c r="AA534" s="121"/>
      <c r="AB534" s="121"/>
    </row>
    <row r="535">
      <c r="A535" s="131"/>
      <c r="B535" s="131"/>
      <c r="C535" s="131"/>
      <c r="D535" s="131"/>
      <c r="E535" s="131"/>
      <c r="F535" s="131"/>
      <c r="G535" s="131"/>
      <c r="H535" s="121"/>
      <c r="I535" s="121"/>
      <c r="J535" s="121"/>
      <c r="K535" s="121"/>
      <c r="L535" s="121"/>
      <c r="M535" s="121"/>
      <c r="N535" s="121"/>
      <c r="O535" s="121"/>
      <c r="P535" s="121"/>
      <c r="Q535" s="121"/>
      <c r="R535" s="121"/>
      <c r="S535" s="121"/>
      <c r="T535" s="121"/>
      <c r="U535" s="121"/>
      <c r="V535" s="121"/>
      <c r="W535" s="121"/>
      <c r="X535" s="121"/>
      <c r="Y535" s="121"/>
      <c r="Z535" s="121"/>
      <c r="AA535" s="121"/>
      <c r="AB535" s="121"/>
    </row>
    <row r="536">
      <c r="A536" s="131"/>
      <c r="B536" s="131"/>
      <c r="C536" s="131"/>
      <c r="D536" s="131"/>
      <c r="E536" s="131"/>
      <c r="F536" s="131"/>
      <c r="G536" s="131"/>
      <c r="H536" s="121"/>
      <c r="I536" s="121"/>
      <c r="J536" s="121"/>
      <c r="K536" s="121"/>
      <c r="L536" s="121"/>
      <c r="M536" s="121"/>
      <c r="N536" s="121"/>
      <c r="O536" s="121"/>
      <c r="P536" s="121"/>
      <c r="Q536" s="121"/>
      <c r="R536" s="121"/>
      <c r="S536" s="121"/>
      <c r="T536" s="121"/>
      <c r="U536" s="121"/>
      <c r="V536" s="121"/>
      <c r="W536" s="121"/>
      <c r="X536" s="121"/>
      <c r="Y536" s="121"/>
      <c r="Z536" s="121"/>
      <c r="AA536" s="121"/>
      <c r="AB536" s="121"/>
    </row>
    <row r="537">
      <c r="A537" s="131"/>
      <c r="B537" s="131"/>
      <c r="C537" s="131"/>
      <c r="D537" s="131"/>
      <c r="E537" s="131"/>
      <c r="F537" s="131"/>
      <c r="G537" s="131"/>
      <c r="H537" s="121"/>
      <c r="I537" s="121"/>
      <c r="J537" s="121"/>
      <c r="K537" s="121"/>
      <c r="L537" s="121"/>
      <c r="M537" s="121"/>
      <c r="N537" s="121"/>
      <c r="O537" s="121"/>
      <c r="P537" s="121"/>
      <c r="Q537" s="121"/>
      <c r="R537" s="121"/>
      <c r="S537" s="121"/>
      <c r="T537" s="121"/>
      <c r="U537" s="121"/>
      <c r="V537" s="121"/>
      <c r="W537" s="121"/>
      <c r="X537" s="121"/>
      <c r="Y537" s="121"/>
      <c r="Z537" s="121"/>
      <c r="AA537" s="121"/>
      <c r="AB537" s="121"/>
    </row>
    <row r="538">
      <c r="A538" s="131"/>
      <c r="B538" s="131"/>
      <c r="C538" s="131"/>
      <c r="D538" s="131"/>
      <c r="E538" s="131"/>
      <c r="F538" s="131"/>
      <c r="G538" s="131"/>
      <c r="H538" s="121"/>
      <c r="I538" s="121"/>
      <c r="J538" s="121"/>
      <c r="K538" s="121"/>
      <c r="L538" s="121"/>
      <c r="M538" s="121"/>
      <c r="N538" s="121"/>
      <c r="O538" s="121"/>
      <c r="P538" s="121"/>
      <c r="Q538" s="121"/>
      <c r="R538" s="121"/>
      <c r="S538" s="121"/>
      <c r="T538" s="121"/>
      <c r="U538" s="121"/>
      <c r="V538" s="121"/>
      <c r="W538" s="121"/>
      <c r="X538" s="121"/>
      <c r="Y538" s="121"/>
      <c r="Z538" s="121"/>
      <c r="AA538" s="121"/>
      <c r="AB538" s="121"/>
    </row>
    <row r="539">
      <c r="A539" s="131"/>
      <c r="B539" s="131"/>
      <c r="C539" s="131"/>
      <c r="D539" s="131"/>
      <c r="E539" s="131"/>
      <c r="F539" s="131"/>
      <c r="G539" s="131"/>
      <c r="H539" s="121"/>
      <c r="I539" s="121"/>
      <c r="J539" s="121"/>
      <c r="K539" s="121"/>
      <c r="L539" s="121"/>
      <c r="M539" s="121"/>
      <c r="N539" s="121"/>
      <c r="O539" s="121"/>
      <c r="P539" s="121"/>
      <c r="Q539" s="121"/>
      <c r="R539" s="121"/>
      <c r="S539" s="121"/>
      <c r="T539" s="121"/>
      <c r="U539" s="121"/>
      <c r="V539" s="121"/>
      <c r="W539" s="121"/>
      <c r="X539" s="121"/>
      <c r="Y539" s="121"/>
      <c r="Z539" s="121"/>
      <c r="AA539" s="121"/>
      <c r="AB539" s="121"/>
    </row>
    <row r="540">
      <c r="A540" s="131"/>
      <c r="B540" s="131"/>
      <c r="C540" s="131"/>
      <c r="D540" s="131"/>
      <c r="E540" s="131"/>
      <c r="F540" s="131"/>
      <c r="G540" s="131"/>
      <c r="H540" s="121"/>
      <c r="I540" s="121"/>
      <c r="J540" s="121"/>
      <c r="K540" s="121"/>
      <c r="L540" s="121"/>
      <c r="M540" s="121"/>
      <c r="N540" s="121"/>
      <c r="O540" s="121"/>
      <c r="P540" s="121"/>
      <c r="Q540" s="121"/>
      <c r="R540" s="121"/>
      <c r="S540" s="121"/>
      <c r="T540" s="121"/>
      <c r="U540" s="121"/>
      <c r="V540" s="121"/>
      <c r="W540" s="121"/>
      <c r="X540" s="121"/>
      <c r="Y540" s="121"/>
      <c r="Z540" s="121"/>
      <c r="AA540" s="121"/>
      <c r="AB540" s="121"/>
    </row>
    <row r="541">
      <c r="A541" s="131"/>
      <c r="B541" s="131"/>
      <c r="C541" s="131"/>
      <c r="D541" s="131"/>
      <c r="E541" s="131"/>
      <c r="F541" s="131"/>
      <c r="G541" s="131"/>
      <c r="H541" s="121"/>
      <c r="I541" s="121"/>
      <c r="J541" s="121"/>
      <c r="K541" s="121"/>
      <c r="L541" s="121"/>
      <c r="M541" s="121"/>
      <c r="N541" s="121"/>
      <c r="O541" s="121"/>
      <c r="P541" s="121"/>
      <c r="Q541" s="121"/>
      <c r="R541" s="121"/>
      <c r="S541" s="121"/>
      <c r="T541" s="121"/>
      <c r="U541" s="121"/>
      <c r="V541" s="121"/>
      <c r="W541" s="121"/>
      <c r="X541" s="121"/>
      <c r="Y541" s="121"/>
      <c r="Z541" s="121"/>
      <c r="AA541" s="121"/>
      <c r="AB541" s="121"/>
    </row>
    <row r="542">
      <c r="A542" s="131"/>
      <c r="B542" s="131"/>
      <c r="C542" s="131"/>
      <c r="D542" s="131"/>
      <c r="E542" s="131"/>
      <c r="F542" s="131"/>
      <c r="G542" s="131"/>
      <c r="H542" s="121"/>
      <c r="I542" s="121"/>
      <c r="J542" s="121"/>
      <c r="K542" s="121"/>
      <c r="L542" s="121"/>
      <c r="M542" s="121"/>
      <c r="N542" s="121"/>
      <c r="O542" s="121"/>
      <c r="P542" s="121"/>
      <c r="Q542" s="121"/>
      <c r="R542" s="121"/>
      <c r="S542" s="121"/>
      <c r="T542" s="121"/>
      <c r="U542" s="121"/>
      <c r="V542" s="121"/>
      <c r="W542" s="121"/>
      <c r="X542" s="121"/>
      <c r="Y542" s="121"/>
      <c r="Z542" s="121"/>
      <c r="AA542" s="121"/>
      <c r="AB542" s="121"/>
    </row>
    <row r="543">
      <c r="A543" s="131"/>
      <c r="B543" s="131"/>
      <c r="C543" s="131"/>
      <c r="D543" s="131"/>
      <c r="E543" s="131"/>
      <c r="F543" s="131"/>
      <c r="G543" s="131"/>
      <c r="H543" s="121"/>
      <c r="I543" s="121"/>
      <c r="J543" s="121"/>
      <c r="K543" s="121"/>
      <c r="L543" s="121"/>
      <c r="M543" s="121"/>
      <c r="N543" s="121"/>
      <c r="O543" s="121"/>
      <c r="P543" s="121"/>
      <c r="Q543" s="121"/>
      <c r="R543" s="121"/>
      <c r="S543" s="121"/>
      <c r="T543" s="121"/>
      <c r="U543" s="121"/>
      <c r="V543" s="121"/>
      <c r="W543" s="121"/>
      <c r="X543" s="121"/>
      <c r="Y543" s="121"/>
      <c r="Z543" s="121"/>
      <c r="AA543" s="121"/>
      <c r="AB543" s="121"/>
    </row>
    <row r="544">
      <c r="A544" s="131"/>
      <c r="B544" s="131"/>
      <c r="C544" s="131"/>
      <c r="D544" s="131"/>
      <c r="E544" s="131"/>
      <c r="F544" s="131"/>
      <c r="G544" s="131"/>
      <c r="H544" s="121"/>
      <c r="I544" s="121"/>
      <c r="J544" s="121"/>
      <c r="K544" s="121"/>
      <c r="L544" s="121"/>
      <c r="M544" s="121"/>
      <c r="N544" s="121"/>
      <c r="O544" s="121"/>
      <c r="P544" s="121"/>
      <c r="Q544" s="121"/>
      <c r="R544" s="121"/>
      <c r="S544" s="121"/>
      <c r="T544" s="121"/>
      <c r="U544" s="121"/>
      <c r="V544" s="121"/>
      <c r="W544" s="121"/>
      <c r="X544" s="121"/>
      <c r="Y544" s="121"/>
      <c r="Z544" s="121"/>
      <c r="AA544" s="121"/>
      <c r="AB544" s="121"/>
    </row>
    <row r="545">
      <c r="A545" s="131"/>
      <c r="B545" s="131"/>
      <c r="C545" s="131"/>
      <c r="D545" s="131"/>
      <c r="E545" s="131"/>
      <c r="F545" s="131"/>
      <c r="G545" s="131"/>
      <c r="H545" s="121"/>
      <c r="I545" s="121"/>
      <c r="J545" s="121"/>
      <c r="K545" s="121"/>
      <c r="L545" s="121"/>
      <c r="M545" s="121"/>
      <c r="N545" s="121"/>
      <c r="O545" s="121"/>
      <c r="P545" s="121"/>
      <c r="Q545" s="121"/>
      <c r="R545" s="121"/>
      <c r="S545" s="121"/>
      <c r="T545" s="121"/>
      <c r="U545" s="121"/>
      <c r="V545" s="121"/>
      <c r="W545" s="121"/>
      <c r="X545" s="121"/>
      <c r="Y545" s="121"/>
      <c r="Z545" s="121"/>
      <c r="AA545" s="121"/>
      <c r="AB545" s="121"/>
    </row>
    <row r="546">
      <c r="A546" s="131"/>
      <c r="B546" s="131"/>
      <c r="C546" s="131"/>
      <c r="D546" s="131"/>
      <c r="E546" s="131"/>
      <c r="F546" s="131"/>
      <c r="G546" s="131"/>
      <c r="H546" s="121"/>
      <c r="I546" s="121"/>
      <c r="J546" s="121"/>
      <c r="K546" s="121"/>
      <c r="L546" s="121"/>
      <c r="M546" s="121"/>
      <c r="N546" s="121"/>
      <c r="O546" s="121"/>
      <c r="P546" s="121"/>
      <c r="Q546" s="121"/>
      <c r="R546" s="121"/>
      <c r="S546" s="121"/>
      <c r="T546" s="121"/>
      <c r="U546" s="121"/>
      <c r="V546" s="121"/>
      <c r="W546" s="121"/>
      <c r="X546" s="121"/>
      <c r="Y546" s="121"/>
      <c r="Z546" s="121"/>
      <c r="AA546" s="121"/>
      <c r="AB546" s="121"/>
    </row>
    <row r="547">
      <c r="A547" s="131"/>
      <c r="B547" s="131"/>
      <c r="C547" s="131"/>
      <c r="D547" s="131"/>
      <c r="E547" s="131"/>
      <c r="F547" s="131"/>
      <c r="G547" s="131"/>
      <c r="H547" s="121"/>
      <c r="I547" s="121"/>
      <c r="J547" s="121"/>
      <c r="K547" s="121"/>
      <c r="L547" s="121"/>
      <c r="M547" s="121"/>
      <c r="N547" s="121"/>
      <c r="O547" s="121"/>
      <c r="P547" s="121"/>
      <c r="Q547" s="121"/>
      <c r="R547" s="121"/>
      <c r="S547" s="121"/>
      <c r="T547" s="121"/>
      <c r="U547" s="121"/>
      <c r="V547" s="121"/>
      <c r="W547" s="121"/>
      <c r="X547" s="121"/>
      <c r="Y547" s="121"/>
      <c r="Z547" s="121"/>
      <c r="AA547" s="121"/>
      <c r="AB547" s="121"/>
    </row>
    <row r="548">
      <c r="A548" s="131"/>
      <c r="B548" s="131"/>
      <c r="C548" s="131"/>
      <c r="D548" s="131"/>
      <c r="E548" s="131"/>
      <c r="F548" s="131"/>
      <c r="G548" s="131"/>
      <c r="H548" s="121"/>
      <c r="I548" s="121"/>
      <c r="J548" s="121"/>
      <c r="K548" s="121"/>
      <c r="L548" s="121"/>
      <c r="M548" s="121"/>
      <c r="N548" s="121"/>
      <c r="O548" s="121"/>
      <c r="P548" s="121"/>
      <c r="Q548" s="121"/>
      <c r="R548" s="121"/>
      <c r="S548" s="121"/>
      <c r="T548" s="121"/>
      <c r="U548" s="121"/>
      <c r="V548" s="121"/>
      <c r="W548" s="121"/>
      <c r="X548" s="121"/>
      <c r="Y548" s="121"/>
      <c r="Z548" s="121"/>
      <c r="AA548" s="121"/>
      <c r="AB548" s="121"/>
    </row>
    <row r="549">
      <c r="A549" s="131"/>
      <c r="B549" s="131"/>
      <c r="C549" s="131"/>
      <c r="D549" s="131"/>
      <c r="E549" s="131"/>
      <c r="F549" s="131"/>
      <c r="G549" s="131"/>
      <c r="H549" s="121"/>
      <c r="I549" s="121"/>
      <c r="J549" s="121"/>
      <c r="K549" s="121"/>
      <c r="L549" s="121"/>
      <c r="M549" s="121"/>
      <c r="N549" s="121"/>
      <c r="O549" s="121"/>
      <c r="P549" s="121"/>
      <c r="Q549" s="121"/>
      <c r="R549" s="121"/>
      <c r="S549" s="121"/>
      <c r="T549" s="121"/>
      <c r="U549" s="121"/>
      <c r="V549" s="121"/>
      <c r="W549" s="121"/>
      <c r="X549" s="121"/>
      <c r="Y549" s="121"/>
      <c r="Z549" s="121"/>
      <c r="AA549" s="121"/>
      <c r="AB549" s="121"/>
    </row>
    <row r="550">
      <c r="A550" s="131"/>
      <c r="B550" s="131"/>
      <c r="C550" s="131"/>
      <c r="D550" s="131"/>
      <c r="E550" s="131"/>
      <c r="F550" s="131"/>
      <c r="G550" s="131"/>
      <c r="H550" s="121"/>
      <c r="I550" s="121"/>
      <c r="J550" s="121"/>
      <c r="K550" s="121"/>
      <c r="L550" s="121"/>
      <c r="M550" s="121"/>
      <c r="N550" s="121"/>
      <c r="O550" s="121"/>
      <c r="P550" s="121"/>
      <c r="Q550" s="121"/>
      <c r="R550" s="121"/>
      <c r="S550" s="121"/>
      <c r="T550" s="121"/>
      <c r="U550" s="121"/>
      <c r="V550" s="121"/>
      <c r="W550" s="121"/>
      <c r="X550" s="121"/>
      <c r="Y550" s="121"/>
      <c r="Z550" s="121"/>
      <c r="AA550" s="121"/>
      <c r="AB550" s="121"/>
    </row>
    <row r="551">
      <c r="A551" s="131"/>
      <c r="B551" s="131"/>
      <c r="C551" s="131"/>
      <c r="D551" s="131"/>
      <c r="E551" s="131"/>
      <c r="F551" s="131"/>
      <c r="G551" s="131"/>
      <c r="H551" s="121"/>
      <c r="I551" s="121"/>
      <c r="J551" s="121"/>
      <c r="K551" s="121"/>
      <c r="L551" s="121"/>
      <c r="M551" s="121"/>
      <c r="N551" s="121"/>
      <c r="O551" s="121"/>
      <c r="P551" s="121"/>
      <c r="Q551" s="121"/>
      <c r="R551" s="121"/>
      <c r="S551" s="121"/>
      <c r="T551" s="121"/>
      <c r="U551" s="121"/>
      <c r="V551" s="121"/>
      <c r="W551" s="121"/>
      <c r="X551" s="121"/>
      <c r="Y551" s="121"/>
      <c r="Z551" s="121"/>
      <c r="AA551" s="121"/>
      <c r="AB551" s="121"/>
    </row>
    <row r="552">
      <c r="A552" s="131"/>
      <c r="B552" s="131"/>
      <c r="C552" s="131"/>
      <c r="D552" s="131"/>
      <c r="E552" s="131"/>
      <c r="F552" s="131"/>
      <c r="G552" s="131"/>
      <c r="H552" s="121"/>
      <c r="I552" s="121"/>
      <c r="J552" s="121"/>
      <c r="K552" s="121"/>
      <c r="L552" s="121"/>
      <c r="M552" s="121"/>
      <c r="N552" s="121"/>
      <c r="O552" s="121"/>
      <c r="P552" s="121"/>
      <c r="Q552" s="121"/>
      <c r="R552" s="121"/>
      <c r="S552" s="121"/>
      <c r="T552" s="121"/>
      <c r="U552" s="121"/>
      <c r="V552" s="121"/>
      <c r="W552" s="121"/>
      <c r="X552" s="121"/>
      <c r="Y552" s="121"/>
      <c r="Z552" s="121"/>
      <c r="AA552" s="121"/>
      <c r="AB552" s="121"/>
    </row>
    <row r="553">
      <c r="A553" s="131"/>
      <c r="B553" s="131"/>
      <c r="C553" s="131"/>
      <c r="D553" s="131"/>
      <c r="E553" s="131"/>
      <c r="F553" s="131"/>
      <c r="G553" s="131"/>
      <c r="H553" s="121"/>
      <c r="I553" s="121"/>
      <c r="J553" s="121"/>
      <c r="K553" s="121"/>
      <c r="L553" s="121"/>
      <c r="M553" s="121"/>
      <c r="N553" s="121"/>
      <c r="O553" s="121"/>
      <c r="P553" s="121"/>
      <c r="Q553" s="121"/>
      <c r="R553" s="121"/>
      <c r="S553" s="121"/>
      <c r="T553" s="121"/>
      <c r="U553" s="121"/>
      <c r="V553" s="121"/>
      <c r="W553" s="121"/>
      <c r="X553" s="121"/>
      <c r="Y553" s="121"/>
      <c r="Z553" s="121"/>
      <c r="AA553" s="121"/>
      <c r="AB553" s="121"/>
    </row>
    <row r="554">
      <c r="A554" s="131"/>
      <c r="B554" s="131"/>
      <c r="C554" s="131"/>
      <c r="D554" s="131"/>
      <c r="E554" s="131"/>
      <c r="F554" s="131"/>
      <c r="G554" s="131"/>
      <c r="H554" s="121"/>
      <c r="I554" s="121"/>
      <c r="J554" s="121"/>
      <c r="K554" s="121"/>
      <c r="L554" s="121"/>
      <c r="M554" s="121"/>
      <c r="N554" s="121"/>
      <c r="O554" s="121"/>
      <c r="P554" s="121"/>
      <c r="Q554" s="121"/>
      <c r="R554" s="121"/>
      <c r="S554" s="121"/>
      <c r="T554" s="121"/>
      <c r="U554" s="121"/>
      <c r="V554" s="121"/>
      <c r="W554" s="121"/>
      <c r="X554" s="121"/>
      <c r="Y554" s="121"/>
      <c r="Z554" s="121"/>
      <c r="AA554" s="121"/>
      <c r="AB554" s="121"/>
    </row>
    <row r="555">
      <c r="A555" s="131"/>
      <c r="B555" s="131"/>
      <c r="C555" s="131"/>
      <c r="D555" s="131"/>
      <c r="E555" s="131"/>
      <c r="F555" s="131"/>
      <c r="G555" s="131"/>
      <c r="H555" s="121"/>
      <c r="I555" s="121"/>
      <c r="J555" s="121"/>
      <c r="K555" s="121"/>
      <c r="L555" s="121"/>
      <c r="M555" s="121"/>
      <c r="N555" s="121"/>
      <c r="O555" s="121"/>
      <c r="P555" s="121"/>
      <c r="Q555" s="121"/>
      <c r="R555" s="121"/>
      <c r="S555" s="121"/>
      <c r="T555" s="121"/>
      <c r="U555" s="121"/>
      <c r="V555" s="121"/>
      <c r="W555" s="121"/>
      <c r="X555" s="121"/>
      <c r="Y555" s="121"/>
      <c r="Z555" s="121"/>
      <c r="AA555" s="121"/>
      <c r="AB555" s="121"/>
    </row>
    <row r="556">
      <c r="A556" s="131"/>
      <c r="B556" s="131"/>
      <c r="C556" s="131"/>
      <c r="D556" s="131"/>
      <c r="E556" s="131"/>
      <c r="F556" s="131"/>
      <c r="G556" s="131"/>
      <c r="H556" s="121"/>
      <c r="I556" s="121"/>
      <c r="J556" s="121"/>
      <c r="K556" s="121"/>
      <c r="L556" s="121"/>
      <c r="M556" s="121"/>
      <c r="N556" s="121"/>
      <c r="O556" s="121"/>
      <c r="P556" s="121"/>
      <c r="Q556" s="121"/>
      <c r="R556" s="121"/>
      <c r="S556" s="121"/>
      <c r="T556" s="121"/>
      <c r="U556" s="121"/>
      <c r="V556" s="121"/>
      <c r="W556" s="121"/>
      <c r="X556" s="121"/>
      <c r="Y556" s="121"/>
      <c r="Z556" s="121"/>
      <c r="AA556" s="121"/>
      <c r="AB556" s="121"/>
    </row>
    <row r="557">
      <c r="A557" s="131"/>
      <c r="B557" s="131"/>
      <c r="C557" s="131"/>
      <c r="D557" s="131"/>
      <c r="E557" s="131"/>
      <c r="F557" s="131"/>
      <c r="G557" s="131"/>
      <c r="H557" s="121"/>
      <c r="I557" s="121"/>
      <c r="J557" s="121"/>
      <c r="K557" s="121"/>
      <c r="L557" s="121"/>
      <c r="M557" s="121"/>
      <c r="N557" s="121"/>
      <c r="O557" s="121"/>
      <c r="P557" s="121"/>
      <c r="Q557" s="121"/>
      <c r="R557" s="121"/>
      <c r="S557" s="121"/>
      <c r="T557" s="121"/>
      <c r="U557" s="121"/>
      <c r="V557" s="121"/>
      <c r="W557" s="121"/>
      <c r="X557" s="121"/>
      <c r="Y557" s="121"/>
      <c r="Z557" s="121"/>
      <c r="AA557" s="121"/>
      <c r="AB557" s="121"/>
    </row>
    <row r="558">
      <c r="A558" s="131"/>
      <c r="B558" s="131"/>
      <c r="C558" s="131"/>
      <c r="D558" s="131"/>
      <c r="E558" s="131"/>
      <c r="F558" s="131"/>
      <c r="G558" s="131"/>
      <c r="H558" s="121"/>
      <c r="I558" s="121"/>
      <c r="J558" s="121"/>
      <c r="K558" s="121"/>
      <c r="L558" s="121"/>
      <c r="M558" s="121"/>
      <c r="N558" s="121"/>
      <c r="O558" s="121"/>
      <c r="P558" s="121"/>
      <c r="Q558" s="121"/>
      <c r="R558" s="121"/>
      <c r="S558" s="121"/>
      <c r="T558" s="121"/>
      <c r="U558" s="121"/>
      <c r="V558" s="121"/>
      <c r="W558" s="121"/>
      <c r="X558" s="121"/>
      <c r="Y558" s="121"/>
      <c r="Z558" s="121"/>
      <c r="AA558" s="121"/>
      <c r="AB558" s="121"/>
    </row>
    <row r="559">
      <c r="A559" s="131"/>
      <c r="B559" s="131"/>
      <c r="C559" s="131"/>
      <c r="D559" s="131"/>
      <c r="E559" s="131"/>
      <c r="F559" s="131"/>
      <c r="G559" s="131"/>
      <c r="H559" s="121"/>
      <c r="I559" s="121"/>
      <c r="J559" s="121"/>
      <c r="K559" s="121"/>
      <c r="L559" s="121"/>
      <c r="M559" s="121"/>
      <c r="N559" s="121"/>
      <c r="O559" s="121"/>
      <c r="P559" s="121"/>
      <c r="Q559" s="121"/>
      <c r="R559" s="121"/>
      <c r="S559" s="121"/>
      <c r="T559" s="121"/>
      <c r="U559" s="121"/>
      <c r="V559" s="121"/>
      <c r="W559" s="121"/>
      <c r="X559" s="121"/>
      <c r="Y559" s="121"/>
      <c r="Z559" s="121"/>
      <c r="AA559" s="121"/>
      <c r="AB559" s="121"/>
    </row>
    <row r="560">
      <c r="A560" s="131"/>
      <c r="B560" s="131"/>
      <c r="C560" s="131"/>
      <c r="D560" s="131"/>
      <c r="E560" s="131"/>
      <c r="F560" s="131"/>
      <c r="G560" s="131"/>
      <c r="H560" s="121"/>
      <c r="I560" s="121"/>
      <c r="J560" s="121"/>
      <c r="K560" s="121"/>
      <c r="L560" s="121"/>
      <c r="M560" s="121"/>
      <c r="N560" s="121"/>
      <c r="O560" s="121"/>
      <c r="P560" s="121"/>
      <c r="Q560" s="121"/>
      <c r="R560" s="121"/>
      <c r="S560" s="121"/>
      <c r="T560" s="121"/>
      <c r="U560" s="121"/>
      <c r="V560" s="121"/>
      <c r="W560" s="121"/>
      <c r="X560" s="121"/>
      <c r="Y560" s="121"/>
      <c r="Z560" s="121"/>
      <c r="AA560" s="121"/>
      <c r="AB560" s="121"/>
    </row>
    <row r="561">
      <c r="A561" s="131"/>
      <c r="B561" s="131"/>
      <c r="C561" s="131"/>
      <c r="D561" s="131"/>
      <c r="E561" s="131"/>
      <c r="F561" s="131"/>
      <c r="G561" s="131"/>
      <c r="H561" s="121"/>
      <c r="I561" s="121"/>
      <c r="J561" s="121"/>
      <c r="K561" s="121"/>
      <c r="L561" s="121"/>
      <c r="M561" s="121"/>
      <c r="N561" s="121"/>
      <c r="O561" s="121"/>
      <c r="P561" s="121"/>
      <c r="Q561" s="121"/>
      <c r="R561" s="121"/>
      <c r="S561" s="121"/>
      <c r="T561" s="121"/>
      <c r="U561" s="121"/>
      <c r="V561" s="121"/>
      <c r="W561" s="121"/>
      <c r="X561" s="121"/>
      <c r="Y561" s="121"/>
      <c r="Z561" s="121"/>
      <c r="AA561" s="121"/>
      <c r="AB561" s="121"/>
    </row>
    <row r="562">
      <c r="A562" s="131"/>
      <c r="B562" s="131"/>
      <c r="C562" s="131"/>
      <c r="D562" s="131"/>
      <c r="E562" s="131"/>
      <c r="F562" s="131"/>
      <c r="G562" s="131"/>
      <c r="H562" s="121"/>
      <c r="I562" s="121"/>
      <c r="J562" s="121"/>
      <c r="K562" s="121"/>
      <c r="L562" s="121"/>
      <c r="M562" s="121"/>
      <c r="N562" s="121"/>
      <c r="O562" s="121"/>
      <c r="P562" s="121"/>
      <c r="Q562" s="121"/>
      <c r="R562" s="121"/>
      <c r="S562" s="121"/>
      <c r="T562" s="121"/>
      <c r="U562" s="121"/>
      <c r="V562" s="121"/>
      <c r="W562" s="121"/>
      <c r="X562" s="121"/>
      <c r="Y562" s="121"/>
      <c r="Z562" s="121"/>
      <c r="AA562" s="121"/>
      <c r="AB562" s="121"/>
    </row>
    <row r="563">
      <c r="A563" s="131"/>
      <c r="B563" s="131"/>
      <c r="C563" s="131"/>
      <c r="D563" s="131"/>
      <c r="E563" s="131"/>
      <c r="F563" s="131"/>
      <c r="G563" s="131"/>
      <c r="H563" s="121"/>
      <c r="I563" s="121"/>
      <c r="J563" s="121"/>
      <c r="K563" s="121"/>
      <c r="L563" s="121"/>
      <c r="M563" s="121"/>
      <c r="N563" s="121"/>
      <c r="O563" s="121"/>
      <c r="P563" s="121"/>
      <c r="Q563" s="121"/>
      <c r="R563" s="121"/>
      <c r="S563" s="121"/>
      <c r="T563" s="121"/>
      <c r="U563" s="121"/>
      <c r="V563" s="121"/>
      <c r="W563" s="121"/>
      <c r="X563" s="121"/>
      <c r="Y563" s="121"/>
      <c r="Z563" s="121"/>
      <c r="AA563" s="121"/>
      <c r="AB563" s="121"/>
    </row>
    <row r="564">
      <c r="A564" s="131"/>
      <c r="B564" s="131"/>
      <c r="C564" s="131"/>
      <c r="D564" s="131"/>
      <c r="E564" s="131"/>
      <c r="F564" s="131"/>
      <c r="G564" s="131"/>
      <c r="H564" s="121"/>
      <c r="I564" s="121"/>
      <c r="J564" s="121"/>
      <c r="K564" s="121"/>
      <c r="L564" s="121"/>
      <c r="M564" s="121"/>
      <c r="N564" s="121"/>
      <c r="O564" s="121"/>
      <c r="P564" s="121"/>
      <c r="Q564" s="121"/>
      <c r="R564" s="121"/>
      <c r="S564" s="121"/>
      <c r="T564" s="121"/>
      <c r="U564" s="121"/>
      <c r="V564" s="121"/>
      <c r="W564" s="121"/>
      <c r="X564" s="121"/>
      <c r="Y564" s="121"/>
      <c r="Z564" s="121"/>
      <c r="AA564" s="121"/>
      <c r="AB564" s="121"/>
    </row>
    <row r="565">
      <c r="A565" s="131"/>
      <c r="B565" s="131"/>
      <c r="C565" s="131"/>
      <c r="D565" s="131"/>
      <c r="E565" s="131"/>
      <c r="F565" s="131"/>
      <c r="G565" s="131"/>
      <c r="H565" s="121"/>
      <c r="I565" s="121"/>
      <c r="J565" s="121"/>
      <c r="K565" s="121"/>
      <c r="L565" s="121"/>
      <c r="M565" s="121"/>
      <c r="N565" s="121"/>
      <c r="O565" s="121"/>
      <c r="P565" s="121"/>
      <c r="Q565" s="121"/>
      <c r="R565" s="121"/>
      <c r="S565" s="121"/>
      <c r="T565" s="121"/>
      <c r="U565" s="121"/>
      <c r="V565" s="121"/>
      <c r="W565" s="121"/>
      <c r="X565" s="121"/>
      <c r="Y565" s="121"/>
      <c r="Z565" s="121"/>
      <c r="AA565" s="121"/>
      <c r="AB565" s="121"/>
    </row>
    <row r="566">
      <c r="A566" s="131"/>
      <c r="B566" s="131"/>
      <c r="C566" s="131"/>
      <c r="D566" s="131"/>
      <c r="E566" s="131"/>
      <c r="F566" s="131"/>
      <c r="G566" s="131"/>
      <c r="H566" s="121"/>
      <c r="I566" s="121"/>
      <c r="J566" s="121"/>
      <c r="K566" s="121"/>
      <c r="L566" s="121"/>
      <c r="M566" s="121"/>
      <c r="N566" s="121"/>
      <c r="O566" s="121"/>
      <c r="P566" s="121"/>
      <c r="Q566" s="121"/>
      <c r="R566" s="121"/>
      <c r="S566" s="121"/>
      <c r="T566" s="121"/>
      <c r="U566" s="121"/>
      <c r="V566" s="121"/>
      <c r="W566" s="121"/>
      <c r="X566" s="121"/>
      <c r="Y566" s="121"/>
      <c r="Z566" s="121"/>
      <c r="AA566" s="121"/>
      <c r="AB566" s="121"/>
    </row>
    <row r="567">
      <c r="A567" s="131"/>
      <c r="B567" s="131"/>
      <c r="C567" s="131"/>
      <c r="D567" s="131"/>
      <c r="E567" s="131"/>
      <c r="F567" s="131"/>
      <c r="G567" s="131"/>
      <c r="H567" s="121"/>
      <c r="I567" s="121"/>
      <c r="J567" s="121"/>
      <c r="K567" s="121"/>
      <c r="L567" s="121"/>
      <c r="M567" s="121"/>
      <c r="N567" s="121"/>
      <c r="O567" s="121"/>
      <c r="P567" s="121"/>
      <c r="Q567" s="121"/>
      <c r="R567" s="121"/>
      <c r="S567" s="121"/>
      <c r="T567" s="121"/>
      <c r="U567" s="121"/>
      <c r="V567" s="121"/>
      <c r="W567" s="121"/>
      <c r="X567" s="121"/>
      <c r="Y567" s="121"/>
      <c r="Z567" s="121"/>
      <c r="AA567" s="121"/>
      <c r="AB567" s="121"/>
    </row>
    <row r="568">
      <c r="A568" s="131"/>
      <c r="B568" s="131"/>
      <c r="C568" s="131"/>
      <c r="D568" s="131"/>
      <c r="E568" s="131"/>
      <c r="F568" s="131"/>
      <c r="G568" s="131"/>
      <c r="H568" s="121"/>
      <c r="I568" s="121"/>
      <c r="J568" s="121"/>
      <c r="K568" s="121"/>
      <c r="L568" s="121"/>
      <c r="M568" s="121"/>
      <c r="N568" s="121"/>
      <c r="O568" s="121"/>
      <c r="P568" s="121"/>
      <c r="Q568" s="121"/>
      <c r="R568" s="121"/>
      <c r="S568" s="121"/>
      <c r="T568" s="121"/>
      <c r="U568" s="121"/>
      <c r="V568" s="121"/>
      <c r="W568" s="121"/>
      <c r="X568" s="121"/>
      <c r="Y568" s="121"/>
      <c r="Z568" s="121"/>
      <c r="AA568" s="121"/>
      <c r="AB568" s="121"/>
    </row>
    <row r="569">
      <c r="A569" s="131"/>
      <c r="B569" s="131"/>
      <c r="C569" s="131"/>
      <c r="D569" s="131"/>
      <c r="E569" s="131"/>
      <c r="F569" s="131"/>
      <c r="G569" s="131"/>
      <c r="H569" s="121"/>
      <c r="I569" s="121"/>
      <c r="J569" s="121"/>
      <c r="K569" s="121"/>
      <c r="L569" s="121"/>
      <c r="M569" s="121"/>
      <c r="N569" s="121"/>
      <c r="O569" s="121"/>
      <c r="P569" s="121"/>
      <c r="Q569" s="121"/>
      <c r="R569" s="121"/>
      <c r="S569" s="121"/>
      <c r="T569" s="121"/>
      <c r="U569" s="121"/>
      <c r="V569" s="121"/>
      <c r="W569" s="121"/>
      <c r="X569" s="121"/>
      <c r="Y569" s="121"/>
      <c r="Z569" s="121"/>
      <c r="AA569" s="121"/>
      <c r="AB569" s="121"/>
    </row>
    <row r="570">
      <c r="A570" s="131"/>
      <c r="B570" s="131"/>
      <c r="C570" s="131"/>
      <c r="D570" s="131"/>
      <c r="E570" s="131"/>
      <c r="F570" s="131"/>
      <c r="G570" s="131"/>
      <c r="H570" s="121"/>
      <c r="I570" s="121"/>
      <c r="J570" s="121"/>
      <c r="K570" s="121"/>
      <c r="L570" s="121"/>
      <c r="M570" s="121"/>
      <c r="N570" s="121"/>
      <c r="O570" s="121"/>
      <c r="P570" s="121"/>
      <c r="Q570" s="121"/>
      <c r="R570" s="121"/>
      <c r="S570" s="121"/>
      <c r="T570" s="121"/>
      <c r="U570" s="121"/>
      <c r="V570" s="121"/>
      <c r="W570" s="121"/>
      <c r="X570" s="121"/>
      <c r="Y570" s="121"/>
      <c r="Z570" s="121"/>
      <c r="AA570" s="121"/>
      <c r="AB570" s="121"/>
    </row>
    <row r="571">
      <c r="A571" s="131"/>
      <c r="B571" s="131"/>
      <c r="C571" s="131"/>
      <c r="D571" s="131"/>
      <c r="E571" s="131"/>
      <c r="F571" s="131"/>
      <c r="G571" s="131"/>
      <c r="H571" s="121"/>
      <c r="I571" s="121"/>
      <c r="J571" s="121"/>
      <c r="K571" s="121"/>
      <c r="L571" s="121"/>
      <c r="M571" s="121"/>
      <c r="N571" s="121"/>
      <c r="O571" s="121"/>
      <c r="P571" s="121"/>
      <c r="Q571" s="121"/>
      <c r="R571" s="121"/>
      <c r="S571" s="121"/>
      <c r="T571" s="121"/>
      <c r="U571" s="121"/>
      <c r="V571" s="121"/>
      <c r="W571" s="121"/>
      <c r="X571" s="121"/>
      <c r="Y571" s="121"/>
      <c r="Z571" s="121"/>
      <c r="AA571" s="121"/>
      <c r="AB571" s="121"/>
    </row>
    <row r="572">
      <c r="A572" s="131"/>
      <c r="B572" s="131"/>
      <c r="C572" s="131"/>
      <c r="D572" s="131"/>
      <c r="E572" s="131"/>
      <c r="F572" s="131"/>
      <c r="G572" s="131"/>
      <c r="H572" s="121"/>
      <c r="I572" s="121"/>
      <c r="J572" s="121"/>
      <c r="K572" s="121"/>
      <c r="L572" s="121"/>
      <c r="M572" s="121"/>
      <c r="N572" s="121"/>
      <c r="O572" s="121"/>
      <c r="P572" s="121"/>
      <c r="Q572" s="121"/>
      <c r="R572" s="121"/>
      <c r="S572" s="121"/>
      <c r="T572" s="121"/>
      <c r="U572" s="121"/>
      <c r="V572" s="121"/>
      <c r="W572" s="121"/>
      <c r="X572" s="121"/>
      <c r="Y572" s="121"/>
      <c r="Z572" s="121"/>
      <c r="AA572" s="121"/>
      <c r="AB572" s="121"/>
    </row>
    <row r="573">
      <c r="A573" s="131"/>
      <c r="B573" s="131"/>
      <c r="C573" s="131"/>
      <c r="D573" s="131"/>
      <c r="E573" s="131"/>
      <c r="F573" s="131"/>
      <c r="G573" s="131"/>
      <c r="H573" s="121"/>
      <c r="I573" s="121"/>
      <c r="J573" s="121"/>
      <c r="K573" s="121"/>
      <c r="L573" s="121"/>
      <c r="M573" s="121"/>
      <c r="N573" s="121"/>
      <c r="O573" s="121"/>
      <c r="P573" s="121"/>
      <c r="Q573" s="121"/>
      <c r="R573" s="121"/>
      <c r="S573" s="121"/>
      <c r="T573" s="121"/>
      <c r="U573" s="121"/>
      <c r="V573" s="121"/>
      <c r="W573" s="121"/>
      <c r="X573" s="121"/>
      <c r="Y573" s="121"/>
      <c r="Z573" s="121"/>
      <c r="AA573" s="121"/>
      <c r="AB573" s="121"/>
    </row>
    <row r="574">
      <c r="A574" s="131"/>
      <c r="B574" s="131"/>
      <c r="C574" s="131"/>
      <c r="D574" s="131"/>
      <c r="E574" s="131"/>
      <c r="F574" s="131"/>
      <c r="G574" s="131"/>
      <c r="H574" s="121"/>
      <c r="I574" s="121"/>
      <c r="J574" s="121"/>
      <c r="K574" s="121"/>
      <c r="L574" s="121"/>
      <c r="M574" s="121"/>
      <c r="N574" s="121"/>
      <c r="O574" s="121"/>
      <c r="P574" s="121"/>
      <c r="Q574" s="121"/>
      <c r="R574" s="121"/>
      <c r="S574" s="121"/>
      <c r="T574" s="121"/>
      <c r="U574" s="121"/>
      <c r="V574" s="121"/>
      <c r="W574" s="121"/>
      <c r="X574" s="121"/>
      <c r="Y574" s="121"/>
      <c r="Z574" s="121"/>
      <c r="AA574" s="121"/>
      <c r="AB574" s="121"/>
    </row>
    <row r="575">
      <c r="A575" s="131"/>
      <c r="B575" s="131"/>
      <c r="C575" s="131"/>
      <c r="D575" s="131"/>
      <c r="E575" s="131"/>
      <c r="F575" s="131"/>
      <c r="G575" s="131"/>
      <c r="H575" s="121"/>
      <c r="I575" s="121"/>
      <c r="J575" s="121"/>
      <c r="K575" s="121"/>
      <c r="L575" s="121"/>
      <c r="M575" s="121"/>
      <c r="N575" s="121"/>
      <c r="O575" s="121"/>
      <c r="P575" s="121"/>
      <c r="Q575" s="121"/>
      <c r="R575" s="121"/>
      <c r="S575" s="121"/>
      <c r="T575" s="121"/>
      <c r="U575" s="121"/>
      <c r="V575" s="121"/>
      <c r="W575" s="121"/>
      <c r="X575" s="121"/>
      <c r="Y575" s="121"/>
      <c r="Z575" s="121"/>
      <c r="AA575" s="121"/>
      <c r="AB575" s="121"/>
    </row>
    <row r="576">
      <c r="A576" s="131"/>
      <c r="B576" s="131"/>
      <c r="C576" s="131"/>
      <c r="D576" s="131"/>
      <c r="E576" s="131"/>
      <c r="F576" s="131"/>
      <c r="G576" s="131"/>
      <c r="H576" s="121"/>
      <c r="I576" s="121"/>
      <c r="J576" s="121"/>
      <c r="K576" s="121"/>
      <c r="L576" s="121"/>
      <c r="M576" s="121"/>
      <c r="N576" s="121"/>
      <c r="O576" s="121"/>
      <c r="P576" s="121"/>
      <c r="Q576" s="121"/>
      <c r="R576" s="121"/>
      <c r="S576" s="121"/>
      <c r="T576" s="121"/>
      <c r="U576" s="121"/>
      <c r="V576" s="121"/>
      <c r="W576" s="121"/>
      <c r="X576" s="121"/>
      <c r="Y576" s="121"/>
      <c r="Z576" s="121"/>
      <c r="AA576" s="121"/>
      <c r="AB576" s="121"/>
    </row>
    <row r="577">
      <c r="A577" s="131"/>
      <c r="B577" s="131"/>
      <c r="C577" s="131"/>
      <c r="D577" s="131"/>
      <c r="E577" s="131"/>
      <c r="F577" s="131"/>
      <c r="G577" s="131"/>
      <c r="H577" s="121"/>
      <c r="I577" s="121"/>
      <c r="J577" s="121"/>
      <c r="K577" s="121"/>
      <c r="L577" s="121"/>
      <c r="M577" s="121"/>
      <c r="N577" s="121"/>
      <c r="O577" s="121"/>
      <c r="P577" s="121"/>
      <c r="Q577" s="121"/>
      <c r="R577" s="121"/>
      <c r="S577" s="121"/>
      <c r="T577" s="121"/>
      <c r="U577" s="121"/>
      <c r="V577" s="121"/>
      <c r="W577" s="121"/>
      <c r="X577" s="121"/>
      <c r="Y577" s="121"/>
      <c r="Z577" s="121"/>
      <c r="AA577" s="121"/>
      <c r="AB577" s="121"/>
    </row>
    <row r="578">
      <c r="A578" s="131"/>
      <c r="B578" s="131"/>
      <c r="C578" s="131"/>
      <c r="D578" s="131"/>
      <c r="E578" s="131"/>
      <c r="F578" s="131"/>
      <c r="G578" s="131"/>
      <c r="H578" s="121"/>
      <c r="I578" s="121"/>
      <c r="J578" s="121"/>
      <c r="K578" s="121"/>
      <c r="L578" s="121"/>
      <c r="M578" s="121"/>
      <c r="N578" s="121"/>
      <c r="O578" s="121"/>
      <c r="P578" s="121"/>
      <c r="Q578" s="121"/>
      <c r="R578" s="121"/>
      <c r="S578" s="121"/>
      <c r="T578" s="121"/>
      <c r="U578" s="121"/>
      <c r="V578" s="121"/>
      <c r="W578" s="121"/>
      <c r="X578" s="121"/>
      <c r="Y578" s="121"/>
      <c r="Z578" s="121"/>
      <c r="AA578" s="121"/>
      <c r="AB578" s="121"/>
    </row>
    <row r="579">
      <c r="A579" s="131"/>
      <c r="B579" s="131"/>
      <c r="C579" s="131"/>
      <c r="D579" s="131"/>
      <c r="E579" s="131"/>
      <c r="F579" s="131"/>
      <c r="G579" s="131"/>
      <c r="H579" s="121"/>
      <c r="I579" s="121"/>
      <c r="J579" s="121"/>
      <c r="K579" s="121"/>
      <c r="L579" s="121"/>
      <c r="M579" s="121"/>
      <c r="N579" s="121"/>
      <c r="O579" s="121"/>
      <c r="P579" s="121"/>
      <c r="Q579" s="121"/>
      <c r="R579" s="121"/>
      <c r="S579" s="121"/>
      <c r="T579" s="121"/>
      <c r="U579" s="121"/>
      <c r="V579" s="121"/>
      <c r="W579" s="121"/>
      <c r="X579" s="121"/>
      <c r="Y579" s="121"/>
      <c r="Z579" s="121"/>
      <c r="AA579" s="121"/>
      <c r="AB579" s="121"/>
    </row>
    <row r="580">
      <c r="A580" s="131"/>
      <c r="B580" s="131"/>
      <c r="C580" s="131"/>
      <c r="D580" s="131"/>
      <c r="E580" s="131"/>
      <c r="F580" s="131"/>
      <c r="G580" s="131"/>
      <c r="H580" s="121"/>
      <c r="I580" s="121"/>
      <c r="J580" s="121"/>
      <c r="K580" s="121"/>
      <c r="L580" s="121"/>
      <c r="M580" s="121"/>
      <c r="N580" s="121"/>
      <c r="O580" s="121"/>
      <c r="P580" s="121"/>
      <c r="Q580" s="121"/>
      <c r="R580" s="121"/>
      <c r="S580" s="121"/>
      <c r="T580" s="121"/>
      <c r="U580" s="121"/>
      <c r="V580" s="121"/>
      <c r="W580" s="121"/>
      <c r="X580" s="121"/>
      <c r="Y580" s="121"/>
      <c r="Z580" s="121"/>
      <c r="AA580" s="121"/>
      <c r="AB580" s="121"/>
    </row>
    <row r="581">
      <c r="A581" s="131"/>
      <c r="B581" s="131"/>
      <c r="C581" s="131"/>
      <c r="D581" s="131"/>
      <c r="E581" s="131"/>
      <c r="F581" s="131"/>
      <c r="G581" s="131"/>
      <c r="H581" s="121"/>
      <c r="I581" s="121"/>
      <c r="J581" s="121"/>
      <c r="K581" s="121"/>
      <c r="L581" s="121"/>
      <c r="M581" s="121"/>
      <c r="N581" s="121"/>
      <c r="O581" s="121"/>
      <c r="P581" s="121"/>
      <c r="Q581" s="121"/>
      <c r="R581" s="121"/>
      <c r="S581" s="121"/>
      <c r="T581" s="121"/>
      <c r="U581" s="121"/>
      <c r="V581" s="121"/>
      <c r="W581" s="121"/>
      <c r="X581" s="121"/>
      <c r="Y581" s="121"/>
      <c r="Z581" s="121"/>
      <c r="AA581" s="121"/>
      <c r="AB581" s="121"/>
    </row>
    <row r="582">
      <c r="A582" s="131"/>
      <c r="B582" s="131"/>
      <c r="C582" s="131"/>
      <c r="D582" s="131"/>
      <c r="E582" s="131"/>
      <c r="F582" s="131"/>
      <c r="G582" s="131"/>
      <c r="H582" s="121"/>
      <c r="I582" s="121"/>
      <c r="J582" s="121"/>
      <c r="K582" s="121"/>
      <c r="L582" s="121"/>
      <c r="M582" s="121"/>
      <c r="N582" s="121"/>
      <c r="O582" s="121"/>
      <c r="P582" s="121"/>
      <c r="Q582" s="121"/>
      <c r="R582" s="121"/>
      <c r="S582" s="121"/>
      <c r="T582" s="121"/>
      <c r="U582" s="121"/>
      <c r="V582" s="121"/>
      <c r="W582" s="121"/>
      <c r="X582" s="121"/>
      <c r="Y582" s="121"/>
      <c r="Z582" s="121"/>
      <c r="AA582" s="121"/>
      <c r="AB582" s="121"/>
    </row>
    <row r="583">
      <c r="A583" s="131"/>
      <c r="B583" s="131"/>
      <c r="C583" s="131"/>
      <c r="D583" s="131"/>
      <c r="E583" s="131"/>
      <c r="F583" s="131"/>
      <c r="G583" s="131"/>
      <c r="H583" s="121"/>
      <c r="I583" s="121"/>
      <c r="J583" s="121"/>
      <c r="K583" s="121"/>
      <c r="L583" s="121"/>
      <c r="M583" s="121"/>
      <c r="N583" s="121"/>
      <c r="O583" s="121"/>
      <c r="P583" s="121"/>
      <c r="Q583" s="121"/>
      <c r="R583" s="121"/>
      <c r="S583" s="121"/>
      <c r="T583" s="121"/>
      <c r="U583" s="121"/>
      <c r="V583" s="121"/>
      <c r="W583" s="121"/>
      <c r="X583" s="121"/>
      <c r="Y583" s="121"/>
      <c r="Z583" s="121"/>
      <c r="AA583" s="121"/>
      <c r="AB583" s="121"/>
    </row>
    <row r="584">
      <c r="A584" s="131"/>
      <c r="B584" s="131"/>
      <c r="C584" s="131"/>
      <c r="D584" s="131"/>
      <c r="E584" s="131"/>
      <c r="F584" s="131"/>
      <c r="G584" s="131"/>
      <c r="H584" s="121"/>
      <c r="I584" s="121"/>
      <c r="J584" s="121"/>
      <c r="K584" s="121"/>
      <c r="L584" s="121"/>
      <c r="M584" s="121"/>
      <c r="N584" s="121"/>
      <c r="O584" s="121"/>
      <c r="P584" s="121"/>
      <c r="Q584" s="121"/>
      <c r="R584" s="121"/>
      <c r="S584" s="121"/>
      <c r="T584" s="121"/>
      <c r="U584" s="121"/>
      <c r="V584" s="121"/>
      <c r="W584" s="121"/>
      <c r="X584" s="121"/>
      <c r="Y584" s="121"/>
      <c r="Z584" s="121"/>
      <c r="AA584" s="121"/>
      <c r="AB584" s="121"/>
    </row>
    <row r="585">
      <c r="A585" s="131"/>
      <c r="B585" s="131"/>
      <c r="C585" s="131"/>
      <c r="D585" s="131"/>
      <c r="E585" s="131"/>
      <c r="F585" s="131"/>
      <c r="G585" s="131"/>
      <c r="H585" s="121"/>
      <c r="I585" s="121"/>
      <c r="J585" s="121"/>
      <c r="K585" s="121"/>
      <c r="L585" s="121"/>
      <c r="M585" s="121"/>
      <c r="N585" s="121"/>
      <c r="O585" s="121"/>
      <c r="P585" s="121"/>
      <c r="Q585" s="121"/>
      <c r="R585" s="121"/>
      <c r="S585" s="121"/>
      <c r="T585" s="121"/>
      <c r="U585" s="121"/>
      <c r="V585" s="121"/>
      <c r="W585" s="121"/>
      <c r="X585" s="121"/>
      <c r="Y585" s="121"/>
      <c r="Z585" s="121"/>
      <c r="AA585" s="121"/>
      <c r="AB585" s="121"/>
    </row>
    <row r="586">
      <c r="A586" s="131"/>
      <c r="B586" s="131"/>
      <c r="C586" s="131"/>
      <c r="D586" s="131"/>
      <c r="E586" s="131"/>
      <c r="F586" s="131"/>
      <c r="G586" s="131"/>
      <c r="H586" s="121"/>
      <c r="I586" s="121"/>
      <c r="J586" s="121"/>
      <c r="K586" s="121"/>
      <c r="L586" s="121"/>
      <c r="M586" s="121"/>
      <c r="N586" s="121"/>
      <c r="O586" s="121"/>
      <c r="P586" s="121"/>
      <c r="Q586" s="121"/>
      <c r="R586" s="121"/>
      <c r="S586" s="121"/>
      <c r="T586" s="121"/>
      <c r="U586" s="121"/>
      <c r="V586" s="121"/>
      <c r="W586" s="121"/>
      <c r="X586" s="121"/>
      <c r="Y586" s="121"/>
      <c r="Z586" s="121"/>
      <c r="AA586" s="121"/>
      <c r="AB586" s="121"/>
    </row>
    <row r="587">
      <c r="A587" s="131"/>
      <c r="B587" s="131"/>
      <c r="C587" s="131"/>
      <c r="D587" s="131"/>
      <c r="E587" s="131"/>
      <c r="F587" s="131"/>
      <c r="G587" s="131"/>
      <c r="H587" s="121"/>
      <c r="I587" s="121"/>
      <c r="J587" s="121"/>
      <c r="K587" s="121"/>
      <c r="L587" s="121"/>
      <c r="M587" s="121"/>
      <c r="N587" s="121"/>
      <c r="O587" s="121"/>
      <c r="P587" s="121"/>
      <c r="Q587" s="121"/>
      <c r="R587" s="121"/>
      <c r="S587" s="121"/>
      <c r="T587" s="121"/>
      <c r="U587" s="121"/>
      <c r="V587" s="121"/>
      <c r="W587" s="121"/>
      <c r="X587" s="121"/>
      <c r="Y587" s="121"/>
      <c r="Z587" s="121"/>
      <c r="AA587" s="121"/>
      <c r="AB587" s="121"/>
    </row>
    <row r="588">
      <c r="A588" s="131"/>
      <c r="B588" s="131"/>
      <c r="C588" s="131"/>
      <c r="D588" s="131"/>
      <c r="E588" s="131"/>
      <c r="F588" s="131"/>
      <c r="G588" s="131"/>
      <c r="H588" s="121"/>
      <c r="I588" s="121"/>
      <c r="J588" s="121"/>
      <c r="K588" s="121"/>
      <c r="L588" s="121"/>
      <c r="M588" s="121"/>
      <c r="N588" s="121"/>
      <c r="O588" s="121"/>
      <c r="P588" s="121"/>
      <c r="Q588" s="121"/>
      <c r="R588" s="121"/>
      <c r="S588" s="121"/>
      <c r="T588" s="121"/>
      <c r="U588" s="121"/>
      <c r="V588" s="121"/>
      <c r="W588" s="121"/>
      <c r="X588" s="121"/>
      <c r="Y588" s="121"/>
      <c r="Z588" s="121"/>
      <c r="AA588" s="121"/>
      <c r="AB588" s="121"/>
    </row>
    <row r="589">
      <c r="A589" s="131"/>
      <c r="B589" s="131"/>
      <c r="C589" s="131"/>
      <c r="D589" s="131"/>
      <c r="E589" s="131"/>
      <c r="F589" s="131"/>
      <c r="G589" s="131"/>
      <c r="H589" s="121"/>
      <c r="I589" s="121"/>
      <c r="J589" s="121"/>
      <c r="K589" s="121"/>
      <c r="L589" s="121"/>
      <c r="M589" s="121"/>
      <c r="N589" s="121"/>
      <c r="O589" s="121"/>
      <c r="P589" s="121"/>
      <c r="Q589" s="121"/>
      <c r="R589" s="121"/>
      <c r="S589" s="121"/>
      <c r="T589" s="121"/>
      <c r="U589" s="121"/>
      <c r="V589" s="121"/>
      <c r="W589" s="121"/>
      <c r="X589" s="121"/>
      <c r="Y589" s="121"/>
      <c r="Z589" s="121"/>
      <c r="AA589" s="121"/>
      <c r="AB589" s="121"/>
    </row>
    <row r="590">
      <c r="A590" s="131"/>
      <c r="B590" s="131"/>
      <c r="C590" s="131"/>
      <c r="D590" s="131"/>
      <c r="E590" s="131"/>
      <c r="F590" s="131"/>
      <c r="G590" s="131"/>
      <c r="H590" s="121"/>
      <c r="I590" s="121"/>
      <c r="J590" s="121"/>
      <c r="K590" s="121"/>
      <c r="L590" s="121"/>
      <c r="M590" s="121"/>
      <c r="N590" s="121"/>
      <c r="O590" s="121"/>
      <c r="P590" s="121"/>
      <c r="Q590" s="121"/>
      <c r="R590" s="121"/>
      <c r="S590" s="121"/>
      <c r="T590" s="121"/>
      <c r="U590" s="121"/>
      <c r="V590" s="121"/>
      <c r="W590" s="121"/>
      <c r="X590" s="121"/>
      <c r="Y590" s="121"/>
      <c r="Z590" s="121"/>
      <c r="AA590" s="121"/>
      <c r="AB590" s="121"/>
    </row>
    <row r="591">
      <c r="A591" s="131"/>
      <c r="B591" s="131"/>
      <c r="C591" s="131"/>
      <c r="D591" s="131"/>
      <c r="E591" s="131"/>
      <c r="F591" s="131"/>
      <c r="G591" s="131"/>
      <c r="H591" s="121"/>
      <c r="I591" s="121"/>
      <c r="J591" s="121"/>
      <c r="K591" s="121"/>
      <c r="L591" s="121"/>
      <c r="M591" s="121"/>
      <c r="N591" s="121"/>
      <c r="O591" s="121"/>
      <c r="P591" s="121"/>
      <c r="Q591" s="121"/>
      <c r="R591" s="121"/>
      <c r="S591" s="121"/>
      <c r="T591" s="121"/>
      <c r="U591" s="121"/>
      <c r="V591" s="121"/>
      <c r="W591" s="121"/>
      <c r="X591" s="121"/>
      <c r="Y591" s="121"/>
      <c r="Z591" s="121"/>
      <c r="AA591" s="121"/>
      <c r="AB591" s="121"/>
    </row>
    <row r="592">
      <c r="A592" s="131"/>
      <c r="B592" s="131"/>
      <c r="C592" s="131"/>
      <c r="D592" s="131"/>
      <c r="E592" s="131"/>
      <c r="F592" s="131"/>
      <c r="G592" s="131"/>
      <c r="H592" s="121"/>
      <c r="I592" s="121"/>
      <c r="J592" s="121"/>
      <c r="K592" s="121"/>
      <c r="L592" s="121"/>
      <c r="M592" s="121"/>
      <c r="N592" s="121"/>
      <c r="O592" s="121"/>
      <c r="P592" s="121"/>
      <c r="Q592" s="121"/>
      <c r="R592" s="121"/>
      <c r="S592" s="121"/>
      <c r="T592" s="121"/>
      <c r="U592" s="121"/>
      <c r="V592" s="121"/>
      <c r="W592" s="121"/>
      <c r="X592" s="121"/>
      <c r="Y592" s="121"/>
      <c r="Z592" s="121"/>
      <c r="AA592" s="121"/>
      <c r="AB592" s="121"/>
    </row>
    <row r="593">
      <c r="A593" s="131"/>
      <c r="B593" s="131"/>
      <c r="C593" s="131"/>
      <c r="D593" s="131"/>
      <c r="E593" s="131"/>
      <c r="F593" s="131"/>
      <c r="G593" s="131"/>
      <c r="H593" s="121"/>
      <c r="I593" s="121"/>
      <c r="J593" s="121"/>
      <c r="K593" s="121"/>
      <c r="L593" s="121"/>
      <c r="M593" s="121"/>
      <c r="N593" s="121"/>
      <c r="O593" s="121"/>
      <c r="P593" s="121"/>
      <c r="Q593" s="121"/>
      <c r="R593" s="121"/>
      <c r="S593" s="121"/>
      <c r="T593" s="121"/>
      <c r="U593" s="121"/>
      <c r="V593" s="121"/>
      <c r="W593" s="121"/>
      <c r="X593" s="121"/>
      <c r="Y593" s="121"/>
      <c r="Z593" s="121"/>
      <c r="AA593" s="121"/>
      <c r="AB593" s="121"/>
    </row>
    <row r="594">
      <c r="A594" s="131"/>
      <c r="B594" s="131"/>
      <c r="C594" s="131"/>
      <c r="D594" s="131"/>
      <c r="E594" s="131"/>
      <c r="F594" s="131"/>
      <c r="G594" s="131"/>
      <c r="H594" s="121"/>
      <c r="I594" s="121"/>
      <c r="J594" s="121"/>
      <c r="K594" s="121"/>
      <c r="L594" s="121"/>
      <c r="M594" s="121"/>
      <c r="N594" s="121"/>
      <c r="O594" s="121"/>
      <c r="P594" s="121"/>
      <c r="Q594" s="121"/>
      <c r="R594" s="121"/>
      <c r="S594" s="121"/>
      <c r="T594" s="121"/>
      <c r="U594" s="121"/>
      <c r="V594" s="121"/>
      <c r="W594" s="121"/>
      <c r="X594" s="121"/>
      <c r="Y594" s="121"/>
      <c r="Z594" s="121"/>
      <c r="AA594" s="121"/>
      <c r="AB594" s="121"/>
    </row>
    <row r="595">
      <c r="A595" s="131"/>
      <c r="B595" s="131"/>
      <c r="C595" s="131"/>
      <c r="D595" s="131"/>
      <c r="E595" s="131"/>
      <c r="F595" s="131"/>
      <c r="G595" s="131"/>
      <c r="H595" s="121"/>
      <c r="I595" s="121"/>
      <c r="J595" s="121"/>
      <c r="K595" s="121"/>
      <c r="L595" s="121"/>
      <c r="M595" s="121"/>
      <c r="N595" s="121"/>
      <c r="O595" s="121"/>
      <c r="P595" s="121"/>
      <c r="Q595" s="121"/>
      <c r="R595" s="121"/>
      <c r="S595" s="121"/>
      <c r="T595" s="121"/>
      <c r="U595" s="121"/>
      <c r="V595" s="121"/>
      <c r="W595" s="121"/>
      <c r="X595" s="121"/>
      <c r="Y595" s="121"/>
      <c r="Z595" s="121"/>
      <c r="AA595" s="121"/>
      <c r="AB595" s="121"/>
    </row>
    <row r="596">
      <c r="A596" s="131"/>
      <c r="B596" s="131"/>
      <c r="C596" s="131"/>
      <c r="D596" s="131"/>
      <c r="E596" s="131"/>
      <c r="F596" s="131"/>
      <c r="G596" s="131"/>
      <c r="H596" s="121"/>
      <c r="I596" s="121"/>
      <c r="J596" s="121"/>
      <c r="K596" s="121"/>
      <c r="L596" s="121"/>
      <c r="M596" s="121"/>
      <c r="N596" s="121"/>
      <c r="O596" s="121"/>
      <c r="P596" s="121"/>
      <c r="Q596" s="121"/>
      <c r="R596" s="121"/>
      <c r="S596" s="121"/>
      <c r="T596" s="121"/>
      <c r="U596" s="121"/>
      <c r="V596" s="121"/>
      <c r="W596" s="121"/>
      <c r="X596" s="121"/>
      <c r="Y596" s="121"/>
      <c r="Z596" s="121"/>
      <c r="AA596" s="121"/>
      <c r="AB596" s="121"/>
    </row>
    <row r="597">
      <c r="A597" s="131"/>
      <c r="B597" s="131"/>
      <c r="C597" s="131"/>
      <c r="D597" s="131"/>
      <c r="E597" s="131"/>
      <c r="F597" s="131"/>
      <c r="G597" s="131"/>
      <c r="H597" s="121"/>
      <c r="I597" s="121"/>
      <c r="J597" s="121"/>
      <c r="K597" s="121"/>
      <c r="L597" s="121"/>
      <c r="M597" s="121"/>
      <c r="N597" s="121"/>
      <c r="O597" s="121"/>
      <c r="P597" s="121"/>
      <c r="Q597" s="121"/>
      <c r="R597" s="121"/>
      <c r="S597" s="121"/>
      <c r="T597" s="121"/>
      <c r="U597" s="121"/>
      <c r="V597" s="121"/>
      <c r="W597" s="121"/>
      <c r="X597" s="121"/>
      <c r="Y597" s="121"/>
      <c r="Z597" s="121"/>
      <c r="AA597" s="121"/>
      <c r="AB597" s="121"/>
    </row>
    <row r="598">
      <c r="A598" s="131"/>
      <c r="B598" s="131"/>
      <c r="C598" s="131"/>
      <c r="D598" s="131"/>
      <c r="E598" s="131"/>
      <c r="F598" s="131"/>
      <c r="G598" s="131"/>
      <c r="H598" s="121"/>
      <c r="I598" s="121"/>
      <c r="J598" s="121"/>
      <c r="K598" s="121"/>
      <c r="L598" s="121"/>
      <c r="M598" s="121"/>
      <c r="N598" s="121"/>
      <c r="O598" s="121"/>
      <c r="P598" s="121"/>
      <c r="Q598" s="121"/>
      <c r="R598" s="121"/>
      <c r="S598" s="121"/>
      <c r="T598" s="121"/>
      <c r="U598" s="121"/>
      <c r="V598" s="121"/>
      <c r="W598" s="121"/>
      <c r="X598" s="121"/>
      <c r="Y598" s="121"/>
      <c r="Z598" s="121"/>
      <c r="AA598" s="121"/>
      <c r="AB598" s="121"/>
    </row>
    <row r="599">
      <c r="A599" s="131"/>
      <c r="B599" s="131"/>
      <c r="C599" s="131"/>
      <c r="D599" s="131"/>
      <c r="E599" s="131"/>
      <c r="F599" s="131"/>
      <c r="G599" s="131"/>
      <c r="H599" s="121"/>
      <c r="I599" s="121"/>
      <c r="J599" s="121"/>
      <c r="K599" s="121"/>
      <c r="L599" s="121"/>
      <c r="M599" s="121"/>
      <c r="N599" s="121"/>
      <c r="O599" s="121"/>
      <c r="P599" s="121"/>
      <c r="Q599" s="121"/>
      <c r="R599" s="121"/>
      <c r="S599" s="121"/>
      <c r="T599" s="121"/>
      <c r="U599" s="121"/>
      <c r="V599" s="121"/>
      <c r="W599" s="121"/>
      <c r="X599" s="121"/>
      <c r="Y599" s="121"/>
      <c r="Z599" s="121"/>
      <c r="AA599" s="121"/>
      <c r="AB599" s="121"/>
    </row>
    <row r="600">
      <c r="A600" s="131"/>
      <c r="B600" s="131"/>
      <c r="C600" s="131"/>
      <c r="D600" s="131"/>
      <c r="E600" s="131"/>
      <c r="F600" s="131"/>
      <c r="G600" s="131"/>
      <c r="H600" s="121"/>
      <c r="I600" s="121"/>
      <c r="J600" s="121"/>
      <c r="K600" s="121"/>
      <c r="L600" s="121"/>
      <c r="M600" s="121"/>
      <c r="N600" s="121"/>
      <c r="O600" s="121"/>
      <c r="P600" s="121"/>
      <c r="Q600" s="121"/>
      <c r="R600" s="121"/>
      <c r="S600" s="121"/>
      <c r="T600" s="121"/>
      <c r="U600" s="121"/>
      <c r="V600" s="121"/>
      <c r="W600" s="121"/>
      <c r="X600" s="121"/>
      <c r="Y600" s="121"/>
      <c r="Z600" s="121"/>
      <c r="AA600" s="121"/>
      <c r="AB600" s="121"/>
    </row>
    <row r="601">
      <c r="A601" s="131"/>
      <c r="B601" s="131"/>
      <c r="C601" s="131"/>
      <c r="D601" s="131"/>
      <c r="E601" s="131"/>
      <c r="F601" s="131"/>
      <c r="G601" s="131"/>
      <c r="H601" s="121"/>
      <c r="I601" s="121"/>
      <c r="J601" s="121"/>
      <c r="K601" s="121"/>
      <c r="L601" s="121"/>
      <c r="M601" s="121"/>
      <c r="N601" s="121"/>
      <c r="O601" s="121"/>
      <c r="P601" s="121"/>
      <c r="Q601" s="121"/>
      <c r="R601" s="121"/>
      <c r="S601" s="121"/>
      <c r="T601" s="121"/>
      <c r="U601" s="121"/>
      <c r="V601" s="121"/>
      <c r="W601" s="121"/>
      <c r="X601" s="121"/>
      <c r="Y601" s="121"/>
      <c r="Z601" s="121"/>
      <c r="AA601" s="121"/>
      <c r="AB601" s="121"/>
    </row>
    <row r="602">
      <c r="A602" s="131"/>
      <c r="B602" s="131"/>
      <c r="C602" s="131"/>
      <c r="D602" s="131"/>
      <c r="E602" s="131"/>
      <c r="F602" s="131"/>
      <c r="G602" s="131"/>
      <c r="H602" s="121"/>
      <c r="I602" s="121"/>
      <c r="J602" s="121"/>
      <c r="K602" s="121"/>
      <c r="L602" s="121"/>
      <c r="M602" s="121"/>
      <c r="N602" s="121"/>
      <c r="O602" s="121"/>
      <c r="P602" s="121"/>
      <c r="Q602" s="121"/>
      <c r="R602" s="121"/>
      <c r="S602" s="121"/>
      <c r="T602" s="121"/>
      <c r="U602" s="121"/>
      <c r="V602" s="121"/>
      <c r="W602" s="121"/>
      <c r="X602" s="121"/>
      <c r="Y602" s="121"/>
      <c r="Z602" s="121"/>
      <c r="AA602" s="121"/>
      <c r="AB602" s="121"/>
    </row>
    <row r="603">
      <c r="A603" s="131"/>
      <c r="B603" s="131"/>
      <c r="C603" s="131"/>
      <c r="D603" s="131"/>
      <c r="E603" s="131"/>
      <c r="F603" s="131"/>
      <c r="G603" s="131"/>
      <c r="H603" s="121"/>
      <c r="I603" s="121"/>
      <c r="J603" s="121"/>
      <c r="K603" s="121"/>
      <c r="L603" s="121"/>
      <c r="M603" s="121"/>
      <c r="N603" s="121"/>
      <c r="O603" s="121"/>
      <c r="P603" s="121"/>
      <c r="Q603" s="121"/>
      <c r="R603" s="121"/>
      <c r="S603" s="121"/>
      <c r="T603" s="121"/>
      <c r="U603" s="121"/>
      <c r="V603" s="121"/>
      <c r="W603" s="121"/>
      <c r="X603" s="121"/>
      <c r="Y603" s="121"/>
      <c r="Z603" s="121"/>
      <c r="AA603" s="121"/>
      <c r="AB603" s="121"/>
    </row>
    <row r="604">
      <c r="A604" s="131"/>
      <c r="B604" s="131"/>
      <c r="C604" s="131"/>
      <c r="D604" s="131"/>
      <c r="E604" s="131"/>
      <c r="F604" s="131"/>
      <c r="G604" s="131"/>
      <c r="H604" s="121"/>
      <c r="I604" s="121"/>
      <c r="J604" s="121"/>
      <c r="K604" s="121"/>
      <c r="L604" s="121"/>
      <c r="M604" s="121"/>
      <c r="N604" s="121"/>
      <c r="O604" s="121"/>
      <c r="P604" s="121"/>
      <c r="Q604" s="121"/>
      <c r="R604" s="121"/>
      <c r="S604" s="121"/>
      <c r="T604" s="121"/>
      <c r="U604" s="121"/>
      <c r="V604" s="121"/>
      <c r="W604" s="121"/>
      <c r="X604" s="121"/>
      <c r="Y604" s="121"/>
      <c r="Z604" s="121"/>
      <c r="AA604" s="121"/>
      <c r="AB604" s="121"/>
    </row>
    <row r="605">
      <c r="A605" s="131"/>
      <c r="B605" s="131"/>
      <c r="C605" s="131"/>
      <c r="D605" s="131"/>
      <c r="E605" s="131"/>
      <c r="F605" s="131"/>
      <c r="G605" s="131"/>
      <c r="H605" s="121"/>
      <c r="I605" s="121"/>
      <c r="J605" s="121"/>
      <c r="K605" s="121"/>
      <c r="L605" s="121"/>
      <c r="M605" s="121"/>
      <c r="N605" s="121"/>
      <c r="O605" s="121"/>
      <c r="P605" s="121"/>
      <c r="Q605" s="121"/>
      <c r="R605" s="121"/>
      <c r="S605" s="121"/>
      <c r="T605" s="121"/>
      <c r="U605" s="121"/>
      <c r="V605" s="121"/>
      <c r="W605" s="121"/>
      <c r="X605" s="121"/>
      <c r="Y605" s="121"/>
      <c r="Z605" s="121"/>
      <c r="AA605" s="121"/>
      <c r="AB605" s="121"/>
    </row>
    <row r="606">
      <c r="A606" s="131"/>
      <c r="B606" s="131"/>
      <c r="C606" s="131"/>
      <c r="D606" s="131"/>
      <c r="E606" s="131"/>
      <c r="F606" s="131"/>
      <c r="G606" s="131"/>
      <c r="H606" s="121"/>
      <c r="I606" s="121"/>
      <c r="J606" s="121"/>
      <c r="K606" s="121"/>
      <c r="L606" s="121"/>
      <c r="M606" s="121"/>
      <c r="N606" s="121"/>
      <c r="O606" s="121"/>
      <c r="P606" s="121"/>
      <c r="Q606" s="121"/>
      <c r="R606" s="121"/>
      <c r="S606" s="121"/>
      <c r="T606" s="121"/>
      <c r="U606" s="121"/>
      <c r="V606" s="121"/>
      <c r="W606" s="121"/>
      <c r="X606" s="121"/>
      <c r="Y606" s="121"/>
      <c r="Z606" s="121"/>
      <c r="AA606" s="121"/>
      <c r="AB606" s="121"/>
    </row>
    <row r="607">
      <c r="A607" s="131"/>
      <c r="B607" s="131"/>
      <c r="C607" s="131"/>
      <c r="D607" s="131"/>
      <c r="E607" s="131"/>
      <c r="F607" s="131"/>
      <c r="G607" s="131"/>
      <c r="H607" s="121"/>
      <c r="I607" s="121"/>
      <c r="J607" s="121"/>
      <c r="K607" s="121"/>
      <c r="L607" s="121"/>
      <c r="M607" s="121"/>
      <c r="N607" s="121"/>
      <c r="O607" s="121"/>
      <c r="P607" s="121"/>
      <c r="Q607" s="121"/>
      <c r="R607" s="121"/>
      <c r="S607" s="121"/>
      <c r="T607" s="121"/>
      <c r="U607" s="121"/>
      <c r="V607" s="121"/>
      <c r="W607" s="121"/>
      <c r="X607" s="121"/>
      <c r="Y607" s="121"/>
      <c r="Z607" s="121"/>
      <c r="AA607" s="121"/>
      <c r="AB607" s="121"/>
    </row>
    <row r="608">
      <c r="A608" s="131"/>
      <c r="B608" s="131"/>
      <c r="C608" s="131"/>
      <c r="D608" s="131"/>
      <c r="E608" s="131"/>
      <c r="F608" s="131"/>
      <c r="G608" s="131"/>
      <c r="H608" s="121"/>
      <c r="I608" s="121"/>
      <c r="J608" s="121"/>
      <c r="K608" s="121"/>
      <c r="L608" s="121"/>
      <c r="M608" s="121"/>
      <c r="N608" s="121"/>
      <c r="O608" s="121"/>
      <c r="P608" s="121"/>
      <c r="Q608" s="121"/>
      <c r="R608" s="121"/>
      <c r="S608" s="121"/>
      <c r="T608" s="121"/>
      <c r="U608" s="121"/>
      <c r="V608" s="121"/>
      <c r="W608" s="121"/>
      <c r="X608" s="121"/>
      <c r="Y608" s="121"/>
      <c r="Z608" s="121"/>
      <c r="AA608" s="121"/>
      <c r="AB608" s="121"/>
    </row>
    <row r="609">
      <c r="A609" s="131"/>
      <c r="B609" s="131"/>
      <c r="C609" s="131"/>
      <c r="D609" s="131"/>
      <c r="E609" s="131"/>
      <c r="F609" s="131"/>
      <c r="G609" s="131"/>
      <c r="H609" s="121"/>
      <c r="I609" s="121"/>
      <c r="J609" s="121"/>
      <c r="K609" s="121"/>
      <c r="L609" s="121"/>
      <c r="M609" s="121"/>
      <c r="N609" s="121"/>
      <c r="O609" s="121"/>
      <c r="P609" s="121"/>
      <c r="Q609" s="121"/>
      <c r="R609" s="121"/>
      <c r="S609" s="121"/>
      <c r="T609" s="121"/>
      <c r="U609" s="121"/>
      <c r="V609" s="121"/>
      <c r="W609" s="121"/>
      <c r="X609" s="121"/>
      <c r="Y609" s="121"/>
      <c r="Z609" s="121"/>
      <c r="AA609" s="121"/>
      <c r="AB609" s="121"/>
    </row>
    <row r="610">
      <c r="A610" s="131"/>
      <c r="B610" s="131"/>
      <c r="C610" s="131"/>
      <c r="D610" s="131"/>
      <c r="E610" s="131"/>
      <c r="F610" s="131"/>
      <c r="G610" s="131"/>
      <c r="H610" s="121"/>
      <c r="I610" s="121"/>
      <c r="J610" s="121"/>
      <c r="K610" s="121"/>
      <c r="L610" s="121"/>
      <c r="M610" s="121"/>
      <c r="N610" s="121"/>
      <c r="O610" s="121"/>
      <c r="P610" s="121"/>
      <c r="Q610" s="121"/>
      <c r="R610" s="121"/>
      <c r="S610" s="121"/>
      <c r="T610" s="121"/>
      <c r="U610" s="121"/>
      <c r="V610" s="121"/>
      <c r="W610" s="121"/>
      <c r="X610" s="121"/>
      <c r="Y610" s="121"/>
      <c r="Z610" s="121"/>
      <c r="AA610" s="121"/>
      <c r="AB610" s="121"/>
    </row>
    <row r="611">
      <c r="A611" s="131"/>
      <c r="B611" s="131"/>
      <c r="C611" s="131"/>
      <c r="D611" s="131"/>
      <c r="E611" s="131"/>
      <c r="F611" s="131"/>
      <c r="G611" s="131"/>
      <c r="H611" s="121"/>
      <c r="I611" s="121"/>
      <c r="J611" s="121"/>
      <c r="K611" s="121"/>
      <c r="L611" s="121"/>
      <c r="M611" s="121"/>
      <c r="N611" s="121"/>
      <c r="O611" s="121"/>
      <c r="P611" s="121"/>
      <c r="Q611" s="121"/>
      <c r="R611" s="121"/>
      <c r="S611" s="121"/>
      <c r="T611" s="121"/>
      <c r="U611" s="121"/>
      <c r="V611" s="121"/>
      <c r="W611" s="121"/>
      <c r="X611" s="121"/>
      <c r="Y611" s="121"/>
      <c r="Z611" s="121"/>
      <c r="AA611" s="121"/>
      <c r="AB611" s="121"/>
    </row>
    <row r="612">
      <c r="A612" s="131"/>
      <c r="B612" s="131"/>
      <c r="C612" s="131"/>
      <c r="D612" s="131"/>
      <c r="E612" s="131"/>
      <c r="F612" s="131"/>
      <c r="G612" s="131"/>
      <c r="H612" s="121"/>
      <c r="I612" s="121"/>
      <c r="J612" s="121"/>
      <c r="K612" s="121"/>
      <c r="L612" s="121"/>
      <c r="M612" s="121"/>
      <c r="N612" s="121"/>
      <c r="O612" s="121"/>
      <c r="P612" s="121"/>
      <c r="Q612" s="121"/>
      <c r="R612" s="121"/>
      <c r="S612" s="121"/>
      <c r="T612" s="121"/>
      <c r="U612" s="121"/>
      <c r="V612" s="121"/>
      <c r="W612" s="121"/>
      <c r="X612" s="121"/>
      <c r="Y612" s="121"/>
      <c r="Z612" s="121"/>
      <c r="AA612" s="121"/>
      <c r="AB612" s="121"/>
    </row>
    <row r="613">
      <c r="A613" s="131"/>
      <c r="B613" s="131"/>
      <c r="C613" s="131"/>
      <c r="D613" s="131"/>
      <c r="E613" s="131"/>
      <c r="F613" s="131"/>
      <c r="G613" s="131"/>
      <c r="H613" s="121"/>
      <c r="I613" s="121"/>
      <c r="J613" s="121"/>
      <c r="K613" s="121"/>
      <c r="L613" s="121"/>
      <c r="M613" s="121"/>
      <c r="N613" s="121"/>
      <c r="O613" s="121"/>
      <c r="P613" s="121"/>
      <c r="Q613" s="121"/>
      <c r="R613" s="121"/>
      <c r="S613" s="121"/>
      <c r="T613" s="121"/>
      <c r="U613" s="121"/>
      <c r="V613" s="121"/>
      <c r="W613" s="121"/>
      <c r="X613" s="121"/>
      <c r="Y613" s="121"/>
      <c r="Z613" s="121"/>
      <c r="AA613" s="121"/>
      <c r="AB613" s="121"/>
    </row>
    <row r="614">
      <c r="A614" s="131"/>
      <c r="B614" s="131"/>
      <c r="C614" s="131"/>
      <c r="D614" s="131"/>
      <c r="E614" s="131"/>
      <c r="F614" s="131"/>
      <c r="G614" s="131"/>
      <c r="H614" s="121"/>
      <c r="I614" s="121"/>
      <c r="J614" s="121"/>
      <c r="K614" s="121"/>
      <c r="L614" s="121"/>
      <c r="M614" s="121"/>
      <c r="N614" s="121"/>
      <c r="O614" s="121"/>
      <c r="P614" s="121"/>
      <c r="Q614" s="121"/>
      <c r="R614" s="121"/>
      <c r="S614" s="121"/>
      <c r="T614" s="121"/>
      <c r="U614" s="121"/>
      <c r="V614" s="121"/>
      <c r="W614" s="121"/>
      <c r="X614" s="121"/>
      <c r="Y614" s="121"/>
      <c r="Z614" s="121"/>
      <c r="AA614" s="121"/>
      <c r="AB614" s="121"/>
    </row>
    <row r="615">
      <c r="A615" s="131"/>
      <c r="B615" s="131"/>
      <c r="C615" s="131"/>
      <c r="D615" s="131"/>
      <c r="E615" s="131"/>
      <c r="F615" s="131"/>
      <c r="G615" s="131"/>
      <c r="H615" s="121"/>
      <c r="I615" s="121"/>
      <c r="J615" s="121"/>
      <c r="K615" s="121"/>
      <c r="L615" s="121"/>
      <c r="M615" s="121"/>
      <c r="N615" s="121"/>
      <c r="O615" s="121"/>
      <c r="P615" s="121"/>
      <c r="Q615" s="121"/>
      <c r="R615" s="121"/>
      <c r="S615" s="121"/>
      <c r="T615" s="121"/>
      <c r="U615" s="121"/>
      <c r="V615" s="121"/>
      <c r="W615" s="121"/>
      <c r="X615" s="121"/>
      <c r="Y615" s="121"/>
      <c r="Z615" s="121"/>
      <c r="AA615" s="121"/>
      <c r="AB615" s="121"/>
    </row>
    <row r="616">
      <c r="A616" s="131"/>
      <c r="B616" s="131"/>
      <c r="C616" s="131"/>
      <c r="D616" s="131"/>
      <c r="E616" s="131"/>
      <c r="F616" s="131"/>
      <c r="G616" s="131"/>
      <c r="H616" s="121"/>
      <c r="I616" s="121"/>
      <c r="J616" s="121"/>
      <c r="K616" s="121"/>
      <c r="L616" s="121"/>
      <c r="M616" s="121"/>
      <c r="N616" s="121"/>
      <c r="O616" s="121"/>
      <c r="P616" s="121"/>
      <c r="Q616" s="121"/>
      <c r="R616" s="121"/>
      <c r="S616" s="121"/>
      <c r="T616" s="121"/>
      <c r="U616" s="121"/>
      <c r="V616" s="121"/>
      <c r="W616" s="121"/>
      <c r="X616" s="121"/>
      <c r="Y616" s="121"/>
      <c r="Z616" s="121"/>
      <c r="AA616" s="121"/>
      <c r="AB616" s="121"/>
    </row>
    <row r="617">
      <c r="A617" s="131"/>
      <c r="B617" s="131"/>
      <c r="C617" s="131"/>
      <c r="D617" s="131"/>
      <c r="E617" s="131"/>
      <c r="F617" s="131"/>
      <c r="G617" s="131"/>
      <c r="H617" s="121"/>
      <c r="I617" s="121"/>
      <c r="J617" s="121"/>
      <c r="K617" s="121"/>
      <c r="L617" s="121"/>
      <c r="M617" s="121"/>
      <c r="N617" s="121"/>
      <c r="O617" s="121"/>
      <c r="P617" s="121"/>
      <c r="Q617" s="121"/>
      <c r="R617" s="121"/>
      <c r="S617" s="121"/>
      <c r="T617" s="121"/>
      <c r="U617" s="121"/>
      <c r="V617" s="121"/>
      <c r="W617" s="121"/>
      <c r="X617" s="121"/>
      <c r="Y617" s="121"/>
      <c r="Z617" s="121"/>
      <c r="AA617" s="121"/>
      <c r="AB617" s="121"/>
    </row>
    <row r="618">
      <c r="A618" s="131"/>
      <c r="B618" s="131"/>
      <c r="C618" s="131"/>
      <c r="D618" s="131"/>
      <c r="E618" s="131"/>
      <c r="F618" s="131"/>
      <c r="G618" s="131"/>
      <c r="H618" s="121"/>
      <c r="I618" s="121"/>
      <c r="J618" s="121"/>
      <c r="K618" s="121"/>
      <c r="L618" s="121"/>
      <c r="M618" s="121"/>
      <c r="N618" s="121"/>
      <c r="O618" s="121"/>
      <c r="P618" s="121"/>
      <c r="Q618" s="121"/>
      <c r="R618" s="121"/>
      <c r="S618" s="121"/>
      <c r="T618" s="121"/>
      <c r="U618" s="121"/>
      <c r="V618" s="121"/>
      <c r="W618" s="121"/>
      <c r="X618" s="121"/>
      <c r="Y618" s="121"/>
      <c r="Z618" s="121"/>
      <c r="AA618" s="121"/>
      <c r="AB618" s="121"/>
    </row>
    <row r="619">
      <c r="A619" s="131"/>
      <c r="B619" s="131"/>
      <c r="C619" s="131"/>
      <c r="D619" s="131"/>
      <c r="E619" s="131"/>
      <c r="F619" s="131"/>
      <c r="G619" s="131"/>
      <c r="H619" s="121"/>
      <c r="I619" s="121"/>
      <c r="J619" s="121"/>
      <c r="K619" s="121"/>
      <c r="L619" s="121"/>
      <c r="M619" s="121"/>
      <c r="N619" s="121"/>
      <c r="O619" s="121"/>
      <c r="P619" s="121"/>
      <c r="Q619" s="121"/>
      <c r="R619" s="121"/>
      <c r="S619" s="121"/>
      <c r="T619" s="121"/>
      <c r="U619" s="121"/>
      <c r="V619" s="121"/>
      <c r="W619" s="121"/>
      <c r="X619" s="121"/>
      <c r="Y619" s="121"/>
      <c r="Z619" s="121"/>
      <c r="AA619" s="121"/>
      <c r="AB619" s="121"/>
    </row>
    <row r="620">
      <c r="A620" s="131"/>
      <c r="B620" s="131"/>
      <c r="C620" s="131"/>
      <c r="D620" s="131"/>
      <c r="E620" s="131"/>
      <c r="F620" s="131"/>
      <c r="G620" s="131"/>
      <c r="H620" s="121"/>
      <c r="I620" s="121"/>
      <c r="J620" s="121"/>
      <c r="K620" s="121"/>
      <c r="L620" s="121"/>
      <c r="M620" s="121"/>
      <c r="N620" s="121"/>
      <c r="O620" s="121"/>
      <c r="P620" s="121"/>
      <c r="Q620" s="121"/>
      <c r="R620" s="121"/>
      <c r="S620" s="121"/>
      <c r="T620" s="121"/>
      <c r="U620" s="121"/>
      <c r="V620" s="121"/>
      <c r="W620" s="121"/>
      <c r="X620" s="121"/>
      <c r="Y620" s="121"/>
      <c r="Z620" s="121"/>
      <c r="AA620" s="121"/>
      <c r="AB620" s="121"/>
    </row>
    <row r="621">
      <c r="A621" s="131"/>
      <c r="B621" s="131"/>
      <c r="C621" s="131"/>
      <c r="D621" s="131"/>
      <c r="E621" s="131"/>
      <c r="F621" s="131"/>
      <c r="G621" s="131"/>
      <c r="H621" s="121"/>
      <c r="I621" s="121"/>
      <c r="J621" s="121"/>
      <c r="K621" s="121"/>
      <c r="L621" s="121"/>
      <c r="M621" s="121"/>
      <c r="N621" s="121"/>
      <c r="O621" s="121"/>
      <c r="P621" s="121"/>
      <c r="Q621" s="121"/>
      <c r="R621" s="121"/>
      <c r="S621" s="121"/>
      <c r="T621" s="121"/>
      <c r="U621" s="121"/>
      <c r="V621" s="121"/>
      <c r="W621" s="121"/>
      <c r="X621" s="121"/>
      <c r="Y621" s="121"/>
      <c r="Z621" s="121"/>
      <c r="AA621" s="121"/>
      <c r="AB621" s="121"/>
    </row>
    <row r="622">
      <c r="A622" s="131"/>
      <c r="B622" s="131"/>
      <c r="C622" s="131"/>
      <c r="D622" s="131"/>
      <c r="E622" s="131"/>
      <c r="F622" s="131"/>
      <c r="G622" s="131"/>
      <c r="H622" s="121"/>
      <c r="I622" s="121"/>
      <c r="J622" s="121"/>
      <c r="K622" s="121"/>
      <c r="L622" s="121"/>
      <c r="M622" s="121"/>
      <c r="N622" s="121"/>
      <c r="O622" s="121"/>
      <c r="P622" s="121"/>
      <c r="Q622" s="121"/>
      <c r="R622" s="121"/>
      <c r="S622" s="121"/>
      <c r="T622" s="121"/>
      <c r="U622" s="121"/>
      <c r="V622" s="121"/>
      <c r="W622" s="121"/>
      <c r="X622" s="121"/>
      <c r="Y622" s="121"/>
      <c r="Z622" s="121"/>
      <c r="AA622" s="121"/>
      <c r="AB622" s="121"/>
    </row>
    <row r="623">
      <c r="A623" s="131"/>
      <c r="B623" s="131"/>
      <c r="C623" s="131"/>
      <c r="D623" s="131"/>
      <c r="E623" s="131"/>
      <c r="F623" s="131"/>
      <c r="G623" s="131"/>
      <c r="H623" s="121"/>
      <c r="I623" s="121"/>
      <c r="J623" s="121"/>
      <c r="K623" s="121"/>
      <c r="L623" s="121"/>
      <c r="M623" s="121"/>
      <c r="N623" s="121"/>
      <c r="O623" s="121"/>
      <c r="P623" s="121"/>
      <c r="Q623" s="121"/>
      <c r="R623" s="121"/>
      <c r="S623" s="121"/>
      <c r="T623" s="121"/>
      <c r="U623" s="121"/>
      <c r="V623" s="121"/>
      <c r="W623" s="121"/>
      <c r="X623" s="121"/>
      <c r="Y623" s="121"/>
      <c r="Z623" s="121"/>
      <c r="AA623" s="121"/>
      <c r="AB623" s="121"/>
    </row>
    <row r="624">
      <c r="A624" s="131"/>
      <c r="B624" s="131"/>
      <c r="C624" s="131"/>
      <c r="D624" s="131"/>
      <c r="E624" s="131"/>
      <c r="F624" s="131"/>
      <c r="G624" s="131"/>
      <c r="H624" s="121"/>
      <c r="I624" s="121"/>
      <c r="J624" s="121"/>
      <c r="K624" s="121"/>
      <c r="L624" s="121"/>
      <c r="M624" s="121"/>
      <c r="N624" s="121"/>
      <c r="O624" s="121"/>
      <c r="P624" s="121"/>
      <c r="Q624" s="121"/>
      <c r="R624" s="121"/>
      <c r="S624" s="121"/>
      <c r="T624" s="121"/>
      <c r="U624" s="121"/>
      <c r="V624" s="121"/>
      <c r="W624" s="121"/>
      <c r="X624" s="121"/>
      <c r="Y624" s="121"/>
      <c r="Z624" s="121"/>
      <c r="AA624" s="121"/>
      <c r="AB624" s="121"/>
    </row>
    <row r="625">
      <c r="A625" s="131"/>
      <c r="B625" s="131"/>
      <c r="C625" s="131"/>
      <c r="D625" s="131"/>
      <c r="E625" s="131"/>
      <c r="F625" s="131"/>
      <c r="G625" s="131"/>
      <c r="H625" s="121"/>
      <c r="I625" s="121"/>
      <c r="J625" s="121"/>
      <c r="K625" s="121"/>
      <c r="L625" s="121"/>
      <c r="M625" s="121"/>
      <c r="N625" s="121"/>
      <c r="O625" s="121"/>
      <c r="P625" s="121"/>
      <c r="Q625" s="121"/>
      <c r="R625" s="121"/>
      <c r="S625" s="121"/>
      <c r="T625" s="121"/>
      <c r="U625" s="121"/>
      <c r="V625" s="121"/>
      <c r="W625" s="121"/>
      <c r="X625" s="121"/>
      <c r="Y625" s="121"/>
      <c r="Z625" s="121"/>
      <c r="AA625" s="121"/>
      <c r="AB625" s="121"/>
    </row>
    <row r="626">
      <c r="A626" s="131"/>
      <c r="B626" s="131"/>
      <c r="C626" s="131"/>
      <c r="D626" s="131"/>
      <c r="E626" s="131"/>
      <c r="F626" s="131"/>
      <c r="G626" s="131"/>
      <c r="H626" s="121"/>
      <c r="I626" s="121"/>
      <c r="J626" s="121"/>
      <c r="K626" s="121"/>
      <c r="L626" s="121"/>
      <c r="M626" s="121"/>
      <c r="N626" s="121"/>
      <c r="O626" s="121"/>
      <c r="P626" s="121"/>
      <c r="Q626" s="121"/>
      <c r="R626" s="121"/>
      <c r="S626" s="121"/>
      <c r="T626" s="121"/>
      <c r="U626" s="121"/>
      <c r="V626" s="121"/>
      <c r="W626" s="121"/>
      <c r="X626" s="121"/>
      <c r="Y626" s="121"/>
      <c r="Z626" s="121"/>
      <c r="AA626" s="121"/>
      <c r="AB626" s="121"/>
    </row>
    <row r="627">
      <c r="A627" s="131"/>
      <c r="B627" s="131"/>
      <c r="C627" s="131"/>
      <c r="D627" s="131"/>
      <c r="E627" s="131"/>
      <c r="F627" s="131"/>
      <c r="G627" s="131"/>
      <c r="H627" s="121"/>
      <c r="I627" s="121"/>
      <c r="J627" s="121"/>
      <c r="K627" s="121"/>
      <c r="L627" s="121"/>
      <c r="M627" s="121"/>
      <c r="N627" s="121"/>
      <c r="O627" s="121"/>
      <c r="P627" s="121"/>
      <c r="Q627" s="121"/>
      <c r="R627" s="121"/>
      <c r="S627" s="121"/>
      <c r="T627" s="121"/>
      <c r="U627" s="121"/>
      <c r="V627" s="121"/>
      <c r="W627" s="121"/>
      <c r="X627" s="121"/>
      <c r="Y627" s="121"/>
      <c r="Z627" s="121"/>
      <c r="AA627" s="121"/>
      <c r="AB627" s="121"/>
    </row>
    <row r="628">
      <c r="A628" s="131"/>
      <c r="B628" s="131"/>
      <c r="C628" s="131"/>
      <c r="D628" s="131"/>
      <c r="E628" s="131"/>
      <c r="F628" s="131"/>
      <c r="G628" s="131"/>
      <c r="H628" s="121"/>
      <c r="I628" s="121"/>
      <c r="J628" s="121"/>
      <c r="K628" s="121"/>
      <c r="L628" s="121"/>
      <c r="M628" s="121"/>
      <c r="N628" s="121"/>
      <c r="O628" s="121"/>
      <c r="P628" s="121"/>
      <c r="Q628" s="121"/>
      <c r="R628" s="121"/>
      <c r="S628" s="121"/>
      <c r="T628" s="121"/>
      <c r="U628" s="121"/>
      <c r="V628" s="121"/>
      <c r="W628" s="121"/>
      <c r="X628" s="121"/>
      <c r="Y628" s="121"/>
      <c r="Z628" s="121"/>
      <c r="AA628" s="121"/>
      <c r="AB628" s="121"/>
    </row>
    <row r="629">
      <c r="A629" s="131"/>
      <c r="B629" s="131"/>
      <c r="C629" s="131"/>
      <c r="D629" s="131"/>
      <c r="E629" s="131"/>
      <c r="F629" s="131"/>
      <c r="G629" s="131"/>
      <c r="H629" s="121"/>
      <c r="I629" s="121"/>
      <c r="J629" s="121"/>
      <c r="K629" s="121"/>
      <c r="L629" s="121"/>
      <c r="M629" s="121"/>
      <c r="N629" s="121"/>
      <c r="O629" s="121"/>
      <c r="P629" s="121"/>
      <c r="Q629" s="121"/>
      <c r="R629" s="121"/>
      <c r="S629" s="121"/>
      <c r="T629" s="121"/>
      <c r="U629" s="121"/>
      <c r="V629" s="121"/>
      <c r="W629" s="121"/>
      <c r="X629" s="121"/>
      <c r="Y629" s="121"/>
      <c r="Z629" s="121"/>
      <c r="AA629" s="121"/>
      <c r="AB629" s="121"/>
    </row>
    <row r="630">
      <c r="A630" s="131"/>
      <c r="B630" s="131"/>
      <c r="C630" s="131"/>
      <c r="D630" s="131"/>
      <c r="E630" s="131"/>
      <c r="F630" s="131"/>
      <c r="G630" s="131"/>
      <c r="H630" s="121"/>
      <c r="I630" s="121"/>
      <c r="J630" s="121"/>
      <c r="K630" s="121"/>
      <c r="L630" s="121"/>
      <c r="M630" s="121"/>
      <c r="N630" s="121"/>
      <c r="O630" s="121"/>
      <c r="P630" s="121"/>
      <c r="Q630" s="121"/>
      <c r="R630" s="121"/>
      <c r="S630" s="121"/>
      <c r="T630" s="121"/>
      <c r="U630" s="121"/>
      <c r="V630" s="121"/>
      <c r="W630" s="121"/>
      <c r="X630" s="121"/>
      <c r="Y630" s="121"/>
      <c r="Z630" s="121"/>
      <c r="AA630" s="121"/>
      <c r="AB630" s="121"/>
    </row>
    <row r="631">
      <c r="A631" s="131"/>
      <c r="B631" s="131"/>
      <c r="C631" s="131"/>
      <c r="D631" s="131"/>
      <c r="E631" s="131"/>
      <c r="F631" s="131"/>
      <c r="G631" s="131"/>
      <c r="H631" s="121"/>
      <c r="I631" s="121"/>
      <c r="J631" s="121"/>
      <c r="K631" s="121"/>
      <c r="L631" s="121"/>
      <c r="M631" s="121"/>
      <c r="N631" s="121"/>
      <c r="O631" s="121"/>
      <c r="P631" s="121"/>
      <c r="Q631" s="121"/>
      <c r="R631" s="121"/>
      <c r="S631" s="121"/>
      <c r="T631" s="121"/>
      <c r="U631" s="121"/>
      <c r="V631" s="121"/>
      <c r="W631" s="121"/>
      <c r="X631" s="121"/>
      <c r="Y631" s="121"/>
      <c r="Z631" s="121"/>
      <c r="AA631" s="121"/>
      <c r="AB631" s="121"/>
    </row>
    <row r="632">
      <c r="A632" s="131"/>
      <c r="B632" s="131"/>
      <c r="C632" s="131"/>
      <c r="D632" s="131"/>
      <c r="E632" s="131"/>
      <c r="F632" s="131"/>
      <c r="G632" s="131"/>
      <c r="H632" s="121"/>
      <c r="I632" s="121"/>
      <c r="J632" s="121"/>
      <c r="K632" s="121"/>
      <c r="L632" s="121"/>
      <c r="M632" s="121"/>
      <c r="N632" s="121"/>
      <c r="O632" s="121"/>
      <c r="P632" s="121"/>
      <c r="Q632" s="121"/>
      <c r="R632" s="121"/>
      <c r="S632" s="121"/>
      <c r="T632" s="121"/>
      <c r="U632" s="121"/>
      <c r="V632" s="121"/>
      <c r="W632" s="121"/>
      <c r="X632" s="121"/>
      <c r="Y632" s="121"/>
      <c r="Z632" s="121"/>
      <c r="AA632" s="121"/>
      <c r="AB632" s="121"/>
    </row>
    <row r="633">
      <c r="A633" s="131"/>
      <c r="B633" s="131"/>
      <c r="C633" s="131"/>
      <c r="D633" s="131"/>
      <c r="E633" s="131"/>
      <c r="F633" s="131"/>
      <c r="G633" s="131"/>
      <c r="H633" s="121"/>
      <c r="I633" s="121"/>
      <c r="J633" s="121"/>
      <c r="K633" s="121"/>
      <c r="L633" s="121"/>
      <c r="M633" s="121"/>
      <c r="N633" s="121"/>
      <c r="O633" s="121"/>
      <c r="P633" s="121"/>
      <c r="Q633" s="121"/>
      <c r="R633" s="121"/>
      <c r="S633" s="121"/>
      <c r="T633" s="121"/>
      <c r="U633" s="121"/>
      <c r="V633" s="121"/>
      <c r="W633" s="121"/>
      <c r="X633" s="121"/>
      <c r="Y633" s="121"/>
      <c r="Z633" s="121"/>
      <c r="AA633" s="121"/>
      <c r="AB633" s="121"/>
    </row>
    <row r="634">
      <c r="A634" s="131"/>
      <c r="B634" s="131"/>
      <c r="C634" s="131"/>
      <c r="D634" s="131"/>
      <c r="E634" s="131"/>
      <c r="F634" s="131"/>
      <c r="G634" s="131"/>
      <c r="H634" s="121"/>
      <c r="I634" s="121"/>
      <c r="J634" s="121"/>
      <c r="K634" s="121"/>
      <c r="L634" s="121"/>
      <c r="M634" s="121"/>
      <c r="N634" s="121"/>
      <c r="O634" s="121"/>
      <c r="P634" s="121"/>
      <c r="Q634" s="121"/>
      <c r="R634" s="121"/>
      <c r="S634" s="121"/>
      <c r="T634" s="121"/>
      <c r="U634" s="121"/>
      <c r="V634" s="121"/>
      <c r="W634" s="121"/>
      <c r="X634" s="121"/>
      <c r="Y634" s="121"/>
      <c r="Z634" s="121"/>
      <c r="AA634" s="121"/>
      <c r="AB634" s="121"/>
    </row>
    <row r="635">
      <c r="A635" s="131"/>
      <c r="B635" s="131"/>
      <c r="C635" s="131"/>
      <c r="D635" s="131"/>
      <c r="E635" s="131"/>
      <c r="F635" s="131"/>
      <c r="G635" s="131"/>
      <c r="H635" s="121"/>
      <c r="I635" s="121"/>
      <c r="J635" s="121"/>
      <c r="K635" s="121"/>
      <c r="L635" s="121"/>
      <c r="M635" s="121"/>
      <c r="N635" s="121"/>
      <c r="O635" s="121"/>
      <c r="P635" s="121"/>
      <c r="Q635" s="121"/>
      <c r="R635" s="121"/>
      <c r="S635" s="121"/>
      <c r="T635" s="121"/>
      <c r="U635" s="121"/>
      <c r="V635" s="121"/>
      <c r="W635" s="121"/>
      <c r="X635" s="121"/>
      <c r="Y635" s="121"/>
      <c r="Z635" s="121"/>
      <c r="AA635" s="121"/>
      <c r="AB635" s="121"/>
    </row>
    <row r="636">
      <c r="A636" s="131"/>
      <c r="B636" s="131"/>
      <c r="C636" s="131"/>
      <c r="D636" s="131"/>
      <c r="E636" s="131"/>
      <c r="F636" s="131"/>
      <c r="G636" s="131"/>
      <c r="H636" s="121"/>
      <c r="I636" s="121"/>
      <c r="J636" s="121"/>
      <c r="K636" s="121"/>
      <c r="L636" s="121"/>
      <c r="M636" s="121"/>
      <c r="N636" s="121"/>
      <c r="O636" s="121"/>
      <c r="P636" s="121"/>
      <c r="Q636" s="121"/>
      <c r="R636" s="121"/>
      <c r="S636" s="121"/>
      <c r="T636" s="121"/>
      <c r="U636" s="121"/>
      <c r="V636" s="121"/>
      <c r="W636" s="121"/>
      <c r="X636" s="121"/>
      <c r="Y636" s="121"/>
      <c r="Z636" s="121"/>
      <c r="AA636" s="121"/>
      <c r="AB636" s="121"/>
    </row>
    <row r="637">
      <c r="A637" s="131"/>
      <c r="B637" s="131"/>
      <c r="C637" s="131"/>
      <c r="D637" s="131"/>
      <c r="E637" s="131"/>
      <c r="F637" s="131"/>
      <c r="G637" s="131"/>
      <c r="H637" s="121"/>
      <c r="I637" s="121"/>
      <c r="J637" s="121"/>
      <c r="K637" s="121"/>
      <c r="L637" s="121"/>
      <c r="M637" s="121"/>
      <c r="N637" s="121"/>
      <c r="O637" s="121"/>
      <c r="P637" s="121"/>
      <c r="Q637" s="121"/>
      <c r="R637" s="121"/>
      <c r="S637" s="121"/>
      <c r="T637" s="121"/>
      <c r="U637" s="121"/>
      <c r="V637" s="121"/>
      <c r="W637" s="121"/>
      <c r="X637" s="121"/>
      <c r="Y637" s="121"/>
      <c r="Z637" s="121"/>
      <c r="AA637" s="121"/>
      <c r="AB637" s="121"/>
    </row>
    <row r="638">
      <c r="A638" s="131"/>
      <c r="B638" s="131"/>
      <c r="C638" s="131"/>
      <c r="D638" s="131"/>
      <c r="E638" s="131"/>
      <c r="F638" s="131"/>
      <c r="G638" s="131"/>
      <c r="H638" s="121"/>
      <c r="I638" s="121"/>
      <c r="J638" s="121"/>
      <c r="K638" s="121"/>
      <c r="L638" s="121"/>
      <c r="M638" s="121"/>
      <c r="N638" s="121"/>
      <c r="O638" s="121"/>
      <c r="P638" s="121"/>
      <c r="Q638" s="121"/>
      <c r="R638" s="121"/>
      <c r="S638" s="121"/>
      <c r="T638" s="121"/>
      <c r="U638" s="121"/>
      <c r="V638" s="121"/>
      <c r="W638" s="121"/>
      <c r="X638" s="121"/>
      <c r="Y638" s="121"/>
      <c r="Z638" s="121"/>
      <c r="AA638" s="121"/>
      <c r="AB638" s="121"/>
    </row>
    <row r="639">
      <c r="A639" s="131"/>
      <c r="B639" s="131"/>
      <c r="C639" s="131"/>
      <c r="D639" s="131"/>
      <c r="E639" s="131"/>
      <c r="F639" s="131"/>
      <c r="G639" s="131"/>
      <c r="H639" s="121"/>
      <c r="I639" s="121"/>
      <c r="J639" s="121"/>
      <c r="K639" s="121"/>
      <c r="L639" s="121"/>
      <c r="M639" s="121"/>
      <c r="N639" s="121"/>
      <c r="O639" s="121"/>
      <c r="P639" s="121"/>
      <c r="Q639" s="121"/>
      <c r="R639" s="121"/>
      <c r="S639" s="121"/>
      <c r="T639" s="121"/>
      <c r="U639" s="121"/>
      <c r="V639" s="121"/>
      <c r="W639" s="121"/>
      <c r="X639" s="121"/>
      <c r="Y639" s="121"/>
      <c r="Z639" s="121"/>
      <c r="AA639" s="121"/>
      <c r="AB639" s="121"/>
    </row>
    <row r="640">
      <c r="A640" s="131"/>
      <c r="B640" s="131"/>
      <c r="C640" s="131"/>
      <c r="D640" s="131"/>
      <c r="E640" s="131"/>
      <c r="F640" s="131"/>
      <c r="G640" s="131"/>
      <c r="H640" s="121"/>
      <c r="I640" s="121"/>
      <c r="J640" s="121"/>
      <c r="K640" s="121"/>
      <c r="L640" s="121"/>
      <c r="M640" s="121"/>
      <c r="N640" s="121"/>
      <c r="O640" s="121"/>
      <c r="P640" s="121"/>
      <c r="Q640" s="121"/>
      <c r="R640" s="121"/>
      <c r="S640" s="121"/>
      <c r="T640" s="121"/>
      <c r="U640" s="121"/>
      <c r="V640" s="121"/>
      <c r="W640" s="121"/>
      <c r="X640" s="121"/>
      <c r="Y640" s="121"/>
      <c r="Z640" s="121"/>
      <c r="AA640" s="121"/>
      <c r="AB640" s="121"/>
    </row>
    <row r="641">
      <c r="A641" s="131"/>
      <c r="B641" s="131"/>
      <c r="C641" s="131"/>
      <c r="D641" s="131"/>
      <c r="E641" s="131"/>
      <c r="F641" s="131"/>
      <c r="G641" s="131"/>
      <c r="H641" s="121"/>
      <c r="I641" s="121"/>
      <c r="J641" s="121"/>
      <c r="K641" s="121"/>
      <c r="L641" s="121"/>
      <c r="M641" s="121"/>
      <c r="N641" s="121"/>
      <c r="O641" s="121"/>
      <c r="P641" s="121"/>
      <c r="Q641" s="121"/>
      <c r="R641" s="121"/>
      <c r="S641" s="121"/>
      <c r="T641" s="121"/>
      <c r="U641" s="121"/>
      <c r="V641" s="121"/>
      <c r="W641" s="121"/>
      <c r="X641" s="121"/>
      <c r="Y641" s="121"/>
      <c r="Z641" s="121"/>
      <c r="AA641" s="121"/>
      <c r="AB641" s="121"/>
    </row>
    <row r="642">
      <c r="A642" s="131"/>
      <c r="B642" s="131"/>
      <c r="C642" s="131"/>
      <c r="D642" s="131"/>
      <c r="E642" s="131"/>
      <c r="F642" s="131"/>
      <c r="G642" s="131"/>
      <c r="H642" s="121"/>
      <c r="I642" s="121"/>
      <c r="J642" s="121"/>
      <c r="K642" s="121"/>
      <c r="L642" s="121"/>
      <c r="M642" s="121"/>
      <c r="N642" s="121"/>
      <c r="O642" s="121"/>
      <c r="P642" s="121"/>
      <c r="Q642" s="121"/>
      <c r="R642" s="121"/>
      <c r="S642" s="121"/>
      <c r="T642" s="121"/>
      <c r="U642" s="121"/>
      <c r="V642" s="121"/>
      <c r="W642" s="121"/>
      <c r="X642" s="121"/>
      <c r="Y642" s="121"/>
      <c r="Z642" s="121"/>
      <c r="AA642" s="121"/>
      <c r="AB642" s="121"/>
    </row>
    <row r="643">
      <c r="A643" s="131"/>
      <c r="B643" s="131"/>
      <c r="C643" s="131"/>
      <c r="D643" s="131"/>
      <c r="E643" s="131"/>
      <c r="F643" s="131"/>
      <c r="G643" s="131"/>
      <c r="H643" s="121"/>
      <c r="I643" s="121"/>
      <c r="J643" s="121"/>
      <c r="K643" s="121"/>
      <c r="L643" s="121"/>
      <c r="M643" s="121"/>
      <c r="N643" s="121"/>
      <c r="O643" s="121"/>
      <c r="P643" s="121"/>
      <c r="Q643" s="121"/>
      <c r="R643" s="121"/>
      <c r="S643" s="121"/>
      <c r="T643" s="121"/>
      <c r="U643" s="121"/>
      <c r="V643" s="121"/>
      <c r="W643" s="121"/>
      <c r="X643" s="121"/>
      <c r="Y643" s="121"/>
      <c r="Z643" s="121"/>
      <c r="AA643" s="121"/>
      <c r="AB643" s="121"/>
    </row>
    <row r="644">
      <c r="A644" s="131"/>
      <c r="B644" s="131"/>
      <c r="C644" s="131"/>
      <c r="D644" s="131"/>
      <c r="E644" s="131"/>
      <c r="F644" s="131"/>
      <c r="G644" s="131"/>
      <c r="H644" s="121"/>
      <c r="I644" s="121"/>
      <c r="J644" s="121"/>
      <c r="K644" s="121"/>
      <c r="L644" s="121"/>
      <c r="M644" s="121"/>
      <c r="N644" s="121"/>
      <c r="O644" s="121"/>
      <c r="P644" s="121"/>
      <c r="Q644" s="121"/>
      <c r="R644" s="121"/>
      <c r="S644" s="121"/>
      <c r="T644" s="121"/>
      <c r="U644" s="121"/>
      <c r="V644" s="121"/>
      <c r="W644" s="121"/>
      <c r="X644" s="121"/>
      <c r="Y644" s="121"/>
      <c r="Z644" s="121"/>
      <c r="AA644" s="121"/>
      <c r="AB644" s="121"/>
    </row>
    <row r="645">
      <c r="A645" s="131"/>
      <c r="B645" s="131"/>
      <c r="C645" s="131"/>
      <c r="D645" s="131"/>
      <c r="E645" s="131"/>
      <c r="F645" s="131"/>
      <c r="G645" s="131"/>
      <c r="H645" s="121"/>
      <c r="I645" s="121"/>
      <c r="J645" s="121"/>
      <c r="K645" s="121"/>
      <c r="L645" s="121"/>
      <c r="M645" s="121"/>
      <c r="N645" s="121"/>
      <c r="O645" s="121"/>
      <c r="P645" s="121"/>
      <c r="Q645" s="121"/>
      <c r="R645" s="121"/>
      <c r="S645" s="121"/>
      <c r="T645" s="121"/>
      <c r="U645" s="121"/>
      <c r="V645" s="121"/>
      <c r="W645" s="121"/>
      <c r="X645" s="121"/>
      <c r="Y645" s="121"/>
      <c r="Z645" s="121"/>
      <c r="AA645" s="121"/>
      <c r="AB645" s="121"/>
    </row>
    <row r="646">
      <c r="A646" s="131"/>
      <c r="B646" s="131"/>
      <c r="C646" s="131"/>
      <c r="D646" s="131"/>
      <c r="E646" s="131"/>
      <c r="F646" s="131"/>
      <c r="G646" s="131"/>
      <c r="H646" s="121"/>
      <c r="I646" s="121"/>
      <c r="J646" s="121"/>
      <c r="K646" s="121"/>
      <c r="L646" s="121"/>
      <c r="M646" s="121"/>
      <c r="N646" s="121"/>
      <c r="O646" s="121"/>
      <c r="P646" s="121"/>
      <c r="Q646" s="121"/>
      <c r="R646" s="121"/>
      <c r="S646" s="121"/>
      <c r="T646" s="121"/>
      <c r="U646" s="121"/>
      <c r="V646" s="121"/>
      <c r="W646" s="121"/>
      <c r="X646" s="121"/>
      <c r="Y646" s="121"/>
      <c r="Z646" s="121"/>
      <c r="AA646" s="121"/>
      <c r="AB646" s="121"/>
    </row>
    <row r="647">
      <c r="A647" s="131"/>
      <c r="B647" s="131"/>
      <c r="C647" s="131"/>
      <c r="D647" s="131"/>
      <c r="E647" s="131"/>
      <c r="F647" s="131"/>
      <c r="G647" s="131"/>
      <c r="H647" s="121"/>
      <c r="I647" s="121"/>
      <c r="J647" s="121"/>
      <c r="K647" s="121"/>
      <c r="L647" s="121"/>
      <c r="M647" s="121"/>
      <c r="N647" s="121"/>
      <c r="O647" s="121"/>
      <c r="P647" s="121"/>
      <c r="Q647" s="121"/>
      <c r="R647" s="121"/>
      <c r="S647" s="121"/>
      <c r="T647" s="121"/>
      <c r="U647" s="121"/>
      <c r="V647" s="121"/>
      <c r="W647" s="121"/>
      <c r="X647" s="121"/>
      <c r="Y647" s="121"/>
      <c r="Z647" s="121"/>
      <c r="AA647" s="121"/>
      <c r="AB647" s="121"/>
    </row>
    <row r="648">
      <c r="A648" s="131"/>
      <c r="B648" s="131"/>
      <c r="C648" s="131"/>
      <c r="D648" s="131"/>
      <c r="E648" s="131"/>
      <c r="F648" s="131"/>
      <c r="G648" s="131"/>
      <c r="H648" s="121"/>
      <c r="I648" s="121"/>
      <c r="J648" s="121"/>
      <c r="K648" s="121"/>
      <c r="L648" s="121"/>
      <c r="M648" s="121"/>
      <c r="N648" s="121"/>
      <c r="O648" s="121"/>
      <c r="P648" s="121"/>
      <c r="Q648" s="121"/>
      <c r="R648" s="121"/>
      <c r="S648" s="121"/>
      <c r="T648" s="121"/>
      <c r="U648" s="121"/>
      <c r="V648" s="121"/>
      <c r="W648" s="121"/>
      <c r="X648" s="121"/>
      <c r="Y648" s="121"/>
      <c r="Z648" s="121"/>
      <c r="AA648" s="121"/>
      <c r="AB648" s="121"/>
    </row>
    <row r="649">
      <c r="A649" s="131"/>
      <c r="B649" s="131"/>
      <c r="C649" s="131"/>
      <c r="D649" s="131"/>
      <c r="E649" s="131"/>
      <c r="F649" s="131"/>
      <c r="G649" s="131"/>
      <c r="H649" s="121"/>
      <c r="I649" s="121"/>
      <c r="J649" s="121"/>
      <c r="K649" s="121"/>
      <c r="L649" s="121"/>
      <c r="M649" s="121"/>
      <c r="N649" s="121"/>
      <c r="O649" s="121"/>
      <c r="P649" s="121"/>
      <c r="Q649" s="121"/>
      <c r="R649" s="121"/>
      <c r="S649" s="121"/>
      <c r="T649" s="121"/>
      <c r="U649" s="121"/>
      <c r="V649" s="121"/>
      <c r="W649" s="121"/>
      <c r="X649" s="121"/>
      <c r="Y649" s="121"/>
      <c r="Z649" s="121"/>
      <c r="AA649" s="121"/>
      <c r="AB649" s="121"/>
    </row>
    <row r="650">
      <c r="A650" s="131"/>
      <c r="B650" s="131"/>
      <c r="C650" s="131"/>
      <c r="D650" s="131"/>
      <c r="E650" s="131"/>
      <c r="F650" s="131"/>
      <c r="G650" s="131"/>
      <c r="H650" s="121"/>
      <c r="I650" s="121"/>
      <c r="J650" s="121"/>
      <c r="K650" s="121"/>
      <c r="L650" s="121"/>
      <c r="M650" s="121"/>
      <c r="N650" s="121"/>
      <c r="O650" s="121"/>
      <c r="P650" s="121"/>
      <c r="Q650" s="121"/>
      <c r="R650" s="121"/>
      <c r="S650" s="121"/>
      <c r="T650" s="121"/>
      <c r="U650" s="121"/>
      <c r="V650" s="121"/>
      <c r="W650" s="121"/>
      <c r="X650" s="121"/>
      <c r="Y650" s="121"/>
      <c r="Z650" s="121"/>
      <c r="AA650" s="121"/>
      <c r="AB650" s="121"/>
    </row>
    <row r="651">
      <c r="A651" s="131"/>
      <c r="B651" s="131"/>
      <c r="C651" s="131"/>
      <c r="D651" s="131"/>
      <c r="E651" s="131"/>
      <c r="F651" s="131"/>
      <c r="G651" s="131"/>
      <c r="H651" s="121"/>
      <c r="I651" s="121"/>
      <c r="J651" s="121"/>
      <c r="K651" s="121"/>
      <c r="L651" s="121"/>
      <c r="M651" s="121"/>
      <c r="N651" s="121"/>
      <c r="O651" s="121"/>
      <c r="P651" s="121"/>
      <c r="Q651" s="121"/>
      <c r="R651" s="121"/>
      <c r="S651" s="121"/>
      <c r="T651" s="121"/>
      <c r="U651" s="121"/>
      <c r="V651" s="121"/>
      <c r="W651" s="121"/>
      <c r="X651" s="121"/>
      <c r="Y651" s="121"/>
      <c r="Z651" s="121"/>
      <c r="AA651" s="121"/>
      <c r="AB651" s="121"/>
    </row>
    <row r="652">
      <c r="A652" s="131"/>
      <c r="B652" s="131"/>
      <c r="C652" s="131"/>
      <c r="D652" s="131"/>
      <c r="E652" s="131"/>
      <c r="F652" s="131"/>
      <c r="G652" s="131"/>
      <c r="H652" s="121"/>
      <c r="I652" s="121"/>
      <c r="J652" s="121"/>
      <c r="K652" s="121"/>
      <c r="L652" s="121"/>
      <c r="M652" s="121"/>
      <c r="N652" s="121"/>
      <c r="O652" s="121"/>
      <c r="P652" s="121"/>
      <c r="Q652" s="121"/>
      <c r="R652" s="121"/>
      <c r="S652" s="121"/>
      <c r="T652" s="121"/>
      <c r="U652" s="121"/>
      <c r="V652" s="121"/>
      <c r="W652" s="121"/>
      <c r="X652" s="121"/>
      <c r="Y652" s="121"/>
      <c r="Z652" s="121"/>
      <c r="AA652" s="121"/>
      <c r="AB652" s="121"/>
    </row>
    <row r="653">
      <c r="A653" s="131"/>
      <c r="B653" s="131"/>
      <c r="C653" s="131"/>
      <c r="D653" s="131"/>
      <c r="E653" s="131"/>
      <c r="F653" s="131"/>
      <c r="G653" s="131"/>
      <c r="H653" s="121"/>
      <c r="I653" s="121"/>
      <c r="J653" s="121"/>
      <c r="K653" s="121"/>
      <c r="L653" s="121"/>
      <c r="M653" s="121"/>
      <c r="N653" s="121"/>
      <c r="O653" s="121"/>
      <c r="P653" s="121"/>
      <c r="Q653" s="121"/>
      <c r="R653" s="121"/>
      <c r="S653" s="121"/>
      <c r="T653" s="121"/>
      <c r="U653" s="121"/>
      <c r="V653" s="121"/>
      <c r="W653" s="121"/>
      <c r="X653" s="121"/>
      <c r="Y653" s="121"/>
      <c r="Z653" s="121"/>
      <c r="AA653" s="121"/>
      <c r="AB653" s="121"/>
    </row>
    <row r="654">
      <c r="A654" s="131"/>
      <c r="B654" s="131"/>
      <c r="C654" s="131"/>
      <c r="D654" s="131"/>
      <c r="E654" s="131"/>
      <c r="F654" s="131"/>
      <c r="G654" s="131"/>
      <c r="H654" s="121"/>
      <c r="I654" s="121"/>
      <c r="J654" s="121"/>
      <c r="K654" s="121"/>
      <c r="L654" s="121"/>
      <c r="M654" s="121"/>
      <c r="N654" s="121"/>
      <c r="O654" s="121"/>
      <c r="P654" s="121"/>
      <c r="Q654" s="121"/>
      <c r="R654" s="121"/>
      <c r="S654" s="121"/>
      <c r="T654" s="121"/>
      <c r="U654" s="121"/>
      <c r="V654" s="121"/>
      <c r="W654" s="121"/>
      <c r="X654" s="121"/>
      <c r="Y654" s="121"/>
      <c r="Z654" s="121"/>
      <c r="AA654" s="121"/>
      <c r="AB654" s="121"/>
    </row>
    <row r="655">
      <c r="A655" s="131"/>
      <c r="B655" s="131"/>
      <c r="C655" s="131"/>
      <c r="D655" s="131"/>
      <c r="E655" s="131"/>
      <c r="F655" s="131"/>
      <c r="G655" s="131"/>
      <c r="H655" s="121"/>
      <c r="I655" s="121"/>
      <c r="J655" s="121"/>
      <c r="K655" s="121"/>
      <c r="L655" s="121"/>
      <c r="M655" s="121"/>
      <c r="N655" s="121"/>
      <c r="O655" s="121"/>
      <c r="P655" s="121"/>
      <c r="Q655" s="121"/>
      <c r="R655" s="121"/>
      <c r="S655" s="121"/>
      <c r="T655" s="121"/>
      <c r="U655" s="121"/>
      <c r="V655" s="121"/>
      <c r="W655" s="121"/>
      <c r="X655" s="121"/>
      <c r="Y655" s="121"/>
      <c r="Z655" s="121"/>
      <c r="AA655" s="121"/>
      <c r="AB655" s="121"/>
    </row>
    <row r="656">
      <c r="A656" s="131"/>
      <c r="B656" s="131"/>
      <c r="C656" s="131"/>
      <c r="D656" s="131"/>
      <c r="E656" s="131"/>
      <c r="F656" s="131"/>
      <c r="G656" s="131"/>
      <c r="H656" s="121"/>
      <c r="I656" s="121"/>
      <c r="J656" s="121"/>
      <c r="K656" s="121"/>
      <c r="L656" s="121"/>
      <c r="M656" s="121"/>
      <c r="N656" s="121"/>
      <c r="O656" s="121"/>
      <c r="P656" s="121"/>
      <c r="Q656" s="121"/>
      <c r="R656" s="121"/>
      <c r="S656" s="121"/>
      <c r="T656" s="121"/>
      <c r="U656" s="121"/>
      <c r="V656" s="121"/>
      <c r="W656" s="121"/>
      <c r="X656" s="121"/>
      <c r="Y656" s="121"/>
      <c r="Z656" s="121"/>
      <c r="AA656" s="121"/>
      <c r="AB656" s="121"/>
    </row>
    <row r="657">
      <c r="A657" s="131"/>
      <c r="B657" s="131"/>
      <c r="C657" s="131"/>
      <c r="D657" s="131"/>
      <c r="E657" s="131"/>
      <c r="F657" s="131"/>
      <c r="G657" s="131"/>
      <c r="H657" s="121"/>
      <c r="I657" s="121"/>
      <c r="J657" s="121"/>
      <c r="K657" s="121"/>
      <c r="L657" s="121"/>
      <c r="M657" s="121"/>
      <c r="N657" s="121"/>
      <c r="O657" s="121"/>
      <c r="P657" s="121"/>
      <c r="Q657" s="121"/>
      <c r="R657" s="121"/>
      <c r="S657" s="121"/>
      <c r="T657" s="121"/>
      <c r="U657" s="121"/>
      <c r="V657" s="121"/>
      <c r="W657" s="121"/>
      <c r="X657" s="121"/>
      <c r="Y657" s="121"/>
      <c r="Z657" s="121"/>
      <c r="AA657" s="121"/>
      <c r="AB657" s="121"/>
    </row>
    <row r="658">
      <c r="A658" s="131"/>
      <c r="B658" s="131"/>
      <c r="C658" s="131"/>
      <c r="D658" s="131"/>
      <c r="E658" s="131"/>
      <c r="F658" s="131"/>
      <c r="G658" s="131"/>
      <c r="H658" s="121"/>
      <c r="I658" s="121"/>
      <c r="J658" s="121"/>
      <c r="K658" s="121"/>
      <c r="L658" s="121"/>
      <c r="M658" s="121"/>
      <c r="N658" s="121"/>
      <c r="O658" s="121"/>
      <c r="P658" s="121"/>
      <c r="Q658" s="121"/>
      <c r="R658" s="121"/>
      <c r="S658" s="121"/>
      <c r="T658" s="121"/>
      <c r="U658" s="121"/>
      <c r="V658" s="121"/>
      <c r="W658" s="121"/>
      <c r="X658" s="121"/>
      <c r="Y658" s="121"/>
      <c r="Z658" s="121"/>
      <c r="AA658" s="121"/>
      <c r="AB658" s="121"/>
    </row>
    <row r="659">
      <c r="A659" s="131"/>
      <c r="B659" s="131"/>
      <c r="C659" s="131"/>
      <c r="D659" s="131"/>
      <c r="E659" s="131"/>
      <c r="F659" s="131"/>
      <c r="G659" s="131"/>
      <c r="H659" s="121"/>
      <c r="I659" s="121"/>
      <c r="J659" s="121"/>
      <c r="K659" s="121"/>
      <c r="L659" s="121"/>
      <c r="M659" s="121"/>
      <c r="N659" s="121"/>
      <c r="O659" s="121"/>
      <c r="P659" s="121"/>
      <c r="Q659" s="121"/>
      <c r="R659" s="121"/>
      <c r="S659" s="121"/>
      <c r="T659" s="121"/>
      <c r="U659" s="121"/>
      <c r="V659" s="121"/>
      <c r="W659" s="121"/>
      <c r="X659" s="121"/>
      <c r="Y659" s="121"/>
      <c r="Z659" s="121"/>
      <c r="AA659" s="121"/>
      <c r="AB659" s="121"/>
    </row>
    <row r="660">
      <c r="A660" s="131"/>
      <c r="B660" s="131"/>
      <c r="C660" s="131"/>
      <c r="D660" s="131"/>
      <c r="E660" s="131"/>
      <c r="F660" s="131"/>
      <c r="G660" s="131"/>
      <c r="H660" s="121"/>
      <c r="I660" s="121"/>
      <c r="J660" s="121"/>
      <c r="K660" s="121"/>
      <c r="L660" s="121"/>
      <c r="M660" s="121"/>
      <c r="N660" s="121"/>
      <c r="O660" s="121"/>
      <c r="P660" s="121"/>
      <c r="Q660" s="121"/>
      <c r="R660" s="121"/>
      <c r="S660" s="121"/>
      <c r="T660" s="121"/>
      <c r="U660" s="121"/>
      <c r="V660" s="121"/>
      <c r="W660" s="121"/>
      <c r="X660" s="121"/>
      <c r="Y660" s="121"/>
      <c r="Z660" s="121"/>
      <c r="AA660" s="121"/>
      <c r="AB660" s="121"/>
    </row>
    <row r="661">
      <c r="A661" s="131"/>
      <c r="B661" s="131"/>
      <c r="C661" s="131"/>
      <c r="D661" s="131"/>
      <c r="E661" s="131"/>
      <c r="F661" s="131"/>
      <c r="G661" s="131"/>
      <c r="H661" s="121"/>
      <c r="I661" s="121"/>
      <c r="J661" s="121"/>
      <c r="K661" s="121"/>
      <c r="L661" s="121"/>
      <c r="M661" s="121"/>
      <c r="N661" s="121"/>
      <c r="O661" s="121"/>
      <c r="P661" s="121"/>
      <c r="Q661" s="121"/>
      <c r="R661" s="121"/>
      <c r="S661" s="121"/>
      <c r="T661" s="121"/>
      <c r="U661" s="121"/>
      <c r="V661" s="121"/>
      <c r="W661" s="121"/>
      <c r="X661" s="121"/>
      <c r="Y661" s="121"/>
      <c r="Z661" s="121"/>
      <c r="AA661" s="121"/>
      <c r="AB661" s="121"/>
    </row>
    <row r="662">
      <c r="A662" s="131"/>
      <c r="B662" s="131"/>
      <c r="C662" s="131"/>
      <c r="D662" s="131"/>
      <c r="E662" s="131"/>
      <c r="F662" s="131"/>
      <c r="G662" s="131"/>
      <c r="H662" s="121"/>
      <c r="I662" s="121"/>
      <c r="J662" s="121"/>
      <c r="K662" s="121"/>
      <c r="L662" s="121"/>
      <c r="M662" s="121"/>
      <c r="N662" s="121"/>
      <c r="O662" s="121"/>
      <c r="P662" s="121"/>
      <c r="Q662" s="121"/>
      <c r="R662" s="121"/>
      <c r="S662" s="121"/>
      <c r="T662" s="121"/>
      <c r="U662" s="121"/>
      <c r="V662" s="121"/>
      <c r="W662" s="121"/>
      <c r="X662" s="121"/>
      <c r="Y662" s="121"/>
      <c r="Z662" s="121"/>
      <c r="AA662" s="121"/>
      <c r="AB662" s="121"/>
    </row>
    <row r="663">
      <c r="A663" s="131"/>
      <c r="B663" s="131"/>
      <c r="C663" s="131"/>
      <c r="D663" s="131"/>
      <c r="E663" s="131"/>
      <c r="F663" s="131"/>
      <c r="G663" s="131"/>
      <c r="H663" s="121"/>
      <c r="I663" s="121"/>
      <c r="J663" s="121"/>
      <c r="K663" s="121"/>
      <c r="L663" s="121"/>
      <c r="M663" s="121"/>
      <c r="N663" s="121"/>
      <c r="O663" s="121"/>
      <c r="P663" s="121"/>
      <c r="Q663" s="121"/>
      <c r="R663" s="121"/>
      <c r="S663" s="121"/>
      <c r="T663" s="121"/>
      <c r="U663" s="121"/>
      <c r="V663" s="121"/>
      <c r="W663" s="121"/>
      <c r="X663" s="121"/>
      <c r="Y663" s="121"/>
      <c r="Z663" s="121"/>
      <c r="AA663" s="121"/>
      <c r="AB663" s="121"/>
    </row>
    <row r="664">
      <c r="A664" s="131"/>
      <c r="B664" s="131"/>
      <c r="C664" s="131"/>
      <c r="D664" s="131"/>
      <c r="E664" s="131"/>
      <c r="F664" s="131"/>
      <c r="G664" s="131"/>
      <c r="H664" s="121"/>
      <c r="I664" s="121"/>
      <c r="J664" s="121"/>
      <c r="K664" s="121"/>
      <c r="L664" s="121"/>
      <c r="M664" s="121"/>
      <c r="N664" s="121"/>
      <c r="O664" s="121"/>
      <c r="P664" s="121"/>
      <c r="Q664" s="121"/>
      <c r="R664" s="121"/>
      <c r="S664" s="121"/>
      <c r="T664" s="121"/>
      <c r="U664" s="121"/>
      <c r="V664" s="121"/>
      <c r="W664" s="121"/>
      <c r="X664" s="121"/>
      <c r="Y664" s="121"/>
      <c r="Z664" s="121"/>
      <c r="AA664" s="121"/>
      <c r="AB664" s="121"/>
    </row>
    <row r="665">
      <c r="A665" s="131"/>
      <c r="B665" s="131"/>
      <c r="C665" s="131"/>
      <c r="D665" s="131"/>
      <c r="E665" s="131"/>
      <c r="F665" s="131"/>
      <c r="G665" s="131"/>
      <c r="H665" s="121"/>
      <c r="I665" s="121"/>
      <c r="J665" s="121"/>
      <c r="K665" s="121"/>
      <c r="L665" s="121"/>
      <c r="M665" s="121"/>
      <c r="N665" s="121"/>
      <c r="O665" s="121"/>
      <c r="P665" s="121"/>
      <c r="Q665" s="121"/>
      <c r="R665" s="121"/>
      <c r="S665" s="121"/>
      <c r="T665" s="121"/>
      <c r="U665" s="121"/>
      <c r="V665" s="121"/>
      <c r="W665" s="121"/>
      <c r="X665" s="121"/>
      <c r="Y665" s="121"/>
      <c r="Z665" s="121"/>
      <c r="AA665" s="121"/>
      <c r="AB665" s="121"/>
    </row>
    <row r="666">
      <c r="A666" s="131"/>
      <c r="B666" s="131"/>
      <c r="C666" s="131"/>
      <c r="D666" s="131"/>
      <c r="E666" s="131"/>
      <c r="F666" s="131"/>
      <c r="G666" s="131"/>
      <c r="H666" s="121"/>
      <c r="I666" s="121"/>
      <c r="J666" s="121"/>
      <c r="K666" s="121"/>
      <c r="L666" s="121"/>
      <c r="M666" s="121"/>
      <c r="N666" s="121"/>
      <c r="O666" s="121"/>
      <c r="P666" s="121"/>
      <c r="Q666" s="121"/>
      <c r="R666" s="121"/>
      <c r="S666" s="121"/>
      <c r="T666" s="121"/>
      <c r="U666" s="121"/>
      <c r="V666" s="121"/>
      <c r="W666" s="121"/>
      <c r="X666" s="121"/>
      <c r="Y666" s="121"/>
      <c r="Z666" s="121"/>
      <c r="AA666" s="121"/>
      <c r="AB666" s="121"/>
    </row>
    <row r="667">
      <c r="A667" s="131"/>
      <c r="B667" s="131"/>
      <c r="C667" s="131"/>
      <c r="D667" s="131"/>
      <c r="E667" s="131"/>
      <c r="F667" s="131"/>
      <c r="G667" s="131"/>
      <c r="H667" s="121"/>
      <c r="I667" s="121"/>
      <c r="J667" s="121"/>
      <c r="K667" s="121"/>
      <c r="L667" s="121"/>
      <c r="M667" s="121"/>
      <c r="N667" s="121"/>
      <c r="O667" s="121"/>
      <c r="P667" s="121"/>
      <c r="Q667" s="121"/>
      <c r="R667" s="121"/>
      <c r="S667" s="121"/>
      <c r="T667" s="121"/>
      <c r="U667" s="121"/>
      <c r="V667" s="121"/>
      <c r="W667" s="121"/>
      <c r="X667" s="121"/>
      <c r="Y667" s="121"/>
      <c r="Z667" s="121"/>
      <c r="AA667" s="121"/>
      <c r="AB667" s="121"/>
    </row>
    <row r="668">
      <c r="A668" s="131"/>
      <c r="B668" s="131"/>
      <c r="C668" s="131"/>
      <c r="D668" s="131"/>
      <c r="E668" s="131"/>
      <c r="F668" s="131"/>
      <c r="G668" s="131"/>
      <c r="H668" s="121"/>
      <c r="I668" s="121"/>
      <c r="J668" s="121"/>
      <c r="K668" s="121"/>
      <c r="L668" s="121"/>
      <c r="M668" s="121"/>
      <c r="N668" s="121"/>
      <c r="O668" s="121"/>
      <c r="P668" s="121"/>
      <c r="Q668" s="121"/>
      <c r="R668" s="121"/>
      <c r="S668" s="121"/>
      <c r="T668" s="121"/>
      <c r="U668" s="121"/>
      <c r="V668" s="121"/>
      <c r="W668" s="121"/>
      <c r="X668" s="121"/>
      <c r="Y668" s="121"/>
      <c r="Z668" s="121"/>
      <c r="AA668" s="121"/>
      <c r="AB668" s="121"/>
    </row>
    <row r="669">
      <c r="A669" s="131"/>
      <c r="B669" s="131"/>
      <c r="C669" s="131"/>
      <c r="D669" s="131"/>
      <c r="E669" s="131"/>
      <c r="F669" s="131"/>
      <c r="G669" s="131"/>
      <c r="H669" s="121"/>
      <c r="I669" s="121"/>
      <c r="J669" s="121"/>
      <c r="K669" s="121"/>
      <c r="L669" s="121"/>
      <c r="M669" s="121"/>
      <c r="N669" s="121"/>
      <c r="O669" s="121"/>
      <c r="P669" s="121"/>
      <c r="Q669" s="121"/>
      <c r="R669" s="121"/>
      <c r="S669" s="121"/>
      <c r="T669" s="121"/>
      <c r="U669" s="121"/>
      <c r="V669" s="121"/>
      <c r="W669" s="121"/>
      <c r="X669" s="121"/>
      <c r="Y669" s="121"/>
      <c r="Z669" s="121"/>
      <c r="AA669" s="121"/>
      <c r="AB669" s="121"/>
    </row>
    <row r="670">
      <c r="A670" s="131"/>
      <c r="B670" s="131"/>
      <c r="C670" s="131"/>
      <c r="D670" s="131"/>
      <c r="E670" s="131"/>
      <c r="F670" s="131"/>
      <c r="G670" s="131"/>
      <c r="H670" s="121"/>
      <c r="I670" s="121"/>
      <c r="J670" s="121"/>
      <c r="K670" s="121"/>
      <c r="L670" s="121"/>
      <c r="M670" s="121"/>
      <c r="N670" s="121"/>
      <c r="O670" s="121"/>
      <c r="P670" s="121"/>
      <c r="Q670" s="121"/>
      <c r="R670" s="121"/>
      <c r="S670" s="121"/>
      <c r="T670" s="121"/>
      <c r="U670" s="121"/>
      <c r="V670" s="121"/>
      <c r="W670" s="121"/>
      <c r="X670" s="121"/>
      <c r="Y670" s="121"/>
      <c r="Z670" s="121"/>
      <c r="AA670" s="121"/>
      <c r="AB670" s="121"/>
    </row>
    <row r="671">
      <c r="A671" s="131"/>
      <c r="B671" s="131"/>
      <c r="C671" s="131"/>
      <c r="D671" s="131"/>
      <c r="E671" s="131"/>
      <c r="F671" s="131"/>
      <c r="G671" s="131"/>
      <c r="H671" s="121"/>
      <c r="I671" s="121"/>
      <c r="J671" s="121"/>
      <c r="K671" s="121"/>
      <c r="L671" s="121"/>
      <c r="M671" s="121"/>
      <c r="N671" s="121"/>
      <c r="O671" s="121"/>
      <c r="P671" s="121"/>
      <c r="Q671" s="121"/>
      <c r="R671" s="121"/>
      <c r="S671" s="121"/>
      <c r="T671" s="121"/>
      <c r="U671" s="121"/>
      <c r="V671" s="121"/>
      <c r="W671" s="121"/>
      <c r="X671" s="121"/>
      <c r="Y671" s="121"/>
      <c r="Z671" s="121"/>
      <c r="AA671" s="121"/>
      <c r="AB671" s="121"/>
    </row>
    <row r="672">
      <c r="A672" s="131"/>
      <c r="B672" s="131"/>
      <c r="C672" s="131"/>
      <c r="D672" s="131"/>
      <c r="E672" s="131"/>
      <c r="F672" s="131"/>
      <c r="G672" s="131"/>
      <c r="H672" s="121"/>
      <c r="I672" s="121"/>
      <c r="J672" s="121"/>
      <c r="K672" s="121"/>
      <c r="L672" s="121"/>
      <c r="M672" s="121"/>
      <c r="N672" s="121"/>
      <c r="O672" s="121"/>
      <c r="P672" s="121"/>
      <c r="Q672" s="121"/>
      <c r="R672" s="121"/>
      <c r="S672" s="121"/>
      <c r="T672" s="121"/>
      <c r="U672" s="121"/>
      <c r="V672" s="121"/>
      <c r="W672" s="121"/>
      <c r="X672" s="121"/>
      <c r="Y672" s="121"/>
      <c r="Z672" s="121"/>
      <c r="AA672" s="121"/>
      <c r="AB672" s="121"/>
    </row>
    <row r="673">
      <c r="A673" s="131"/>
      <c r="B673" s="131"/>
      <c r="C673" s="131"/>
      <c r="D673" s="131"/>
      <c r="E673" s="131"/>
      <c r="F673" s="131"/>
      <c r="G673" s="131"/>
      <c r="H673" s="121"/>
      <c r="I673" s="121"/>
      <c r="J673" s="121"/>
      <c r="K673" s="121"/>
      <c r="L673" s="121"/>
      <c r="M673" s="121"/>
      <c r="N673" s="121"/>
      <c r="O673" s="121"/>
      <c r="P673" s="121"/>
      <c r="Q673" s="121"/>
      <c r="R673" s="121"/>
      <c r="S673" s="121"/>
      <c r="T673" s="121"/>
      <c r="U673" s="121"/>
      <c r="V673" s="121"/>
      <c r="W673" s="121"/>
      <c r="X673" s="121"/>
      <c r="Y673" s="121"/>
      <c r="Z673" s="121"/>
      <c r="AA673" s="121"/>
      <c r="AB673" s="121"/>
    </row>
    <row r="674">
      <c r="A674" s="131"/>
      <c r="B674" s="131"/>
      <c r="C674" s="131"/>
      <c r="D674" s="131"/>
      <c r="E674" s="131"/>
      <c r="F674" s="131"/>
      <c r="G674" s="131"/>
      <c r="H674" s="121"/>
      <c r="I674" s="121"/>
      <c r="J674" s="121"/>
      <c r="K674" s="121"/>
      <c r="L674" s="121"/>
      <c r="M674" s="121"/>
      <c r="N674" s="121"/>
      <c r="O674" s="121"/>
      <c r="P674" s="121"/>
      <c r="Q674" s="121"/>
      <c r="R674" s="121"/>
      <c r="S674" s="121"/>
      <c r="T674" s="121"/>
      <c r="U674" s="121"/>
      <c r="V674" s="121"/>
      <c r="W674" s="121"/>
      <c r="X674" s="121"/>
      <c r="Y674" s="121"/>
      <c r="Z674" s="121"/>
      <c r="AA674" s="121"/>
      <c r="AB674" s="121"/>
    </row>
    <row r="675">
      <c r="A675" s="131"/>
      <c r="B675" s="131"/>
      <c r="C675" s="131"/>
      <c r="D675" s="131"/>
      <c r="E675" s="131"/>
      <c r="F675" s="131"/>
      <c r="G675" s="131"/>
      <c r="H675" s="121"/>
      <c r="I675" s="121"/>
      <c r="J675" s="121"/>
      <c r="K675" s="121"/>
      <c r="L675" s="121"/>
      <c r="M675" s="121"/>
      <c r="N675" s="121"/>
      <c r="O675" s="121"/>
      <c r="P675" s="121"/>
      <c r="Q675" s="121"/>
      <c r="R675" s="121"/>
      <c r="S675" s="121"/>
      <c r="T675" s="121"/>
      <c r="U675" s="121"/>
      <c r="V675" s="121"/>
      <c r="W675" s="121"/>
      <c r="X675" s="121"/>
      <c r="Y675" s="121"/>
      <c r="Z675" s="121"/>
      <c r="AA675" s="121"/>
      <c r="AB675" s="121"/>
    </row>
    <row r="676">
      <c r="A676" s="131"/>
      <c r="B676" s="131"/>
      <c r="C676" s="131"/>
      <c r="D676" s="131"/>
      <c r="E676" s="131"/>
      <c r="F676" s="131"/>
      <c r="G676" s="131"/>
      <c r="H676" s="121"/>
      <c r="I676" s="121"/>
      <c r="J676" s="121"/>
      <c r="K676" s="121"/>
      <c r="L676" s="121"/>
      <c r="M676" s="121"/>
      <c r="N676" s="121"/>
      <c r="O676" s="121"/>
      <c r="P676" s="121"/>
      <c r="Q676" s="121"/>
      <c r="R676" s="121"/>
      <c r="S676" s="121"/>
      <c r="T676" s="121"/>
      <c r="U676" s="121"/>
      <c r="V676" s="121"/>
      <c r="W676" s="121"/>
      <c r="X676" s="121"/>
      <c r="Y676" s="121"/>
      <c r="Z676" s="121"/>
      <c r="AA676" s="121"/>
      <c r="AB676" s="121"/>
    </row>
    <row r="677">
      <c r="A677" s="131"/>
      <c r="B677" s="131"/>
      <c r="C677" s="131"/>
      <c r="D677" s="131"/>
      <c r="E677" s="131"/>
      <c r="F677" s="131"/>
      <c r="G677" s="131"/>
      <c r="H677" s="121"/>
      <c r="I677" s="121"/>
      <c r="J677" s="121"/>
      <c r="K677" s="121"/>
      <c r="L677" s="121"/>
      <c r="M677" s="121"/>
      <c r="N677" s="121"/>
      <c r="O677" s="121"/>
      <c r="P677" s="121"/>
      <c r="Q677" s="121"/>
      <c r="R677" s="121"/>
      <c r="S677" s="121"/>
      <c r="T677" s="121"/>
      <c r="U677" s="121"/>
      <c r="V677" s="121"/>
      <c r="W677" s="121"/>
      <c r="X677" s="121"/>
      <c r="Y677" s="121"/>
      <c r="Z677" s="121"/>
      <c r="AA677" s="121"/>
      <c r="AB677" s="121"/>
    </row>
    <row r="678">
      <c r="A678" s="131"/>
      <c r="B678" s="131"/>
      <c r="C678" s="131"/>
      <c r="D678" s="131"/>
      <c r="E678" s="131"/>
      <c r="F678" s="131"/>
      <c r="G678" s="131"/>
      <c r="H678" s="121"/>
      <c r="I678" s="121"/>
      <c r="J678" s="121"/>
      <c r="K678" s="121"/>
      <c r="L678" s="121"/>
      <c r="M678" s="121"/>
      <c r="N678" s="121"/>
      <c r="O678" s="121"/>
      <c r="P678" s="121"/>
      <c r="Q678" s="121"/>
      <c r="R678" s="121"/>
      <c r="S678" s="121"/>
      <c r="T678" s="121"/>
      <c r="U678" s="121"/>
      <c r="V678" s="121"/>
      <c r="W678" s="121"/>
      <c r="X678" s="121"/>
      <c r="Y678" s="121"/>
      <c r="Z678" s="121"/>
      <c r="AA678" s="121"/>
      <c r="AB678" s="121"/>
    </row>
    <row r="679">
      <c r="A679" s="131"/>
      <c r="B679" s="131"/>
      <c r="C679" s="131"/>
      <c r="D679" s="131"/>
      <c r="E679" s="131"/>
      <c r="F679" s="131"/>
      <c r="G679" s="131"/>
      <c r="H679" s="121"/>
      <c r="I679" s="121"/>
      <c r="J679" s="121"/>
      <c r="K679" s="121"/>
      <c r="L679" s="121"/>
      <c r="M679" s="121"/>
      <c r="N679" s="121"/>
      <c r="O679" s="121"/>
      <c r="P679" s="121"/>
      <c r="Q679" s="121"/>
      <c r="R679" s="121"/>
      <c r="S679" s="121"/>
      <c r="T679" s="121"/>
      <c r="U679" s="121"/>
      <c r="V679" s="121"/>
      <c r="W679" s="121"/>
      <c r="X679" s="121"/>
      <c r="Y679" s="121"/>
      <c r="Z679" s="121"/>
      <c r="AA679" s="121"/>
      <c r="AB679" s="121"/>
    </row>
    <row r="680">
      <c r="A680" s="131"/>
      <c r="B680" s="131"/>
      <c r="C680" s="131"/>
      <c r="D680" s="131"/>
      <c r="E680" s="131"/>
      <c r="F680" s="131"/>
      <c r="G680" s="131"/>
      <c r="H680" s="121"/>
      <c r="I680" s="121"/>
      <c r="J680" s="121"/>
      <c r="K680" s="121"/>
      <c r="L680" s="121"/>
      <c r="M680" s="121"/>
      <c r="N680" s="121"/>
      <c r="O680" s="121"/>
      <c r="P680" s="121"/>
      <c r="Q680" s="121"/>
      <c r="R680" s="121"/>
      <c r="S680" s="121"/>
      <c r="T680" s="121"/>
      <c r="U680" s="121"/>
      <c r="V680" s="121"/>
      <c r="W680" s="121"/>
      <c r="X680" s="121"/>
      <c r="Y680" s="121"/>
      <c r="Z680" s="121"/>
      <c r="AA680" s="121"/>
      <c r="AB680" s="121"/>
    </row>
    <row r="681">
      <c r="A681" s="131"/>
      <c r="B681" s="131"/>
      <c r="C681" s="131"/>
      <c r="D681" s="131"/>
      <c r="E681" s="131"/>
      <c r="F681" s="131"/>
      <c r="G681" s="131"/>
      <c r="H681" s="121"/>
      <c r="I681" s="121"/>
      <c r="J681" s="121"/>
      <c r="K681" s="121"/>
      <c r="L681" s="121"/>
      <c r="M681" s="121"/>
      <c r="N681" s="121"/>
      <c r="O681" s="121"/>
      <c r="P681" s="121"/>
      <c r="Q681" s="121"/>
      <c r="R681" s="121"/>
      <c r="S681" s="121"/>
      <c r="T681" s="121"/>
      <c r="U681" s="121"/>
      <c r="V681" s="121"/>
      <c r="W681" s="121"/>
      <c r="X681" s="121"/>
      <c r="Y681" s="121"/>
      <c r="Z681" s="121"/>
      <c r="AA681" s="121"/>
      <c r="AB681" s="121"/>
    </row>
    <row r="682">
      <c r="A682" s="131"/>
      <c r="B682" s="131"/>
      <c r="C682" s="131"/>
      <c r="D682" s="131"/>
      <c r="E682" s="131"/>
      <c r="F682" s="131"/>
      <c r="G682" s="131"/>
      <c r="H682" s="121"/>
      <c r="I682" s="121"/>
      <c r="J682" s="121"/>
      <c r="K682" s="121"/>
      <c r="L682" s="121"/>
      <c r="M682" s="121"/>
      <c r="N682" s="121"/>
      <c r="O682" s="121"/>
      <c r="P682" s="121"/>
      <c r="Q682" s="121"/>
      <c r="R682" s="121"/>
      <c r="S682" s="121"/>
      <c r="T682" s="121"/>
      <c r="U682" s="121"/>
      <c r="V682" s="121"/>
      <c r="W682" s="121"/>
      <c r="X682" s="121"/>
      <c r="Y682" s="121"/>
      <c r="Z682" s="121"/>
      <c r="AA682" s="121"/>
      <c r="AB682" s="121"/>
    </row>
    <row r="683">
      <c r="A683" s="131"/>
      <c r="B683" s="131"/>
      <c r="C683" s="131"/>
      <c r="D683" s="131"/>
      <c r="E683" s="131"/>
      <c r="F683" s="131"/>
      <c r="G683" s="131"/>
      <c r="H683" s="121"/>
      <c r="I683" s="121"/>
      <c r="J683" s="121"/>
      <c r="K683" s="121"/>
      <c r="L683" s="121"/>
      <c r="M683" s="121"/>
      <c r="N683" s="121"/>
      <c r="O683" s="121"/>
      <c r="P683" s="121"/>
      <c r="Q683" s="121"/>
      <c r="R683" s="121"/>
      <c r="S683" s="121"/>
      <c r="T683" s="121"/>
      <c r="U683" s="121"/>
      <c r="V683" s="121"/>
      <c r="W683" s="121"/>
      <c r="X683" s="121"/>
      <c r="Y683" s="121"/>
      <c r="Z683" s="121"/>
      <c r="AA683" s="121"/>
      <c r="AB683" s="121"/>
    </row>
    <row r="684">
      <c r="A684" s="131"/>
      <c r="B684" s="131"/>
      <c r="C684" s="131"/>
      <c r="D684" s="131"/>
      <c r="E684" s="131"/>
      <c r="F684" s="131"/>
      <c r="G684" s="131"/>
      <c r="H684" s="121"/>
      <c r="I684" s="121"/>
      <c r="J684" s="121"/>
      <c r="K684" s="121"/>
      <c r="L684" s="121"/>
      <c r="M684" s="121"/>
      <c r="N684" s="121"/>
      <c r="O684" s="121"/>
      <c r="P684" s="121"/>
      <c r="Q684" s="121"/>
      <c r="R684" s="121"/>
      <c r="S684" s="121"/>
      <c r="T684" s="121"/>
      <c r="U684" s="121"/>
      <c r="V684" s="121"/>
      <c r="W684" s="121"/>
      <c r="X684" s="121"/>
      <c r="Y684" s="121"/>
      <c r="Z684" s="121"/>
      <c r="AA684" s="121"/>
      <c r="AB684" s="121"/>
    </row>
    <row r="685">
      <c r="A685" s="131"/>
      <c r="B685" s="131"/>
      <c r="C685" s="131"/>
      <c r="D685" s="131"/>
      <c r="E685" s="131"/>
      <c r="F685" s="131"/>
      <c r="G685" s="131"/>
      <c r="H685" s="121"/>
      <c r="I685" s="121"/>
      <c r="J685" s="121"/>
      <c r="K685" s="121"/>
      <c r="L685" s="121"/>
      <c r="M685" s="121"/>
      <c r="N685" s="121"/>
      <c r="O685" s="121"/>
      <c r="P685" s="121"/>
      <c r="Q685" s="121"/>
      <c r="R685" s="121"/>
      <c r="S685" s="121"/>
      <c r="T685" s="121"/>
      <c r="U685" s="121"/>
      <c r="V685" s="121"/>
      <c r="W685" s="121"/>
      <c r="X685" s="121"/>
      <c r="Y685" s="121"/>
      <c r="Z685" s="121"/>
      <c r="AA685" s="121"/>
      <c r="AB685" s="121"/>
    </row>
    <row r="686">
      <c r="A686" s="131"/>
      <c r="B686" s="131"/>
      <c r="C686" s="131"/>
      <c r="D686" s="131"/>
      <c r="E686" s="131"/>
      <c r="F686" s="131"/>
      <c r="G686" s="131"/>
      <c r="H686" s="121"/>
      <c r="I686" s="121"/>
      <c r="J686" s="121"/>
      <c r="K686" s="121"/>
      <c r="L686" s="121"/>
      <c r="M686" s="121"/>
      <c r="N686" s="121"/>
      <c r="O686" s="121"/>
      <c r="P686" s="121"/>
      <c r="Q686" s="121"/>
      <c r="R686" s="121"/>
      <c r="S686" s="121"/>
      <c r="T686" s="121"/>
      <c r="U686" s="121"/>
      <c r="V686" s="121"/>
      <c r="W686" s="121"/>
      <c r="X686" s="121"/>
      <c r="Y686" s="121"/>
      <c r="Z686" s="121"/>
      <c r="AA686" s="121"/>
      <c r="AB686" s="121"/>
    </row>
    <row r="687">
      <c r="A687" s="131"/>
      <c r="B687" s="131"/>
      <c r="C687" s="131"/>
      <c r="D687" s="131"/>
      <c r="E687" s="131"/>
      <c r="F687" s="131"/>
      <c r="G687" s="131"/>
      <c r="H687" s="121"/>
      <c r="I687" s="121"/>
      <c r="J687" s="121"/>
      <c r="K687" s="121"/>
      <c r="L687" s="121"/>
      <c r="M687" s="121"/>
      <c r="N687" s="121"/>
      <c r="O687" s="121"/>
      <c r="P687" s="121"/>
      <c r="Q687" s="121"/>
      <c r="R687" s="121"/>
      <c r="S687" s="121"/>
      <c r="T687" s="121"/>
      <c r="U687" s="121"/>
      <c r="V687" s="121"/>
      <c r="W687" s="121"/>
      <c r="X687" s="121"/>
      <c r="Y687" s="121"/>
      <c r="Z687" s="121"/>
      <c r="AA687" s="121"/>
      <c r="AB687" s="121"/>
    </row>
    <row r="688">
      <c r="A688" s="131"/>
      <c r="B688" s="131"/>
      <c r="C688" s="131"/>
      <c r="D688" s="131"/>
      <c r="E688" s="131"/>
      <c r="F688" s="131"/>
      <c r="G688" s="131"/>
      <c r="H688" s="121"/>
      <c r="I688" s="121"/>
      <c r="J688" s="121"/>
      <c r="K688" s="121"/>
      <c r="L688" s="121"/>
      <c r="M688" s="121"/>
      <c r="N688" s="121"/>
      <c r="O688" s="121"/>
      <c r="P688" s="121"/>
      <c r="Q688" s="121"/>
      <c r="R688" s="121"/>
      <c r="S688" s="121"/>
      <c r="T688" s="121"/>
      <c r="U688" s="121"/>
      <c r="V688" s="121"/>
      <c r="W688" s="121"/>
      <c r="X688" s="121"/>
      <c r="Y688" s="121"/>
      <c r="Z688" s="121"/>
      <c r="AA688" s="121"/>
      <c r="AB688" s="121"/>
    </row>
    <row r="689">
      <c r="A689" s="131"/>
      <c r="B689" s="131"/>
      <c r="C689" s="131"/>
      <c r="D689" s="131"/>
      <c r="E689" s="131"/>
      <c r="F689" s="131"/>
      <c r="G689" s="131"/>
      <c r="H689" s="121"/>
      <c r="I689" s="121"/>
      <c r="J689" s="121"/>
      <c r="K689" s="121"/>
      <c r="L689" s="121"/>
      <c r="M689" s="121"/>
      <c r="N689" s="121"/>
      <c r="O689" s="121"/>
      <c r="P689" s="121"/>
      <c r="Q689" s="121"/>
      <c r="R689" s="121"/>
      <c r="S689" s="121"/>
      <c r="T689" s="121"/>
      <c r="U689" s="121"/>
      <c r="V689" s="121"/>
      <c r="W689" s="121"/>
      <c r="X689" s="121"/>
      <c r="Y689" s="121"/>
      <c r="Z689" s="121"/>
      <c r="AA689" s="121"/>
      <c r="AB689" s="121"/>
    </row>
    <row r="690">
      <c r="A690" s="131"/>
      <c r="B690" s="131"/>
      <c r="C690" s="131"/>
      <c r="D690" s="131"/>
      <c r="E690" s="131"/>
      <c r="F690" s="131"/>
      <c r="G690" s="131"/>
      <c r="H690" s="121"/>
      <c r="I690" s="121"/>
      <c r="J690" s="121"/>
      <c r="K690" s="121"/>
      <c r="L690" s="121"/>
      <c r="M690" s="121"/>
      <c r="N690" s="121"/>
      <c r="O690" s="121"/>
      <c r="P690" s="121"/>
      <c r="Q690" s="121"/>
      <c r="R690" s="121"/>
      <c r="S690" s="121"/>
      <c r="T690" s="121"/>
      <c r="U690" s="121"/>
      <c r="V690" s="121"/>
      <c r="W690" s="121"/>
      <c r="X690" s="121"/>
      <c r="Y690" s="121"/>
      <c r="Z690" s="121"/>
      <c r="AA690" s="121"/>
      <c r="AB690" s="121"/>
    </row>
    <row r="691">
      <c r="A691" s="131"/>
      <c r="B691" s="131"/>
      <c r="C691" s="131"/>
      <c r="D691" s="131"/>
      <c r="E691" s="131"/>
      <c r="F691" s="131"/>
      <c r="G691" s="131"/>
      <c r="H691" s="121"/>
      <c r="I691" s="121"/>
      <c r="J691" s="121"/>
      <c r="K691" s="121"/>
      <c r="L691" s="121"/>
      <c r="M691" s="121"/>
      <c r="N691" s="121"/>
      <c r="O691" s="121"/>
      <c r="P691" s="121"/>
      <c r="Q691" s="121"/>
      <c r="R691" s="121"/>
      <c r="S691" s="121"/>
      <c r="T691" s="121"/>
      <c r="U691" s="121"/>
      <c r="V691" s="121"/>
      <c r="W691" s="121"/>
      <c r="X691" s="121"/>
      <c r="Y691" s="121"/>
      <c r="Z691" s="121"/>
      <c r="AA691" s="121"/>
      <c r="AB691" s="121"/>
    </row>
    <row r="692">
      <c r="A692" s="131"/>
      <c r="B692" s="131"/>
      <c r="C692" s="131"/>
      <c r="D692" s="131"/>
      <c r="E692" s="131"/>
      <c r="F692" s="131"/>
      <c r="G692" s="131"/>
      <c r="H692" s="121"/>
      <c r="I692" s="121"/>
      <c r="J692" s="121"/>
      <c r="K692" s="121"/>
      <c r="L692" s="121"/>
      <c r="M692" s="121"/>
      <c r="N692" s="121"/>
      <c r="O692" s="121"/>
      <c r="P692" s="121"/>
      <c r="Q692" s="121"/>
      <c r="R692" s="121"/>
      <c r="S692" s="121"/>
      <c r="T692" s="121"/>
      <c r="U692" s="121"/>
      <c r="V692" s="121"/>
      <c r="W692" s="121"/>
      <c r="X692" s="121"/>
      <c r="Y692" s="121"/>
      <c r="Z692" s="121"/>
      <c r="AA692" s="121"/>
      <c r="AB692" s="121"/>
    </row>
    <row r="693">
      <c r="A693" s="131"/>
      <c r="B693" s="131"/>
      <c r="C693" s="131"/>
      <c r="D693" s="131"/>
      <c r="E693" s="131"/>
      <c r="F693" s="131"/>
      <c r="G693" s="131"/>
      <c r="H693" s="121"/>
      <c r="I693" s="121"/>
      <c r="J693" s="121"/>
      <c r="K693" s="121"/>
      <c r="L693" s="121"/>
      <c r="M693" s="121"/>
      <c r="N693" s="121"/>
      <c r="O693" s="121"/>
      <c r="P693" s="121"/>
      <c r="Q693" s="121"/>
      <c r="R693" s="121"/>
      <c r="S693" s="121"/>
      <c r="T693" s="121"/>
      <c r="U693" s="121"/>
      <c r="V693" s="121"/>
      <c r="W693" s="121"/>
      <c r="X693" s="121"/>
      <c r="Y693" s="121"/>
      <c r="Z693" s="121"/>
      <c r="AA693" s="121"/>
      <c r="AB693" s="121"/>
    </row>
    <row r="694">
      <c r="A694" s="131"/>
      <c r="B694" s="131"/>
      <c r="C694" s="131"/>
      <c r="D694" s="131"/>
      <c r="E694" s="131"/>
      <c r="F694" s="131"/>
      <c r="G694" s="131"/>
      <c r="H694" s="121"/>
      <c r="I694" s="121"/>
      <c r="J694" s="121"/>
      <c r="K694" s="121"/>
      <c r="L694" s="121"/>
      <c r="M694" s="121"/>
      <c r="N694" s="121"/>
      <c r="O694" s="121"/>
      <c r="P694" s="121"/>
      <c r="Q694" s="121"/>
      <c r="R694" s="121"/>
      <c r="S694" s="121"/>
      <c r="T694" s="121"/>
      <c r="U694" s="121"/>
      <c r="V694" s="121"/>
      <c r="W694" s="121"/>
      <c r="X694" s="121"/>
      <c r="Y694" s="121"/>
      <c r="Z694" s="121"/>
      <c r="AA694" s="121"/>
      <c r="AB694" s="121"/>
    </row>
    <row r="695">
      <c r="A695" s="131"/>
      <c r="B695" s="131"/>
      <c r="C695" s="131"/>
      <c r="D695" s="131"/>
      <c r="E695" s="131"/>
      <c r="F695" s="131"/>
      <c r="G695" s="131"/>
      <c r="H695" s="121"/>
      <c r="I695" s="121"/>
      <c r="J695" s="121"/>
      <c r="K695" s="121"/>
      <c r="L695" s="121"/>
      <c r="M695" s="121"/>
      <c r="N695" s="121"/>
      <c r="O695" s="121"/>
      <c r="P695" s="121"/>
      <c r="Q695" s="121"/>
      <c r="R695" s="121"/>
      <c r="S695" s="121"/>
      <c r="T695" s="121"/>
      <c r="U695" s="121"/>
      <c r="V695" s="121"/>
      <c r="W695" s="121"/>
      <c r="X695" s="121"/>
      <c r="Y695" s="121"/>
      <c r="Z695" s="121"/>
      <c r="AA695" s="121"/>
      <c r="AB695" s="121"/>
    </row>
    <row r="696">
      <c r="A696" s="131"/>
      <c r="B696" s="131"/>
      <c r="C696" s="131"/>
      <c r="D696" s="131"/>
      <c r="E696" s="131"/>
      <c r="F696" s="131"/>
      <c r="G696" s="131"/>
      <c r="H696" s="121"/>
      <c r="I696" s="121"/>
      <c r="J696" s="121"/>
      <c r="K696" s="121"/>
      <c r="L696" s="121"/>
      <c r="M696" s="121"/>
      <c r="N696" s="121"/>
      <c r="O696" s="121"/>
      <c r="P696" s="121"/>
      <c r="Q696" s="121"/>
      <c r="R696" s="121"/>
      <c r="S696" s="121"/>
      <c r="T696" s="121"/>
      <c r="U696" s="121"/>
      <c r="V696" s="121"/>
      <c r="W696" s="121"/>
      <c r="X696" s="121"/>
      <c r="Y696" s="121"/>
      <c r="Z696" s="121"/>
      <c r="AA696" s="121"/>
      <c r="AB696" s="121"/>
    </row>
    <row r="697">
      <c r="A697" s="131"/>
      <c r="B697" s="131"/>
      <c r="C697" s="131"/>
      <c r="D697" s="131"/>
      <c r="E697" s="131"/>
      <c r="F697" s="131"/>
      <c r="G697" s="131"/>
      <c r="H697" s="121"/>
      <c r="I697" s="121"/>
      <c r="J697" s="121"/>
      <c r="K697" s="121"/>
      <c r="L697" s="121"/>
      <c r="M697" s="121"/>
      <c r="N697" s="121"/>
      <c r="O697" s="121"/>
      <c r="P697" s="121"/>
      <c r="Q697" s="121"/>
      <c r="R697" s="121"/>
      <c r="S697" s="121"/>
      <c r="T697" s="121"/>
      <c r="U697" s="121"/>
      <c r="V697" s="121"/>
      <c r="W697" s="121"/>
      <c r="X697" s="121"/>
      <c r="Y697" s="121"/>
      <c r="Z697" s="121"/>
      <c r="AA697" s="121"/>
      <c r="AB697" s="121"/>
    </row>
    <row r="698">
      <c r="A698" s="131"/>
      <c r="B698" s="131"/>
      <c r="C698" s="131"/>
      <c r="D698" s="131"/>
      <c r="E698" s="131"/>
      <c r="F698" s="131"/>
      <c r="G698" s="131"/>
      <c r="H698" s="121"/>
      <c r="I698" s="121"/>
      <c r="J698" s="121"/>
      <c r="K698" s="121"/>
      <c r="L698" s="121"/>
      <c r="M698" s="121"/>
      <c r="N698" s="121"/>
      <c r="O698" s="121"/>
      <c r="P698" s="121"/>
      <c r="Q698" s="121"/>
      <c r="R698" s="121"/>
      <c r="S698" s="121"/>
      <c r="T698" s="121"/>
      <c r="U698" s="121"/>
      <c r="V698" s="121"/>
      <c r="W698" s="121"/>
      <c r="X698" s="121"/>
      <c r="Y698" s="121"/>
      <c r="Z698" s="121"/>
      <c r="AA698" s="121"/>
      <c r="AB698" s="121"/>
    </row>
    <row r="699">
      <c r="A699" s="131"/>
      <c r="B699" s="131"/>
      <c r="C699" s="131"/>
      <c r="D699" s="131"/>
      <c r="E699" s="131"/>
      <c r="F699" s="131"/>
      <c r="G699" s="131"/>
      <c r="H699" s="121"/>
      <c r="I699" s="121"/>
      <c r="J699" s="121"/>
      <c r="K699" s="121"/>
      <c r="L699" s="121"/>
      <c r="M699" s="121"/>
      <c r="N699" s="121"/>
      <c r="O699" s="121"/>
      <c r="P699" s="121"/>
      <c r="Q699" s="121"/>
      <c r="R699" s="121"/>
      <c r="S699" s="121"/>
      <c r="T699" s="121"/>
      <c r="U699" s="121"/>
      <c r="V699" s="121"/>
      <c r="W699" s="121"/>
      <c r="X699" s="121"/>
      <c r="Y699" s="121"/>
      <c r="Z699" s="121"/>
      <c r="AA699" s="121"/>
      <c r="AB699" s="121"/>
    </row>
    <row r="700">
      <c r="A700" s="131"/>
      <c r="B700" s="131"/>
      <c r="C700" s="131"/>
      <c r="D700" s="131"/>
      <c r="E700" s="131"/>
      <c r="F700" s="131"/>
      <c r="G700" s="131"/>
      <c r="H700" s="121"/>
      <c r="I700" s="121"/>
      <c r="J700" s="121"/>
      <c r="K700" s="121"/>
      <c r="L700" s="121"/>
      <c r="M700" s="121"/>
      <c r="N700" s="121"/>
      <c r="O700" s="121"/>
      <c r="P700" s="121"/>
      <c r="Q700" s="121"/>
      <c r="R700" s="121"/>
      <c r="S700" s="121"/>
      <c r="T700" s="121"/>
      <c r="U700" s="121"/>
      <c r="V700" s="121"/>
      <c r="W700" s="121"/>
      <c r="X700" s="121"/>
      <c r="Y700" s="121"/>
      <c r="Z700" s="121"/>
      <c r="AA700" s="121"/>
      <c r="AB700" s="121"/>
    </row>
    <row r="701">
      <c r="A701" s="131"/>
      <c r="B701" s="131"/>
      <c r="C701" s="131"/>
      <c r="D701" s="131"/>
      <c r="E701" s="131"/>
      <c r="F701" s="131"/>
      <c r="G701" s="131"/>
      <c r="H701" s="121"/>
      <c r="I701" s="121"/>
      <c r="J701" s="121"/>
      <c r="K701" s="121"/>
      <c r="L701" s="121"/>
      <c r="M701" s="121"/>
      <c r="N701" s="121"/>
      <c r="O701" s="121"/>
      <c r="P701" s="121"/>
      <c r="Q701" s="121"/>
      <c r="R701" s="121"/>
      <c r="S701" s="121"/>
      <c r="T701" s="121"/>
      <c r="U701" s="121"/>
      <c r="V701" s="121"/>
      <c r="W701" s="121"/>
      <c r="X701" s="121"/>
      <c r="Y701" s="121"/>
      <c r="Z701" s="121"/>
      <c r="AA701" s="121"/>
      <c r="AB701" s="121"/>
    </row>
    <row r="702">
      <c r="A702" s="131"/>
      <c r="B702" s="131"/>
      <c r="C702" s="131"/>
      <c r="D702" s="131"/>
      <c r="E702" s="131"/>
      <c r="F702" s="131"/>
      <c r="G702" s="131"/>
      <c r="H702" s="121"/>
      <c r="I702" s="121"/>
      <c r="J702" s="121"/>
      <c r="K702" s="121"/>
      <c r="L702" s="121"/>
      <c r="M702" s="121"/>
      <c r="N702" s="121"/>
      <c r="O702" s="121"/>
      <c r="P702" s="121"/>
      <c r="Q702" s="121"/>
      <c r="R702" s="121"/>
      <c r="S702" s="121"/>
      <c r="T702" s="121"/>
      <c r="U702" s="121"/>
      <c r="V702" s="121"/>
      <c r="W702" s="121"/>
      <c r="X702" s="121"/>
      <c r="Y702" s="121"/>
      <c r="Z702" s="121"/>
      <c r="AA702" s="121"/>
      <c r="AB702" s="121"/>
    </row>
    <row r="703">
      <c r="A703" s="131"/>
      <c r="B703" s="131"/>
      <c r="C703" s="131"/>
      <c r="D703" s="131"/>
      <c r="E703" s="131"/>
      <c r="F703" s="131"/>
      <c r="G703" s="131"/>
      <c r="H703" s="121"/>
      <c r="I703" s="121"/>
      <c r="J703" s="121"/>
      <c r="K703" s="121"/>
      <c r="L703" s="121"/>
      <c r="M703" s="121"/>
      <c r="N703" s="121"/>
      <c r="O703" s="121"/>
      <c r="P703" s="121"/>
      <c r="Q703" s="121"/>
      <c r="R703" s="121"/>
      <c r="S703" s="121"/>
      <c r="T703" s="121"/>
      <c r="U703" s="121"/>
      <c r="V703" s="121"/>
      <c r="W703" s="121"/>
      <c r="X703" s="121"/>
      <c r="Y703" s="121"/>
      <c r="Z703" s="121"/>
      <c r="AA703" s="121"/>
      <c r="AB703" s="121"/>
    </row>
    <row r="704">
      <c r="A704" s="131"/>
      <c r="B704" s="131"/>
      <c r="C704" s="131"/>
      <c r="D704" s="131"/>
      <c r="E704" s="131"/>
      <c r="F704" s="131"/>
      <c r="G704" s="131"/>
      <c r="H704" s="121"/>
      <c r="I704" s="121"/>
      <c r="J704" s="121"/>
      <c r="K704" s="121"/>
      <c r="L704" s="121"/>
      <c r="M704" s="121"/>
      <c r="N704" s="121"/>
      <c r="O704" s="121"/>
      <c r="P704" s="121"/>
      <c r="Q704" s="121"/>
      <c r="R704" s="121"/>
      <c r="S704" s="121"/>
      <c r="T704" s="121"/>
      <c r="U704" s="121"/>
      <c r="V704" s="121"/>
      <c r="W704" s="121"/>
      <c r="X704" s="121"/>
      <c r="Y704" s="121"/>
      <c r="Z704" s="121"/>
      <c r="AA704" s="121"/>
      <c r="AB704" s="121"/>
    </row>
    <row r="705">
      <c r="A705" s="131"/>
      <c r="B705" s="131"/>
      <c r="C705" s="131"/>
      <c r="D705" s="131"/>
      <c r="E705" s="131"/>
      <c r="F705" s="131"/>
      <c r="G705" s="131"/>
      <c r="H705" s="121"/>
      <c r="I705" s="121"/>
      <c r="J705" s="121"/>
      <c r="K705" s="121"/>
      <c r="L705" s="121"/>
      <c r="M705" s="121"/>
      <c r="N705" s="121"/>
      <c r="O705" s="121"/>
      <c r="P705" s="121"/>
      <c r="Q705" s="121"/>
      <c r="R705" s="121"/>
      <c r="S705" s="121"/>
      <c r="T705" s="121"/>
      <c r="U705" s="121"/>
      <c r="V705" s="121"/>
      <c r="W705" s="121"/>
      <c r="X705" s="121"/>
      <c r="Y705" s="121"/>
      <c r="Z705" s="121"/>
      <c r="AA705" s="121"/>
      <c r="AB705" s="121"/>
    </row>
    <row r="706">
      <c r="A706" s="131"/>
      <c r="B706" s="131"/>
      <c r="C706" s="131"/>
      <c r="D706" s="131"/>
      <c r="E706" s="131"/>
      <c r="F706" s="131"/>
      <c r="G706" s="131"/>
      <c r="H706" s="121"/>
      <c r="I706" s="121"/>
      <c r="J706" s="121"/>
      <c r="K706" s="121"/>
      <c r="L706" s="121"/>
      <c r="M706" s="121"/>
      <c r="N706" s="121"/>
      <c r="O706" s="121"/>
      <c r="P706" s="121"/>
      <c r="Q706" s="121"/>
      <c r="R706" s="121"/>
      <c r="S706" s="121"/>
      <c r="T706" s="121"/>
      <c r="U706" s="121"/>
      <c r="V706" s="121"/>
      <c r="W706" s="121"/>
      <c r="X706" s="121"/>
      <c r="Y706" s="121"/>
      <c r="Z706" s="121"/>
      <c r="AA706" s="121"/>
      <c r="AB706" s="121"/>
    </row>
    <row r="707">
      <c r="A707" s="131"/>
      <c r="B707" s="131"/>
      <c r="C707" s="131"/>
      <c r="D707" s="131"/>
      <c r="E707" s="131"/>
      <c r="F707" s="131"/>
      <c r="G707" s="131"/>
      <c r="H707" s="121"/>
      <c r="I707" s="121"/>
      <c r="J707" s="121"/>
      <c r="K707" s="121"/>
      <c r="L707" s="121"/>
      <c r="M707" s="121"/>
      <c r="N707" s="121"/>
      <c r="O707" s="121"/>
      <c r="P707" s="121"/>
      <c r="Q707" s="121"/>
      <c r="R707" s="121"/>
      <c r="S707" s="121"/>
      <c r="T707" s="121"/>
      <c r="U707" s="121"/>
      <c r="V707" s="121"/>
      <c r="W707" s="121"/>
      <c r="X707" s="121"/>
      <c r="Y707" s="121"/>
      <c r="Z707" s="121"/>
      <c r="AA707" s="121"/>
      <c r="AB707" s="121"/>
    </row>
    <row r="708">
      <c r="A708" s="131"/>
      <c r="B708" s="131"/>
      <c r="C708" s="131"/>
      <c r="D708" s="131"/>
      <c r="E708" s="131"/>
      <c r="F708" s="131"/>
      <c r="G708" s="131"/>
      <c r="H708" s="121"/>
      <c r="I708" s="121"/>
      <c r="J708" s="121"/>
      <c r="K708" s="121"/>
      <c r="L708" s="121"/>
      <c r="M708" s="121"/>
      <c r="N708" s="121"/>
      <c r="O708" s="121"/>
      <c r="P708" s="121"/>
      <c r="Q708" s="121"/>
      <c r="R708" s="121"/>
      <c r="S708" s="121"/>
      <c r="T708" s="121"/>
      <c r="U708" s="121"/>
      <c r="V708" s="121"/>
      <c r="W708" s="121"/>
      <c r="X708" s="121"/>
      <c r="Y708" s="121"/>
      <c r="Z708" s="121"/>
      <c r="AA708" s="121"/>
      <c r="AB708" s="121"/>
    </row>
    <row r="709">
      <c r="A709" s="131"/>
      <c r="B709" s="131"/>
      <c r="C709" s="131"/>
      <c r="D709" s="131"/>
      <c r="E709" s="131"/>
      <c r="F709" s="131"/>
      <c r="G709" s="131"/>
      <c r="H709" s="121"/>
      <c r="I709" s="121"/>
      <c r="J709" s="121"/>
      <c r="K709" s="121"/>
      <c r="L709" s="121"/>
      <c r="M709" s="121"/>
      <c r="N709" s="121"/>
      <c r="O709" s="121"/>
      <c r="P709" s="121"/>
      <c r="Q709" s="121"/>
      <c r="R709" s="121"/>
      <c r="S709" s="121"/>
      <c r="T709" s="121"/>
      <c r="U709" s="121"/>
      <c r="V709" s="121"/>
      <c r="W709" s="121"/>
      <c r="X709" s="121"/>
      <c r="Y709" s="121"/>
      <c r="Z709" s="121"/>
      <c r="AA709" s="121"/>
      <c r="AB709" s="121"/>
    </row>
    <row r="710">
      <c r="A710" s="131"/>
      <c r="B710" s="131"/>
      <c r="C710" s="131"/>
      <c r="D710" s="131"/>
      <c r="E710" s="131"/>
      <c r="F710" s="131"/>
      <c r="G710" s="131"/>
      <c r="H710" s="121"/>
      <c r="I710" s="121"/>
      <c r="J710" s="121"/>
      <c r="K710" s="121"/>
      <c r="L710" s="121"/>
      <c r="M710" s="121"/>
      <c r="N710" s="121"/>
      <c r="O710" s="121"/>
      <c r="P710" s="121"/>
      <c r="Q710" s="121"/>
      <c r="R710" s="121"/>
      <c r="S710" s="121"/>
      <c r="T710" s="121"/>
      <c r="U710" s="121"/>
      <c r="V710" s="121"/>
      <c r="W710" s="121"/>
      <c r="X710" s="121"/>
      <c r="Y710" s="121"/>
      <c r="Z710" s="121"/>
      <c r="AA710" s="121"/>
      <c r="AB710" s="121"/>
    </row>
    <row r="711">
      <c r="A711" s="131"/>
      <c r="B711" s="131"/>
      <c r="C711" s="131"/>
      <c r="D711" s="131"/>
      <c r="E711" s="131"/>
      <c r="F711" s="131"/>
      <c r="G711" s="131"/>
      <c r="H711" s="121"/>
      <c r="I711" s="121"/>
      <c r="J711" s="121"/>
      <c r="K711" s="121"/>
      <c r="L711" s="121"/>
      <c r="M711" s="121"/>
      <c r="N711" s="121"/>
      <c r="O711" s="121"/>
      <c r="P711" s="121"/>
      <c r="Q711" s="121"/>
      <c r="R711" s="121"/>
      <c r="S711" s="121"/>
      <c r="T711" s="121"/>
      <c r="U711" s="121"/>
      <c r="V711" s="121"/>
      <c r="W711" s="121"/>
      <c r="X711" s="121"/>
      <c r="Y711" s="121"/>
      <c r="Z711" s="121"/>
      <c r="AA711" s="121"/>
      <c r="AB711" s="121"/>
    </row>
    <row r="712">
      <c r="A712" s="131"/>
      <c r="B712" s="131"/>
      <c r="C712" s="131"/>
      <c r="D712" s="131"/>
      <c r="E712" s="131"/>
      <c r="F712" s="131"/>
      <c r="G712" s="131"/>
      <c r="H712" s="121"/>
      <c r="I712" s="121"/>
      <c r="J712" s="121"/>
      <c r="K712" s="121"/>
      <c r="L712" s="121"/>
      <c r="M712" s="121"/>
      <c r="N712" s="121"/>
      <c r="O712" s="121"/>
      <c r="P712" s="121"/>
      <c r="Q712" s="121"/>
      <c r="R712" s="121"/>
      <c r="S712" s="121"/>
      <c r="T712" s="121"/>
      <c r="U712" s="121"/>
      <c r="V712" s="121"/>
      <c r="W712" s="121"/>
      <c r="X712" s="121"/>
      <c r="Y712" s="121"/>
      <c r="Z712" s="121"/>
      <c r="AA712" s="121"/>
      <c r="AB712" s="121"/>
    </row>
    <row r="713">
      <c r="A713" s="131"/>
      <c r="B713" s="131"/>
      <c r="C713" s="131"/>
      <c r="D713" s="131"/>
      <c r="E713" s="131"/>
      <c r="F713" s="131"/>
      <c r="G713" s="131"/>
      <c r="H713" s="121"/>
      <c r="I713" s="121"/>
      <c r="J713" s="121"/>
      <c r="K713" s="121"/>
      <c r="L713" s="121"/>
      <c r="M713" s="121"/>
      <c r="N713" s="121"/>
      <c r="O713" s="121"/>
      <c r="P713" s="121"/>
      <c r="Q713" s="121"/>
      <c r="R713" s="121"/>
      <c r="S713" s="121"/>
      <c r="T713" s="121"/>
      <c r="U713" s="121"/>
      <c r="V713" s="121"/>
      <c r="W713" s="121"/>
      <c r="X713" s="121"/>
      <c r="Y713" s="121"/>
      <c r="Z713" s="121"/>
      <c r="AA713" s="121"/>
      <c r="AB713" s="121"/>
    </row>
    <row r="714">
      <c r="A714" s="131"/>
      <c r="B714" s="131"/>
      <c r="C714" s="131"/>
      <c r="D714" s="131"/>
      <c r="E714" s="131"/>
      <c r="F714" s="131"/>
      <c r="G714" s="131"/>
      <c r="H714" s="121"/>
      <c r="I714" s="121"/>
      <c r="J714" s="121"/>
      <c r="K714" s="121"/>
      <c r="L714" s="121"/>
      <c r="M714" s="121"/>
      <c r="N714" s="121"/>
      <c r="O714" s="121"/>
      <c r="P714" s="121"/>
      <c r="Q714" s="121"/>
      <c r="R714" s="121"/>
      <c r="S714" s="121"/>
      <c r="T714" s="121"/>
      <c r="U714" s="121"/>
      <c r="V714" s="121"/>
      <c r="W714" s="121"/>
      <c r="X714" s="121"/>
      <c r="Y714" s="121"/>
      <c r="Z714" s="121"/>
      <c r="AA714" s="121"/>
      <c r="AB714" s="121"/>
    </row>
    <row r="715">
      <c r="A715" s="131"/>
      <c r="B715" s="131"/>
      <c r="C715" s="131"/>
      <c r="D715" s="131"/>
      <c r="E715" s="131"/>
      <c r="F715" s="131"/>
      <c r="G715" s="131"/>
      <c r="H715" s="121"/>
      <c r="I715" s="121"/>
      <c r="J715" s="121"/>
      <c r="K715" s="121"/>
      <c r="L715" s="121"/>
      <c r="M715" s="121"/>
      <c r="N715" s="121"/>
      <c r="O715" s="121"/>
      <c r="P715" s="121"/>
      <c r="Q715" s="121"/>
      <c r="R715" s="121"/>
      <c r="S715" s="121"/>
      <c r="T715" s="121"/>
      <c r="U715" s="121"/>
      <c r="V715" s="121"/>
      <c r="W715" s="121"/>
      <c r="X715" s="121"/>
      <c r="Y715" s="121"/>
      <c r="Z715" s="121"/>
      <c r="AA715" s="121"/>
      <c r="AB715" s="121"/>
    </row>
    <row r="716">
      <c r="A716" s="131"/>
      <c r="B716" s="131"/>
      <c r="C716" s="131"/>
      <c r="D716" s="131"/>
      <c r="E716" s="131"/>
      <c r="F716" s="131"/>
      <c r="G716" s="131"/>
      <c r="H716" s="121"/>
      <c r="I716" s="121"/>
      <c r="J716" s="121"/>
      <c r="K716" s="121"/>
      <c r="L716" s="121"/>
      <c r="M716" s="121"/>
      <c r="N716" s="121"/>
      <c r="O716" s="121"/>
      <c r="P716" s="121"/>
      <c r="Q716" s="121"/>
      <c r="R716" s="121"/>
      <c r="S716" s="121"/>
      <c r="T716" s="121"/>
      <c r="U716" s="121"/>
      <c r="V716" s="121"/>
      <c r="W716" s="121"/>
      <c r="X716" s="121"/>
      <c r="Y716" s="121"/>
      <c r="Z716" s="121"/>
      <c r="AA716" s="121"/>
      <c r="AB716" s="121"/>
    </row>
    <row r="717">
      <c r="A717" s="131"/>
      <c r="B717" s="131"/>
      <c r="C717" s="131"/>
      <c r="D717" s="131"/>
      <c r="E717" s="131"/>
      <c r="F717" s="131"/>
      <c r="G717" s="131"/>
      <c r="H717" s="121"/>
      <c r="I717" s="121"/>
      <c r="J717" s="121"/>
      <c r="K717" s="121"/>
      <c r="L717" s="121"/>
      <c r="M717" s="121"/>
      <c r="N717" s="121"/>
      <c r="O717" s="121"/>
      <c r="P717" s="121"/>
      <c r="Q717" s="121"/>
      <c r="R717" s="121"/>
      <c r="S717" s="121"/>
      <c r="T717" s="121"/>
      <c r="U717" s="121"/>
      <c r="V717" s="121"/>
      <c r="W717" s="121"/>
      <c r="X717" s="121"/>
      <c r="Y717" s="121"/>
      <c r="Z717" s="121"/>
      <c r="AA717" s="121"/>
      <c r="AB717" s="121"/>
    </row>
    <row r="718">
      <c r="A718" s="131"/>
      <c r="B718" s="131"/>
      <c r="C718" s="131"/>
      <c r="D718" s="131"/>
      <c r="E718" s="131"/>
      <c r="F718" s="131"/>
      <c r="G718" s="131"/>
      <c r="H718" s="121"/>
      <c r="I718" s="121"/>
      <c r="J718" s="121"/>
      <c r="K718" s="121"/>
      <c r="L718" s="121"/>
      <c r="M718" s="121"/>
      <c r="N718" s="121"/>
      <c r="O718" s="121"/>
      <c r="P718" s="121"/>
      <c r="Q718" s="121"/>
      <c r="R718" s="121"/>
      <c r="S718" s="121"/>
      <c r="T718" s="121"/>
      <c r="U718" s="121"/>
      <c r="V718" s="121"/>
      <c r="W718" s="121"/>
      <c r="X718" s="121"/>
      <c r="Y718" s="121"/>
      <c r="Z718" s="121"/>
      <c r="AA718" s="121"/>
      <c r="AB718" s="121"/>
    </row>
    <row r="719">
      <c r="A719" s="131"/>
      <c r="B719" s="131"/>
      <c r="C719" s="131"/>
      <c r="D719" s="131"/>
      <c r="E719" s="131"/>
      <c r="F719" s="131"/>
      <c r="G719" s="131"/>
      <c r="H719" s="121"/>
      <c r="I719" s="121"/>
      <c r="J719" s="121"/>
      <c r="K719" s="121"/>
      <c r="L719" s="121"/>
      <c r="M719" s="121"/>
      <c r="N719" s="121"/>
      <c r="O719" s="121"/>
      <c r="P719" s="121"/>
      <c r="Q719" s="121"/>
      <c r="R719" s="121"/>
      <c r="S719" s="121"/>
      <c r="T719" s="121"/>
      <c r="U719" s="121"/>
      <c r="V719" s="121"/>
      <c r="W719" s="121"/>
      <c r="X719" s="121"/>
      <c r="Y719" s="121"/>
      <c r="Z719" s="121"/>
      <c r="AA719" s="121"/>
      <c r="AB719" s="121"/>
    </row>
    <row r="720">
      <c r="A720" s="131"/>
      <c r="B720" s="131"/>
      <c r="C720" s="131"/>
      <c r="D720" s="131"/>
      <c r="E720" s="131"/>
      <c r="F720" s="131"/>
      <c r="G720" s="131"/>
      <c r="H720" s="121"/>
      <c r="I720" s="121"/>
      <c r="J720" s="121"/>
      <c r="K720" s="121"/>
      <c r="L720" s="121"/>
      <c r="M720" s="121"/>
      <c r="N720" s="121"/>
      <c r="O720" s="121"/>
      <c r="P720" s="121"/>
      <c r="Q720" s="121"/>
      <c r="R720" s="121"/>
      <c r="S720" s="121"/>
      <c r="T720" s="121"/>
      <c r="U720" s="121"/>
      <c r="V720" s="121"/>
      <c r="W720" s="121"/>
      <c r="X720" s="121"/>
      <c r="Y720" s="121"/>
      <c r="Z720" s="121"/>
      <c r="AA720" s="121"/>
      <c r="AB720" s="121"/>
    </row>
    <row r="721">
      <c r="A721" s="131"/>
      <c r="B721" s="131"/>
      <c r="C721" s="131"/>
      <c r="D721" s="131"/>
      <c r="E721" s="131"/>
      <c r="F721" s="131"/>
      <c r="G721" s="131"/>
      <c r="H721" s="121"/>
      <c r="I721" s="121"/>
      <c r="J721" s="121"/>
      <c r="K721" s="121"/>
      <c r="L721" s="121"/>
      <c r="M721" s="121"/>
      <c r="N721" s="121"/>
      <c r="O721" s="121"/>
      <c r="P721" s="121"/>
      <c r="Q721" s="121"/>
      <c r="R721" s="121"/>
      <c r="S721" s="121"/>
      <c r="T721" s="121"/>
      <c r="U721" s="121"/>
      <c r="V721" s="121"/>
      <c r="W721" s="121"/>
      <c r="X721" s="121"/>
      <c r="Y721" s="121"/>
      <c r="Z721" s="121"/>
      <c r="AA721" s="121"/>
      <c r="AB721" s="121"/>
    </row>
    <row r="722">
      <c r="A722" s="131"/>
      <c r="B722" s="131"/>
      <c r="C722" s="131"/>
      <c r="D722" s="131"/>
      <c r="E722" s="131"/>
      <c r="F722" s="131"/>
      <c r="G722" s="131"/>
      <c r="H722" s="121"/>
      <c r="I722" s="121"/>
      <c r="J722" s="121"/>
      <c r="K722" s="121"/>
      <c r="L722" s="121"/>
      <c r="M722" s="121"/>
      <c r="N722" s="121"/>
      <c r="O722" s="121"/>
      <c r="P722" s="121"/>
      <c r="Q722" s="121"/>
      <c r="R722" s="121"/>
      <c r="S722" s="121"/>
      <c r="T722" s="121"/>
      <c r="U722" s="121"/>
      <c r="V722" s="121"/>
      <c r="W722" s="121"/>
      <c r="X722" s="121"/>
      <c r="Y722" s="121"/>
      <c r="Z722" s="121"/>
      <c r="AA722" s="121"/>
      <c r="AB722" s="121"/>
    </row>
    <row r="723">
      <c r="A723" s="131"/>
      <c r="B723" s="131"/>
      <c r="C723" s="131"/>
      <c r="D723" s="131"/>
      <c r="E723" s="131"/>
      <c r="F723" s="131"/>
      <c r="G723" s="131"/>
      <c r="H723" s="121"/>
      <c r="I723" s="121"/>
      <c r="J723" s="121"/>
      <c r="K723" s="121"/>
      <c r="L723" s="121"/>
      <c r="M723" s="121"/>
      <c r="N723" s="121"/>
      <c r="O723" s="121"/>
      <c r="P723" s="121"/>
      <c r="Q723" s="121"/>
      <c r="R723" s="121"/>
      <c r="S723" s="121"/>
      <c r="T723" s="121"/>
      <c r="U723" s="121"/>
      <c r="V723" s="121"/>
      <c r="W723" s="121"/>
      <c r="X723" s="121"/>
      <c r="Y723" s="121"/>
      <c r="Z723" s="121"/>
      <c r="AA723" s="121"/>
      <c r="AB723" s="121"/>
    </row>
    <row r="724">
      <c r="A724" s="131"/>
      <c r="B724" s="131"/>
      <c r="C724" s="131"/>
      <c r="D724" s="131"/>
      <c r="E724" s="131"/>
      <c r="F724" s="131"/>
      <c r="G724" s="131"/>
      <c r="H724" s="121"/>
      <c r="I724" s="121"/>
      <c r="J724" s="121"/>
      <c r="K724" s="121"/>
      <c r="L724" s="121"/>
      <c r="M724" s="121"/>
      <c r="N724" s="121"/>
      <c r="O724" s="121"/>
      <c r="P724" s="121"/>
      <c r="Q724" s="121"/>
      <c r="R724" s="121"/>
      <c r="S724" s="121"/>
      <c r="T724" s="121"/>
      <c r="U724" s="121"/>
      <c r="V724" s="121"/>
      <c r="W724" s="121"/>
      <c r="X724" s="121"/>
      <c r="Y724" s="121"/>
      <c r="Z724" s="121"/>
      <c r="AA724" s="121"/>
      <c r="AB724" s="121"/>
    </row>
    <row r="725">
      <c r="A725" s="131"/>
      <c r="B725" s="131"/>
      <c r="C725" s="131"/>
      <c r="D725" s="131"/>
      <c r="E725" s="131"/>
      <c r="F725" s="131"/>
      <c r="G725" s="131"/>
      <c r="H725" s="121"/>
      <c r="I725" s="121"/>
      <c r="J725" s="121"/>
      <c r="K725" s="121"/>
      <c r="L725" s="121"/>
      <c r="M725" s="121"/>
      <c r="N725" s="121"/>
      <c r="O725" s="121"/>
      <c r="P725" s="121"/>
      <c r="Q725" s="121"/>
      <c r="R725" s="121"/>
      <c r="S725" s="121"/>
      <c r="T725" s="121"/>
      <c r="U725" s="121"/>
      <c r="V725" s="121"/>
      <c r="W725" s="121"/>
      <c r="X725" s="121"/>
      <c r="Y725" s="121"/>
      <c r="Z725" s="121"/>
      <c r="AA725" s="121"/>
      <c r="AB725" s="121"/>
    </row>
    <row r="726">
      <c r="A726" s="131"/>
      <c r="B726" s="131"/>
      <c r="C726" s="131"/>
      <c r="D726" s="131"/>
      <c r="E726" s="131"/>
      <c r="F726" s="131"/>
      <c r="G726" s="131"/>
      <c r="H726" s="121"/>
      <c r="I726" s="121"/>
      <c r="J726" s="121"/>
      <c r="K726" s="121"/>
      <c r="L726" s="121"/>
      <c r="M726" s="121"/>
      <c r="N726" s="121"/>
      <c r="O726" s="121"/>
      <c r="P726" s="121"/>
      <c r="Q726" s="121"/>
      <c r="R726" s="121"/>
      <c r="S726" s="121"/>
      <c r="T726" s="121"/>
      <c r="U726" s="121"/>
      <c r="V726" s="121"/>
      <c r="W726" s="121"/>
      <c r="X726" s="121"/>
      <c r="Y726" s="121"/>
      <c r="Z726" s="121"/>
      <c r="AA726" s="121"/>
      <c r="AB726" s="121"/>
    </row>
    <row r="727">
      <c r="A727" s="131"/>
      <c r="B727" s="131"/>
      <c r="C727" s="131"/>
      <c r="D727" s="131"/>
      <c r="E727" s="131"/>
      <c r="F727" s="131"/>
      <c r="G727" s="131"/>
      <c r="H727" s="121"/>
      <c r="I727" s="121"/>
      <c r="J727" s="121"/>
      <c r="K727" s="121"/>
      <c r="L727" s="121"/>
      <c r="M727" s="121"/>
      <c r="N727" s="121"/>
      <c r="O727" s="121"/>
      <c r="P727" s="121"/>
      <c r="Q727" s="121"/>
      <c r="R727" s="121"/>
      <c r="S727" s="121"/>
      <c r="T727" s="121"/>
      <c r="U727" s="121"/>
      <c r="V727" s="121"/>
      <c r="W727" s="121"/>
      <c r="X727" s="121"/>
      <c r="Y727" s="121"/>
      <c r="Z727" s="121"/>
      <c r="AA727" s="121"/>
      <c r="AB727" s="121"/>
    </row>
    <row r="728">
      <c r="A728" s="131"/>
      <c r="B728" s="131"/>
      <c r="C728" s="131"/>
      <c r="D728" s="131"/>
      <c r="E728" s="131"/>
      <c r="F728" s="131"/>
      <c r="G728" s="131"/>
      <c r="H728" s="121"/>
      <c r="I728" s="121"/>
      <c r="J728" s="121"/>
      <c r="K728" s="121"/>
      <c r="L728" s="121"/>
      <c r="M728" s="121"/>
      <c r="N728" s="121"/>
      <c r="O728" s="121"/>
      <c r="P728" s="121"/>
      <c r="Q728" s="121"/>
      <c r="R728" s="121"/>
      <c r="S728" s="121"/>
      <c r="T728" s="121"/>
      <c r="U728" s="121"/>
      <c r="V728" s="121"/>
      <c r="W728" s="121"/>
      <c r="X728" s="121"/>
      <c r="Y728" s="121"/>
      <c r="Z728" s="121"/>
      <c r="AA728" s="121"/>
      <c r="AB728" s="121"/>
    </row>
    <row r="729">
      <c r="A729" s="131"/>
      <c r="B729" s="131"/>
      <c r="C729" s="131"/>
      <c r="D729" s="131"/>
      <c r="E729" s="131"/>
      <c r="F729" s="131"/>
      <c r="G729" s="131"/>
      <c r="H729" s="121"/>
      <c r="I729" s="121"/>
      <c r="J729" s="121"/>
      <c r="K729" s="121"/>
      <c r="L729" s="121"/>
      <c r="M729" s="121"/>
      <c r="N729" s="121"/>
      <c r="O729" s="121"/>
      <c r="P729" s="121"/>
      <c r="Q729" s="121"/>
      <c r="R729" s="121"/>
      <c r="S729" s="121"/>
      <c r="T729" s="121"/>
      <c r="U729" s="121"/>
      <c r="V729" s="121"/>
      <c r="W729" s="121"/>
      <c r="X729" s="121"/>
      <c r="Y729" s="121"/>
      <c r="Z729" s="121"/>
      <c r="AA729" s="121"/>
      <c r="AB729" s="121"/>
    </row>
    <row r="730">
      <c r="A730" s="131"/>
      <c r="B730" s="131"/>
      <c r="C730" s="131"/>
      <c r="D730" s="131"/>
      <c r="E730" s="131"/>
      <c r="F730" s="131"/>
      <c r="G730" s="131"/>
      <c r="H730" s="121"/>
      <c r="I730" s="121"/>
      <c r="J730" s="121"/>
      <c r="K730" s="121"/>
      <c r="L730" s="121"/>
      <c r="M730" s="121"/>
      <c r="N730" s="121"/>
      <c r="O730" s="121"/>
      <c r="P730" s="121"/>
      <c r="Q730" s="121"/>
      <c r="R730" s="121"/>
      <c r="S730" s="121"/>
      <c r="T730" s="121"/>
      <c r="U730" s="121"/>
      <c r="V730" s="121"/>
      <c r="W730" s="121"/>
      <c r="X730" s="121"/>
      <c r="Y730" s="121"/>
      <c r="Z730" s="121"/>
      <c r="AA730" s="121"/>
      <c r="AB730" s="121"/>
    </row>
    <row r="731">
      <c r="A731" s="131"/>
      <c r="B731" s="131"/>
      <c r="C731" s="131"/>
      <c r="D731" s="131"/>
      <c r="E731" s="131"/>
      <c r="F731" s="131"/>
      <c r="G731" s="131"/>
      <c r="H731" s="121"/>
      <c r="I731" s="121"/>
      <c r="J731" s="121"/>
      <c r="K731" s="121"/>
      <c r="L731" s="121"/>
      <c r="M731" s="121"/>
      <c r="N731" s="121"/>
      <c r="O731" s="121"/>
      <c r="P731" s="121"/>
      <c r="Q731" s="121"/>
      <c r="R731" s="121"/>
      <c r="S731" s="121"/>
      <c r="T731" s="121"/>
      <c r="U731" s="121"/>
      <c r="V731" s="121"/>
      <c r="W731" s="121"/>
      <c r="X731" s="121"/>
      <c r="Y731" s="121"/>
      <c r="Z731" s="121"/>
      <c r="AA731" s="121"/>
      <c r="AB731" s="121"/>
    </row>
    <row r="732">
      <c r="A732" s="131"/>
      <c r="B732" s="131"/>
      <c r="C732" s="131"/>
      <c r="D732" s="131"/>
      <c r="E732" s="131"/>
      <c r="F732" s="131"/>
      <c r="G732" s="131"/>
      <c r="H732" s="121"/>
      <c r="I732" s="121"/>
      <c r="J732" s="121"/>
      <c r="K732" s="121"/>
      <c r="L732" s="121"/>
      <c r="M732" s="121"/>
      <c r="N732" s="121"/>
      <c r="O732" s="121"/>
      <c r="P732" s="121"/>
      <c r="Q732" s="121"/>
      <c r="R732" s="121"/>
      <c r="S732" s="121"/>
      <c r="T732" s="121"/>
      <c r="U732" s="121"/>
      <c r="V732" s="121"/>
      <c r="W732" s="121"/>
      <c r="X732" s="121"/>
      <c r="Y732" s="121"/>
      <c r="Z732" s="121"/>
      <c r="AA732" s="121"/>
      <c r="AB732" s="121"/>
    </row>
    <row r="733">
      <c r="A733" s="131"/>
      <c r="B733" s="131"/>
      <c r="C733" s="131"/>
      <c r="D733" s="131"/>
      <c r="E733" s="131"/>
      <c r="F733" s="131"/>
      <c r="G733" s="131"/>
      <c r="H733" s="121"/>
      <c r="I733" s="121"/>
      <c r="J733" s="121"/>
      <c r="K733" s="121"/>
      <c r="L733" s="121"/>
      <c r="M733" s="121"/>
      <c r="N733" s="121"/>
      <c r="O733" s="121"/>
      <c r="P733" s="121"/>
      <c r="Q733" s="121"/>
      <c r="R733" s="121"/>
      <c r="S733" s="121"/>
      <c r="T733" s="121"/>
      <c r="U733" s="121"/>
      <c r="V733" s="121"/>
      <c r="W733" s="121"/>
      <c r="X733" s="121"/>
      <c r="Y733" s="121"/>
      <c r="Z733" s="121"/>
      <c r="AA733" s="121"/>
      <c r="AB733" s="121"/>
    </row>
    <row r="734">
      <c r="A734" s="131"/>
      <c r="B734" s="131"/>
      <c r="C734" s="131"/>
      <c r="D734" s="131"/>
      <c r="E734" s="131"/>
      <c r="F734" s="131"/>
      <c r="G734" s="131"/>
      <c r="H734" s="121"/>
      <c r="I734" s="121"/>
      <c r="J734" s="121"/>
      <c r="K734" s="121"/>
      <c r="L734" s="121"/>
      <c r="M734" s="121"/>
      <c r="N734" s="121"/>
      <c r="O734" s="121"/>
      <c r="P734" s="121"/>
      <c r="Q734" s="121"/>
      <c r="R734" s="121"/>
      <c r="S734" s="121"/>
      <c r="T734" s="121"/>
      <c r="U734" s="121"/>
      <c r="V734" s="121"/>
      <c r="W734" s="121"/>
      <c r="X734" s="121"/>
      <c r="Y734" s="121"/>
      <c r="Z734" s="121"/>
      <c r="AA734" s="121"/>
      <c r="AB734" s="121"/>
    </row>
    <row r="735">
      <c r="A735" s="131"/>
      <c r="B735" s="131"/>
      <c r="C735" s="131"/>
      <c r="D735" s="131"/>
      <c r="E735" s="131"/>
      <c r="F735" s="131"/>
      <c r="G735" s="131"/>
      <c r="H735" s="121"/>
      <c r="I735" s="121"/>
      <c r="J735" s="121"/>
      <c r="K735" s="121"/>
      <c r="L735" s="121"/>
      <c r="M735" s="121"/>
      <c r="N735" s="121"/>
      <c r="O735" s="121"/>
      <c r="P735" s="121"/>
      <c r="Q735" s="121"/>
      <c r="R735" s="121"/>
      <c r="S735" s="121"/>
      <c r="T735" s="121"/>
      <c r="U735" s="121"/>
      <c r="V735" s="121"/>
      <c r="W735" s="121"/>
      <c r="X735" s="121"/>
      <c r="Y735" s="121"/>
      <c r="Z735" s="121"/>
      <c r="AA735" s="121"/>
      <c r="AB735" s="121"/>
    </row>
    <row r="736">
      <c r="A736" s="131"/>
      <c r="B736" s="131"/>
      <c r="C736" s="131"/>
      <c r="D736" s="131"/>
      <c r="E736" s="131"/>
      <c r="F736" s="131"/>
      <c r="G736" s="131"/>
      <c r="H736" s="121"/>
      <c r="I736" s="121"/>
      <c r="J736" s="121"/>
      <c r="K736" s="121"/>
      <c r="L736" s="121"/>
      <c r="M736" s="121"/>
      <c r="N736" s="121"/>
      <c r="O736" s="121"/>
      <c r="P736" s="121"/>
      <c r="Q736" s="121"/>
      <c r="R736" s="121"/>
      <c r="S736" s="121"/>
      <c r="T736" s="121"/>
      <c r="U736" s="121"/>
      <c r="V736" s="121"/>
      <c r="W736" s="121"/>
      <c r="X736" s="121"/>
      <c r="Y736" s="121"/>
      <c r="Z736" s="121"/>
      <c r="AA736" s="121"/>
      <c r="AB736" s="121"/>
    </row>
    <row r="737">
      <c r="A737" s="131"/>
      <c r="B737" s="131"/>
      <c r="C737" s="131"/>
      <c r="D737" s="131"/>
      <c r="E737" s="131"/>
      <c r="F737" s="131"/>
      <c r="G737" s="131"/>
      <c r="H737" s="121"/>
      <c r="I737" s="121"/>
      <c r="J737" s="121"/>
      <c r="K737" s="121"/>
      <c r="L737" s="121"/>
      <c r="M737" s="121"/>
      <c r="N737" s="121"/>
      <c r="O737" s="121"/>
      <c r="P737" s="121"/>
      <c r="Q737" s="121"/>
      <c r="R737" s="121"/>
      <c r="S737" s="121"/>
      <c r="T737" s="121"/>
      <c r="U737" s="121"/>
      <c r="V737" s="121"/>
      <c r="W737" s="121"/>
      <c r="X737" s="121"/>
      <c r="Y737" s="121"/>
      <c r="Z737" s="121"/>
      <c r="AA737" s="121"/>
      <c r="AB737" s="121"/>
    </row>
    <row r="738">
      <c r="A738" s="131"/>
      <c r="B738" s="131"/>
      <c r="C738" s="131"/>
      <c r="D738" s="131"/>
      <c r="E738" s="131"/>
      <c r="F738" s="131"/>
      <c r="G738" s="131"/>
      <c r="H738" s="121"/>
      <c r="I738" s="121"/>
      <c r="J738" s="121"/>
      <c r="K738" s="121"/>
      <c r="L738" s="121"/>
      <c r="M738" s="121"/>
      <c r="N738" s="121"/>
      <c r="O738" s="121"/>
      <c r="P738" s="121"/>
      <c r="Q738" s="121"/>
      <c r="R738" s="121"/>
      <c r="S738" s="121"/>
      <c r="T738" s="121"/>
      <c r="U738" s="121"/>
      <c r="V738" s="121"/>
      <c r="W738" s="121"/>
      <c r="X738" s="121"/>
      <c r="Y738" s="121"/>
      <c r="Z738" s="121"/>
      <c r="AA738" s="121"/>
      <c r="AB738" s="121"/>
    </row>
    <row r="739">
      <c r="A739" s="131"/>
      <c r="B739" s="131"/>
      <c r="C739" s="131"/>
      <c r="D739" s="131"/>
      <c r="E739" s="131"/>
      <c r="F739" s="131"/>
      <c r="G739" s="131"/>
      <c r="H739" s="121"/>
      <c r="I739" s="121"/>
      <c r="J739" s="121"/>
      <c r="K739" s="121"/>
      <c r="L739" s="121"/>
      <c r="M739" s="121"/>
      <c r="N739" s="121"/>
      <c r="O739" s="121"/>
      <c r="P739" s="121"/>
      <c r="Q739" s="121"/>
      <c r="R739" s="121"/>
      <c r="S739" s="121"/>
      <c r="T739" s="121"/>
      <c r="U739" s="121"/>
      <c r="V739" s="121"/>
      <c r="W739" s="121"/>
      <c r="X739" s="121"/>
      <c r="Y739" s="121"/>
      <c r="Z739" s="121"/>
      <c r="AA739" s="121"/>
      <c r="AB739" s="121"/>
    </row>
    <row r="740">
      <c r="A740" s="131"/>
      <c r="B740" s="131"/>
      <c r="C740" s="131"/>
      <c r="D740" s="131"/>
      <c r="E740" s="131"/>
      <c r="F740" s="131"/>
      <c r="G740" s="131"/>
      <c r="H740" s="121"/>
      <c r="I740" s="121"/>
      <c r="J740" s="121"/>
      <c r="K740" s="121"/>
      <c r="L740" s="121"/>
      <c r="M740" s="121"/>
      <c r="N740" s="121"/>
      <c r="O740" s="121"/>
      <c r="P740" s="121"/>
      <c r="Q740" s="121"/>
      <c r="R740" s="121"/>
      <c r="S740" s="121"/>
      <c r="T740" s="121"/>
      <c r="U740" s="121"/>
      <c r="V740" s="121"/>
      <c r="W740" s="121"/>
      <c r="X740" s="121"/>
      <c r="Y740" s="121"/>
      <c r="Z740" s="121"/>
      <c r="AA740" s="121"/>
      <c r="AB740" s="121"/>
    </row>
    <row r="741">
      <c r="A741" s="131"/>
      <c r="B741" s="131"/>
      <c r="C741" s="131"/>
      <c r="D741" s="131"/>
      <c r="E741" s="131"/>
      <c r="F741" s="131"/>
      <c r="G741" s="131"/>
      <c r="H741" s="121"/>
      <c r="I741" s="121"/>
      <c r="J741" s="121"/>
      <c r="K741" s="121"/>
      <c r="L741" s="121"/>
      <c r="M741" s="121"/>
      <c r="N741" s="121"/>
      <c r="O741" s="121"/>
      <c r="P741" s="121"/>
      <c r="Q741" s="121"/>
      <c r="R741" s="121"/>
      <c r="S741" s="121"/>
      <c r="T741" s="121"/>
      <c r="U741" s="121"/>
      <c r="V741" s="121"/>
      <c r="W741" s="121"/>
      <c r="X741" s="121"/>
      <c r="Y741" s="121"/>
      <c r="Z741" s="121"/>
      <c r="AA741" s="121"/>
      <c r="AB741" s="121"/>
    </row>
    <row r="742">
      <c r="A742" s="131"/>
      <c r="B742" s="131"/>
      <c r="C742" s="131"/>
      <c r="D742" s="131"/>
      <c r="E742" s="131"/>
      <c r="F742" s="131"/>
      <c r="G742" s="131"/>
      <c r="H742" s="121"/>
      <c r="I742" s="121"/>
      <c r="J742" s="121"/>
      <c r="K742" s="121"/>
      <c r="L742" s="121"/>
      <c r="M742" s="121"/>
      <c r="N742" s="121"/>
      <c r="O742" s="121"/>
      <c r="P742" s="121"/>
      <c r="Q742" s="121"/>
      <c r="R742" s="121"/>
      <c r="S742" s="121"/>
      <c r="T742" s="121"/>
      <c r="U742" s="121"/>
      <c r="V742" s="121"/>
      <c r="W742" s="121"/>
      <c r="X742" s="121"/>
      <c r="Y742" s="121"/>
      <c r="Z742" s="121"/>
      <c r="AA742" s="121"/>
      <c r="AB742" s="121"/>
    </row>
    <row r="743">
      <c r="A743" s="131"/>
      <c r="B743" s="131"/>
      <c r="C743" s="131"/>
      <c r="D743" s="131"/>
      <c r="E743" s="131"/>
      <c r="F743" s="131"/>
      <c r="G743" s="131"/>
      <c r="H743" s="121"/>
      <c r="I743" s="121"/>
      <c r="J743" s="121"/>
      <c r="K743" s="121"/>
      <c r="L743" s="121"/>
      <c r="M743" s="121"/>
      <c r="N743" s="121"/>
      <c r="O743" s="121"/>
      <c r="P743" s="121"/>
      <c r="Q743" s="121"/>
      <c r="R743" s="121"/>
      <c r="S743" s="121"/>
      <c r="T743" s="121"/>
      <c r="U743" s="121"/>
      <c r="V743" s="121"/>
      <c r="W743" s="121"/>
      <c r="X743" s="121"/>
      <c r="Y743" s="121"/>
      <c r="Z743" s="121"/>
      <c r="AA743" s="121"/>
      <c r="AB743" s="121"/>
    </row>
    <row r="744">
      <c r="A744" s="131"/>
      <c r="B744" s="131"/>
      <c r="C744" s="131"/>
      <c r="D744" s="131"/>
      <c r="E744" s="131"/>
      <c r="F744" s="131"/>
      <c r="G744" s="131"/>
      <c r="H744" s="121"/>
      <c r="I744" s="121"/>
      <c r="J744" s="121"/>
      <c r="K744" s="121"/>
      <c r="L744" s="121"/>
      <c r="M744" s="121"/>
      <c r="N744" s="121"/>
      <c r="O744" s="121"/>
      <c r="P744" s="121"/>
      <c r="Q744" s="121"/>
      <c r="R744" s="121"/>
      <c r="S744" s="121"/>
      <c r="T744" s="121"/>
      <c r="U744" s="121"/>
      <c r="V744" s="121"/>
      <c r="W744" s="121"/>
      <c r="X744" s="121"/>
      <c r="Y744" s="121"/>
      <c r="Z744" s="121"/>
      <c r="AA744" s="121"/>
      <c r="AB744" s="121"/>
    </row>
    <row r="745">
      <c r="A745" s="131"/>
      <c r="B745" s="131"/>
      <c r="C745" s="131"/>
      <c r="D745" s="131"/>
      <c r="E745" s="131"/>
      <c r="F745" s="131"/>
      <c r="G745" s="131"/>
      <c r="H745" s="121"/>
      <c r="I745" s="121"/>
      <c r="J745" s="121"/>
      <c r="K745" s="121"/>
      <c r="L745" s="121"/>
      <c r="M745" s="121"/>
      <c r="N745" s="121"/>
      <c r="O745" s="121"/>
      <c r="P745" s="121"/>
      <c r="Q745" s="121"/>
      <c r="R745" s="121"/>
      <c r="S745" s="121"/>
      <c r="T745" s="121"/>
      <c r="U745" s="121"/>
      <c r="V745" s="121"/>
      <c r="W745" s="121"/>
      <c r="X745" s="121"/>
      <c r="Y745" s="121"/>
      <c r="Z745" s="121"/>
      <c r="AA745" s="121"/>
      <c r="AB745" s="121"/>
    </row>
    <row r="746">
      <c r="A746" s="131"/>
      <c r="B746" s="131"/>
      <c r="C746" s="131"/>
      <c r="D746" s="131"/>
      <c r="E746" s="131"/>
      <c r="F746" s="131"/>
      <c r="G746" s="131"/>
      <c r="H746" s="121"/>
      <c r="I746" s="121"/>
      <c r="J746" s="121"/>
      <c r="K746" s="121"/>
      <c r="L746" s="121"/>
      <c r="M746" s="121"/>
      <c r="N746" s="121"/>
      <c r="O746" s="121"/>
      <c r="P746" s="121"/>
      <c r="Q746" s="121"/>
      <c r="R746" s="121"/>
      <c r="S746" s="121"/>
      <c r="T746" s="121"/>
      <c r="U746" s="121"/>
      <c r="V746" s="121"/>
      <c r="W746" s="121"/>
      <c r="X746" s="121"/>
      <c r="Y746" s="121"/>
      <c r="Z746" s="121"/>
      <c r="AA746" s="121"/>
      <c r="AB746" s="121"/>
    </row>
    <row r="747">
      <c r="A747" s="131"/>
      <c r="B747" s="131"/>
      <c r="C747" s="131"/>
      <c r="D747" s="131"/>
      <c r="E747" s="131"/>
      <c r="F747" s="131"/>
      <c r="G747" s="131"/>
      <c r="H747" s="121"/>
      <c r="I747" s="121"/>
      <c r="J747" s="121"/>
      <c r="K747" s="121"/>
      <c r="L747" s="121"/>
      <c r="M747" s="121"/>
      <c r="N747" s="121"/>
      <c r="O747" s="121"/>
      <c r="P747" s="121"/>
      <c r="Q747" s="121"/>
      <c r="R747" s="121"/>
      <c r="S747" s="121"/>
      <c r="T747" s="121"/>
      <c r="U747" s="121"/>
      <c r="V747" s="121"/>
      <c r="W747" s="121"/>
      <c r="X747" s="121"/>
      <c r="Y747" s="121"/>
      <c r="Z747" s="121"/>
      <c r="AA747" s="121"/>
      <c r="AB747" s="121"/>
    </row>
    <row r="748">
      <c r="A748" s="131"/>
      <c r="B748" s="131"/>
      <c r="C748" s="131"/>
      <c r="D748" s="131"/>
      <c r="E748" s="131"/>
      <c r="F748" s="131"/>
      <c r="G748" s="131"/>
      <c r="H748" s="121"/>
      <c r="I748" s="121"/>
      <c r="J748" s="121"/>
      <c r="K748" s="121"/>
      <c r="L748" s="121"/>
      <c r="M748" s="121"/>
      <c r="N748" s="121"/>
      <c r="O748" s="121"/>
      <c r="P748" s="121"/>
      <c r="Q748" s="121"/>
      <c r="R748" s="121"/>
      <c r="S748" s="121"/>
      <c r="T748" s="121"/>
      <c r="U748" s="121"/>
      <c r="V748" s="121"/>
      <c r="W748" s="121"/>
      <c r="X748" s="121"/>
      <c r="Y748" s="121"/>
      <c r="Z748" s="121"/>
      <c r="AA748" s="121"/>
      <c r="AB748" s="121"/>
    </row>
    <row r="749">
      <c r="A749" s="131"/>
      <c r="B749" s="131"/>
      <c r="C749" s="131"/>
      <c r="D749" s="131"/>
      <c r="E749" s="131"/>
      <c r="F749" s="131"/>
      <c r="G749" s="131"/>
      <c r="H749" s="121"/>
      <c r="I749" s="121"/>
      <c r="J749" s="121"/>
      <c r="K749" s="121"/>
      <c r="L749" s="121"/>
      <c r="M749" s="121"/>
      <c r="N749" s="121"/>
      <c r="O749" s="121"/>
      <c r="P749" s="121"/>
      <c r="Q749" s="121"/>
      <c r="R749" s="121"/>
      <c r="S749" s="121"/>
      <c r="T749" s="121"/>
      <c r="U749" s="121"/>
      <c r="V749" s="121"/>
      <c r="W749" s="121"/>
      <c r="X749" s="121"/>
      <c r="Y749" s="121"/>
      <c r="Z749" s="121"/>
      <c r="AA749" s="121"/>
      <c r="AB749" s="121"/>
    </row>
    <row r="750">
      <c r="A750" s="131"/>
      <c r="B750" s="131"/>
      <c r="C750" s="131"/>
      <c r="D750" s="131"/>
      <c r="E750" s="131"/>
      <c r="F750" s="131"/>
      <c r="G750" s="131"/>
      <c r="H750" s="121"/>
      <c r="I750" s="121"/>
      <c r="J750" s="121"/>
      <c r="K750" s="121"/>
      <c r="L750" s="121"/>
      <c r="M750" s="121"/>
      <c r="N750" s="121"/>
      <c r="O750" s="121"/>
      <c r="P750" s="121"/>
      <c r="Q750" s="121"/>
      <c r="R750" s="121"/>
      <c r="S750" s="121"/>
      <c r="T750" s="121"/>
      <c r="U750" s="121"/>
      <c r="V750" s="121"/>
      <c r="W750" s="121"/>
      <c r="X750" s="121"/>
      <c r="Y750" s="121"/>
      <c r="Z750" s="121"/>
      <c r="AA750" s="121"/>
      <c r="AB750" s="121"/>
    </row>
    <row r="751">
      <c r="A751" s="131"/>
      <c r="B751" s="131"/>
      <c r="C751" s="131"/>
      <c r="D751" s="131"/>
      <c r="E751" s="131"/>
      <c r="F751" s="131"/>
      <c r="G751" s="131"/>
      <c r="H751" s="121"/>
      <c r="I751" s="121"/>
      <c r="J751" s="121"/>
      <c r="K751" s="121"/>
      <c r="L751" s="121"/>
      <c r="M751" s="121"/>
      <c r="N751" s="121"/>
      <c r="O751" s="121"/>
      <c r="P751" s="121"/>
      <c r="Q751" s="121"/>
      <c r="R751" s="121"/>
      <c r="S751" s="121"/>
      <c r="T751" s="121"/>
      <c r="U751" s="121"/>
      <c r="V751" s="121"/>
      <c r="W751" s="121"/>
      <c r="X751" s="121"/>
      <c r="Y751" s="121"/>
      <c r="Z751" s="121"/>
      <c r="AA751" s="121"/>
      <c r="AB751" s="121"/>
    </row>
    <row r="752">
      <c r="A752" s="131"/>
      <c r="B752" s="131"/>
      <c r="C752" s="131"/>
      <c r="D752" s="131"/>
      <c r="E752" s="131"/>
      <c r="F752" s="131"/>
      <c r="G752" s="131"/>
      <c r="H752" s="121"/>
      <c r="I752" s="121"/>
      <c r="J752" s="121"/>
      <c r="K752" s="121"/>
      <c r="L752" s="121"/>
      <c r="M752" s="121"/>
      <c r="N752" s="121"/>
      <c r="O752" s="121"/>
      <c r="P752" s="121"/>
      <c r="Q752" s="121"/>
      <c r="R752" s="121"/>
      <c r="S752" s="121"/>
      <c r="T752" s="121"/>
      <c r="U752" s="121"/>
      <c r="V752" s="121"/>
      <c r="W752" s="121"/>
      <c r="X752" s="121"/>
      <c r="Y752" s="121"/>
      <c r="Z752" s="121"/>
      <c r="AA752" s="121"/>
      <c r="AB752" s="121"/>
    </row>
    <row r="753">
      <c r="A753" s="131"/>
      <c r="B753" s="131"/>
      <c r="C753" s="131"/>
      <c r="D753" s="131"/>
      <c r="E753" s="131"/>
      <c r="F753" s="131"/>
      <c r="G753" s="131"/>
      <c r="H753" s="121"/>
      <c r="I753" s="121"/>
      <c r="J753" s="121"/>
      <c r="K753" s="121"/>
      <c r="L753" s="121"/>
      <c r="M753" s="121"/>
      <c r="N753" s="121"/>
      <c r="O753" s="121"/>
      <c r="P753" s="121"/>
      <c r="Q753" s="121"/>
      <c r="R753" s="121"/>
      <c r="S753" s="121"/>
      <c r="T753" s="121"/>
      <c r="U753" s="121"/>
      <c r="V753" s="121"/>
      <c r="W753" s="121"/>
      <c r="X753" s="121"/>
      <c r="Y753" s="121"/>
      <c r="Z753" s="121"/>
      <c r="AA753" s="121"/>
      <c r="AB753" s="121"/>
    </row>
    <row r="754">
      <c r="A754" s="131"/>
      <c r="B754" s="131"/>
      <c r="C754" s="131"/>
      <c r="D754" s="131"/>
      <c r="E754" s="131"/>
      <c r="F754" s="131"/>
      <c r="G754" s="131"/>
      <c r="H754" s="121"/>
      <c r="I754" s="121"/>
      <c r="J754" s="121"/>
      <c r="K754" s="121"/>
      <c r="L754" s="121"/>
      <c r="M754" s="121"/>
      <c r="N754" s="121"/>
      <c r="O754" s="121"/>
      <c r="P754" s="121"/>
      <c r="Q754" s="121"/>
      <c r="R754" s="121"/>
      <c r="S754" s="121"/>
      <c r="T754" s="121"/>
      <c r="U754" s="121"/>
      <c r="V754" s="121"/>
      <c r="W754" s="121"/>
      <c r="X754" s="121"/>
      <c r="Y754" s="121"/>
      <c r="Z754" s="121"/>
      <c r="AA754" s="121"/>
      <c r="AB754" s="121"/>
    </row>
    <row r="755">
      <c r="A755" s="131"/>
      <c r="B755" s="131"/>
      <c r="C755" s="131"/>
      <c r="D755" s="131"/>
      <c r="E755" s="131"/>
      <c r="F755" s="131"/>
      <c r="G755" s="131"/>
      <c r="H755" s="121"/>
      <c r="I755" s="121"/>
      <c r="J755" s="121"/>
      <c r="K755" s="121"/>
      <c r="L755" s="121"/>
      <c r="M755" s="121"/>
      <c r="N755" s="121"/>
      <c r="O755" s="121"/>
      <c r="P755" s="121"/>
      <c r="Q755" s="121"/>
      <c r="R755" s="121"/>
      <c r="S755" s="121"/>
      <c r="T755" s="121"/>
      <c r="U755" s="121"/>
      <c r="V755" s="121"/>
      <c r="W755" s="121"/>
      <c r="X755" s="121"/>
      <c r="Y755" s="121"/>
      <c r="Z755" s="121"/>
      <c r="AA755" s="121"/>
      <c r="AB755" s="121"/>
    </row>
    <row r="756">
      <c r="A756" s="131"/>
      <c r="B756" s="131"/>
      <c r="C756" s="131"/>
      <c r="D756" s="131"/>
      <c r="E756" s="131"/>
      <c r="F756" s="131"/>
      <c r="G756" s="131"/>
      <c r="H756" s="121"/>
      <c r="I756" s="121"/>
      <c r="J756" s="121"/>
      <c r="K756" s="121"/>
      <c r="L756" s="121"/>
      <c r="M756" s="121"/>
      <c r="N756" s="121"/>
      <c r="O756" s="121"/>
      <c r="P756" s="121"/>
      <c r="Q756" s="121"/>
      <c r="R756" s="121"/>
      <c r="S756" s="121"/>
      <c r="T756" s="121"/>
      <c r="U756" s="121"/>
      <c r="V756" s="121"/>
      <c r="W756" s="121"/>
      <c r="X756" s="121"/>
      <c r="Y756" s="121"/>
      <c r="Z756" s="121"/>
      <c r="AA756" s="121"/>
      <c r="AB756" s="121"/>
    </row>
    <row r="757">
      <c r="A757" s="131"/>
      <c r="B757" s="131"/>
      <c r="C757" s="131"/>
      <c r="D757" s="131"/>
      <c r="E757" s="131"/>
      <c r="F757" s="131"/>
      <c r="G757" s="131"/>
      <c r="H757" s="121"/>
      <c r="I757" s="121"/>
      <c r="J757" s="121"/>
      <c r="K757" s="121"/>
      <c r="L757" s="121"/>
      <c r="M757" s="121"/>
      <c r="N757" s="121"/>
      <c r="O757" s="121"/>
      <c r="P757" s="121"/>
      <c r="Q757" s="121"/>
      <c r="R757" s="121"/>
      <c r="S757" s="121"/>
      <c r="T757" s="121"/>
      <c r="U757" s="121"/>
      <c r="V757" s="121"/>
      <c r="W757" s="121"/>
      <c r="X757" s="121"/>
      <c r="Y757" s="121"/>
      <c r="Z757" s="121"/>
      <c r="AA757" s="121"/>
      <c r="AB757" s="121"/>
    </row>
    <row r="758">
      <c r="A758" s="131"/>
      <c r="B758" s="131"/>
      <c r="C758" s="131"/>
      <c r="D758" s="131"/>
      <c r="E758" s="131"/>
      <c r="F758" s="131"/>
      <c r="G758" s="131"/>
      <c r="H758" s="121"/>
      <c r="I758" s="121"/>
      <c r="J758" s="121"/>
      <c r="K758" s="121"/>
      <c r="L758" s="121"/>
      <c r="M758" s="121"/>
      <c r="N758" s="121"/>
      <c r="O758" s="121"/>
      <c r="P758" s="121"/>
      <c r="Q758" s="121"/>
      <c r="R758" s="121"/>
      <c r="S758" s="121"/>
      <c r="T758" s="121"/>
      <c r="U758" s="121"/>
      <c r="V758" s="121"/>
      <c r="W758" s="121"/>
      <c r="X758" s="121"/>
      <c r="Y758" s="121"/>
      <c r="Z758" s="121"/>
      <c r="AA758" s="121"/>
      <c r="AB758" s="121"/>
    </row>
    <row r="759">
      <c r="A759" s="131"/>
      <c r="B759" s="131"/>
      <c r="C759" s="131"/>
      <c r="D759" s="131"/>
      <c r="E759" s="131"/>
      <c r="F759" s="131"/>
      <c r="G759" s="131"/>
      <c r="H759" s="121"/>
      <c r="I759" s="121"/>
      <c r="J759" s="121"/>
      <c r="K759" s="121"/>
      <c r="L759" s="121"/>
      <c r="M759" s="121"/>
      <c r="N759" s="121"/>
      <c r="O759" s="121"/>
      <c r="P759" s="121"/>
      <c r="Q759" s="121"/>
      <c r="R759" s="121"/>
      <c r="S759" s="121"/>
      <c r="T759" s="121"/>
      <c r="U759" s="121"/>
      <c r="V759" s="121"/>
      <c r="W759" s="121"/>
      <c r="X759" s="121"/>
      <c r="Y759" s="121"/>
      <c r="Z759" s="121"/>
      <c r="AA759" s="121"/>
      <c r="AB759" s="121"/>
    </row>
    <row r="760">
      <c r="A760" s="131"/>
      <c r="B760" s="131"/>
      <c r="C760" s="131"/>
      <c r="D760" s="131"/>
      <c r="E760" s="131"/>
      <c r="F760" s="131"/>
      <c r="G760" s="131"/>
      <c r="H760" s="121"/>
      <c r="I760" s="121"/>
      <c r="J760" s="121"/>
      <c r="K760" s="121"/>
      <c r="L760" s="121"/>
      <c r="M760" s="121"/>
      <c r="N760" s="121"/>
      <c r="O760" s="121"/>
      <c r="P760" s="121"/>
      <c r="Q760" s="121"/>
      <c r="R760" s="121"/>
      <c r="S760" s="121"/>
      <c r="T760" s="121"/>
      <c r="U760" s="121"/>
      <c r="V760" s="121"/>
      <c r="W760" s="121"/>
      <c r="X760" s="121"/>
      <c r="Y760" s="121"/>
      <c r="Z760" s="121"/>
      <c r="AA760" s="121"/>
      <c r="AB760" s="121"/>
    </row>
    <row r="761">
      <c r="A761" s="131"/>
      <c r="B761" s="131"/>
      <c r="C761" s="131"/>
      <c r="D761" s="131"/>
      <c r="E761" s="131"/>
      <c r="F761" s="131"/>
      <c r="G761" s="131"/>
      <c r="H761" s="121"/>
      <c r="I761" s="121"/>
      <c r="J761" s="121"/>
      <c r="K761" s="121"/>
      <c r="L761" s="121"/>
      <c r="M761" s="121"/>
      <c r="N761" s="121"/>
      <c r="O761" s="121"/>
      <c r="P761" s="121"/>
      <c r="Q761" s="121"/>
      <c r="R761" s="121"/>
      <c r="S761" s="121"/>
      <c r="T761" s="121"/>
      <c r="U761" s="121"/>
      <c r="V761" s="121"/>
      <c r="W761" s="121"/>
      <c r="X761" s="121"/>
      <c r="Y761" s="121"/>
      <c r="Z761" s="121"/>
      <c r="AA761" s="121"/>
      <c r="AB761" s="121"/>
    </row>
    <row r="762">
      <c r="A762" s="131"/>
      <c r="B762" s="131"/>
      <c r="C762" s="131"/>
      <c r="D762" s="131"/>
      <c r="E762" s="131"/>
      <c r="F762" s="131"/>
      <c r="G762" s="131"/>
      <c r="H762" s="121"/>
      <c r="I762" s="121"/>
      <c r="J762" s="121"/>
      <c r="K762" s="121"/>
      <c r="L762" s="121"/>
      <c r="M762" s="121"/>
      <c r="N762" s="121"/>
      <c r="O762" s="121"/>
      <c r="P762" s="121"/>
      <c r="Q762" s="121"/>
      <c r="R762" s="121"/>
      <c r="S762" s="121"/>
      <c r="T762" s="121"/>
      <c r="U762" s="121"/>
      <c r="V762" s="121"/>
      <c r="W762" s="121"/>
      <c r="X762" s="121"/>
      <c r="Y762" s="121"/>
      <c r="Z762" s="121"/>
      <c r="AA762" s="121"/>
      <c r="AB762" s="121"/>
    </row>
    <row r="763">
      <c r="A763" s="131"/>
      <c r="B763" s="131"/>
      <c r="C763" s="131"/>
      <c r="D763" s="131"/>
      <c r="E763" s="131"/>
      <c r="F763" s="131"/>
      <c r="G763" s="131"/>
      <c r="H763" s="121"/>
      <c r="I763" s="121"/>
      <c r="J763" s="121"/>
      <c r="K763" s="121"/>
      <c r="L763" s="121"/>
      <c r="M763" s="121"/>
      <c r="N763" s="121"/>
      <c r="O763" s="121"/>
      <c r="P763" s="121"/>
      <c r="Q763" s="121"/>
      <c r="R763" s="121"/>
      <c r="S763" s="121"/>
      <c r="T763" s="121"/>
      <c r="U763" s="121"/>
      <c r="V763" s="121"/>
      <c r="W763" s="121"/>
      <c r="X763" s="121"/>
      <c r="Y763" s="121"/>
      <c r="Z763" s="121"/>
      <c r="AA763" s="121"/>
      <c r="AB763" s="121"/>
    </row>
    <row r="764">
      <c r="A764" s="131"/>
      <c r="B764" s="131"/>
      <c r="C764" s="131"/>
      <c r="D764" s="131"/>
      <c r="E764" s="131"/>
      <c r="F764" s="131"/>
      <c r="G764" s="131"/>
      <c r="H764" s="121"/>
      <c r="I764" s="121"/>
      <c r="J764" s="121"/>
      <c r="K764" s="121"/>
      <c r="L764" s="121"/>
      <c r="M764" s="121"/>
      <c r="N764" s="121"/>
      <c r="O764" s="121"/>
      <c r="P764" s="121"/>
      <c r="Q764" s="121"/>
      <c r="R764" s="121"/>
      <c r="S764" s="121"/>
      <c r="T764" s="121"/>
      <c r="U764" s="121"/>
      <c r="V764" s="121"/>
      <c r="W764" s="121"/>
      <c r="X764" s="121"/>
      <c r="Y764" s="121"/>
      <c r="Z764" s="121"/>
      <c r="AA764" s="121"/>
      <c r="AB764" s="121"/>
    </row>
    <row r="765">
      <c r="A765" s="131"/>
      <c r="B765" s="131"/>
      <c r="C765" s="131"/>
      <c r="D765" s="131"/>
      <c r="E765" s="131"/>
      <c r="F765" s="131"/>
      <c r="G765" s="131"/>
      <c r="H765" s="121"/>
      <c r="I765" s="121"/>
      <c r="J765" s="121"/>
      <c r="K765" s="121"/>
      <c r="L765" s="121"/>
      <c r="M765" s="121"/>
      <c r="N765" s="121"/>
      <c r="O765" s="121"/>
      <c r="P765" s="121"/>
      <c r="Q765" s="121"/>
      <c r="R765" s="121"/>
      <c r="S765" s="121"/>
      <c r="T765" s="121"/>
      <c r="U765" s="121"/>
      <c r="V765" s="121"/>
      <c r="W765" s="121"/>
      <c r="X765" s="121"/>
      <c r="Y765" s="121"/>
      <c r="Z765" s="121"/>
      <c r="AA765" s="121"/>
      <c r="AB765" s="121"/>
    </row>
    <row r="766">
      <c r="A766" s="131"/>
      <c r="B766" s="131"/>
      <c r="C766" s="131"/>
      <c r="D766" s="131"/>
      <c r="E766" s="131"/>
      <c r="F766" s="131"/>
      <c r="G766" s="131"/>
      <c r="H766" s="121"/>
      <c r="I766" s="121"/>
      <c r="J766" s="121"/>
      <c r="K766" s="121"/>
      <c r="L766" s="121"/>
      <c r="M766" s="121"/>
      <c r="N766" s="121"/>
      <c r="O766" s="121"/>
      <c r="P766" s="121"/>
      <c r="Q766" s="121"/>
      <c r="R766" s="121"/>
      <c r="S766" s="121"/>
      <c r="T766" s="121"/>
      <c r="U766" s="121"/>
      <c r="V766" s="121"/>
      <c r="W766" s="121"/>
      <c r="X766" s="121"/>
      <c r="Y766" s="121"/>
      <c r="Z766" s="121"/>
      <c r="AA766" s="121"/>
      <c r="AB766" s="121"/>
    </row>
    <row r="767">
      <c r="A767" s="131"/>
      <c r="B767" s="131"/>
      <c r="C767" s="131"/>
      <c r="D767" s="131"/>
      <c r="E767" s="131"/>
      <c r="F767" s="131"/>
      <c r="G767" s="131"/>
      <c r="H767" s="121"/>
      <c r="I767" s="121"/>
      <c r="J767" s="121"/>
      <c r="K767" s="121"/>
      <c r="L767" s="121"/>
      <c r="M767" s="121"/>
      <c r="N767" s="121"/>
      <c r="O767" s="121"/>
      <c r="P767" s="121"/>
      <c r="Q767" s="121"/>
      <c r="R767" s="121"/>
      <c r="S767" s="121"/>
      <c r="T767" s="121"/>
      <c r="U767" s="121"/>
      <c r="V767" s="121"/>
      <c r="W767" s="121"/>
      <c r="X767" s="121"/>
      <c r="Y767" s="121"/>
      <c r="Z767" s="121"/>
      <c r="AA767" s="121"/>
      <c r="AB767" s="121"/>
    </row>
    <row r="768">
      <c r="A768" s="131"/>
      <c r="B768" s="131"/>
      <c r="C768" s="131"/>
      <c r="D768" s="131"/>
      <c r="E768" s="131"/>
      <c r="F768" s="131"/>
      <c r="G768" s="131"/>
      <c r="H768" s="121"/>
      <c r="I768" s="121"/>
      <c r="J768" s="121"/>
      <c r="K768" s="121"/>
      <c r="L768" s="121"/>
      <c r="M768" s="121"/>
      <c r="N768" s="121"/>
      <c r="O768" s="121"/>
      <c r="P768" s="121"/>
      <c r="Q768" s="121"/>
      <c r="R768" s="121"/>
      <c r="S768" s="121"/>
      <c r="T768" s="121"/>
      <c r="U768" s="121"/>
      <c r="V768" s="121"/>
      <c r="W768" s="121"/>
      <c r="X768" s="121"/>
      <c r="Y768" s="121"/>
      <c r="Z768" s="121"/>
      <c r="AA768" s="121"/>
      <c r="AB768" s="121"/>
    </row>
    <row r="769">
      <c r="A769" s="131"/>
      <c r="B769" s="131"/>
      <c r="C769" s="131"/>
      <c r="D769" s="131"/>
      <c r="E769" s="131"/>
      <c r="F769" s="131"/>
      <c r="G769" s="131"/>
      <c r="H769" s="121"/>
      <c r="I769" s="121"/>
      <c r="J769" s="121"/>
      <c r="K769" s="121"/>
      <c r="L769" s="121"/>
      <c r="M769" s="121"/>
      <c r="N769" s="121"/>
      <c r="O769" s="121"/>
      <c r="P769" s="121"/>
      <c r="Q769" s="121"/>
      <c r="R769" s="121"/>
      <c r="S769" s="121"/>
      <c r="T769" s="121"/>
      <c r="U769" s="121"/>
      <c r="V769" s="121"/>
      <c r="W769" s="121"/>
      <c r="X769" s="121"/>
      <c r="Y769" s="121"/>
      <c r="Z769" s="121"/>
      <c r="AA769" s="121"/>
      <c r="AB769" s="121"/>
    </row>
    <row r="770">
      <c r="A770" s="131"/>
      <c r="B770" s="131"/>
      <c r="C770" s="131"/>
      <c r="D770" s="131"/>
      <c r="E770" s="131"/>
      <c r="F770" s="131"/>
      <c r="G770" s="131"/>
      <c r="H770" s="121"/>
      <c r="I770" s="121"/>
      <c r="J770" s="121"/>
      <c r="K770" s="121"/>
      <c r="L770" s="121"/>
      <c r="M770" s="121"/>
      <c r="N770" s="121"/>
      <c r="O770" s="121"/>
      <c r="P770" s="121"/>
      <c r="Q770" s="121"/>
      <c r="R770" s="121"/>
      <c r="S770" s="121"/>
      <c r="T770" s="121"/>
      <c r="U770" s="121"/>
      <c r="V770" s="121"/>
      <c r="W770" s="121"/>
      <c r="X770" s="121"/>
      <c r="Y770" s="121"/>
      <c r="Z770" s="121"/>
      <c r="AA770" s="121"/>
      <c r="AB770" s="121"/>
    </row>
    <row r="771">
      <c r="A771" s="131"/>
      <c r="B771" s="131"/>
      <c r="C771" s="131"/>
      <c r="D771" s="131"/>
      <c r="E771" s="131"/>
      <c r="F771" s="131"/>
      <c r="G771" s="131"/>
      <c r="H771" s="121"/>
      <c r="I771" s="121"/>
      <c r="J771" s="121"/>
      <c r="K771" s="121"/>
      <c r="L771" s="121"/>
      <c r="M771" s="121"/>
      <c r="N771" s="121"/>
      <c r="O771" s="121"/>
      <c r="P771" s="121"/>
      <c r="Q771" s="121"/>
      <c r="R771" s="121"/>
      <c r="S771" s="121"/>
      <c r="T771" s="121"/>
      <c r="U771" s="121"/>
      <c r="V771" s="121"/>
      <c r="W771" s="121"/>
      <c r="X771" s="121"/>
      <c r="Y771" s="121"/>
      <c r="Z771" s="121"/>
      <c r="AA771" s="121"/>
      <c r="AB771" s="121"/>
    </row>
    <row r="772">
      <c r="A772" s="131"/>
      <c r="B772" s="131"/>
      <c r="C772" s="131"/>
      <c r="D772" s="131"/>
      <c r="E772" s="131"/>
      <c r="F772" s="131"/>
      <c r="G772" s="131"/>
      <c r="H772" s="121"/>
      <c r="I772" s="121"/>
      <c r="J772" s="121"/>
      <c r="K772" s="121"/>
      <c r="L772" s="121"/>
      <c r="M772" s="121"/>
      <c r="N772" s="121"/>
      <c r="O772" s="121"/>
      <c r="P772" s="121"/>
      <c r="Q772" s="121"/>
      <c r="R772" s="121"/>
      <c r="S772" s="121"/>
      <c r="T772" s="121"/>
      <c r="U772" s="121"/>
      <c r="V772" s="121"/>
      <c r="W772" s="121"/>
      <c r="X772" s="121"/>
      <c r="Y772" s="121"/>
      <c r="Z772" s="121"/>
      <c r="AA772" s="121"/>
      <c r="AB772" s="121"/>
    </row>
    <row r="773">
      <c r="A773" s="131"/>
      <c r="B773" s="131"/>
      <c r="C773" s="131"/>
      <c r="D773" s="131"/>
      <c r="E773" s="131"/>
      <c r="F773" s="131"/>
      <c r="G773" s="131"/>
      <c r="H773" s="121"/>
      <c r="I773" s="121"/>
      <c r="J773" s="121"/>
      <c r="K773" s="121"/>
      <c r="L773" s="121"/>
      <c r="M773" s="121"/>
      <c r="N773" s="121"/>
      <c r="O773" s="121"/>
      <c r="P773" s="121"/>
      <c r="Q773" s="121"/>
      <c r="R773" s="121"/>
      <c r="S773" s="121"/>
      <c r="T773" s="121"/>
      <c r="U773" s="121"/>
      <c r="V773" s="121"/>
      <c r="W773" s="121"/>
      <c r="X773" s="121"/>
      <c r="Y773" s="121"/>
      <c r="Z773" s="121"/>
      <c r="AA773" s="121"/>
      <c r="AB773" s="121"/>
    </row>
    <row r="774">
      <c r="A774" s="131"/>
      <c r="B774" s="131"/>
      <c r="C774" s="131"/>
      <c r="D774" s="131"/>
      <c r="E774" s="131"/>
      <c r="F774" s="131"/>
      <c r="G774" s="131"/>
      <c r="H774" s="121"/>
      <c r="I774" s="121"/>
      <c r="J774" s="121"/>
      <c r="K774" s="121"/>
      <c r="L774" s="121"/>
      <c r="M774" s="121"/>
      <c r="N774" s="121"/>
      <c r="O774" s="121"/>
      <c r="P774" s="121"/>
      <c r="Q774" s="121"/>
      <c r="R774" s="121"/>
      <c r="S774" s="121"/>
      <c r="T774" s="121"/>
      <c r="U774" s="121"/>
      <c r="V774" s="121"/>
      <c r="W774" s="121"/>
      <c r="X774" s="121"/>
      <c r="Y774" s="121"/>
      <c r="Z774" s="121"/>
      <c r="AA774" s="121"/>
      <c r="AB774" s="121"/>
    </row>
    <row r="775">
      <c r="A775" s="131"/>
      <c r="B775" s="131"/>
      <c r="C775" s="131"/>
      <c r="D775" s="131"/>
      <c r="E775" s="131"/>
      <c r="F775" s="131"/>
      <c r="G775" s="131"/>
      <c r="H775" s="121"/>
      <c r="I775" s="121"/>
      <c r="J775" s="121"/>
      <c r="K775" s="121"/>
      <c r="L775" s="121"/>
      <c r="M775" s="121"/>
      <c r="N775" s="121"/>
      <c r="O775" s="121"/>
      <c r="P775" s="121"/>
      <c r="Q775" s="121"/>
      <c r="R775" s="121"/>
      <c r="S775" s="121"/>
      <c r="T775" s="121"/>
      <c r="U775" s="121"/>
      <c r="V775" s="121"/>
      <c r="W775" s="121"/>
      <c r="X775" s="121"/>
      <c r="Y775" s="121"/>
      <c r="Z775" s="121"/>
      <c r="AA775" s="121"/>
      <c r="AB775" s="121"/>
    </row>
    <row r="776">
      <c r="A776" s="131"/>
      <c r="B776" s="131"/>
      <c r="C776" s="131"/>
      <c r="D776" s="131"/>
      <c r="E776" s="131"/>
      <c r="F776" s="131"/>
      <c r="G776" s="131"/>
      <c r="H776" s="121"/>
      <c r="I776" s="121"/>
      <c r="J776" s="121"/>
      <c r="K776" s="121"/>
      <c r="L776" s="121"/>
      <c r="M776" s="121"/>
      <c r="N776" s="121"/>
      <c r="O776" s="121"/>
      <c r="P776" s="121"/>
      <c r="Q776" s="121"/>
      <c r="R776" s="121"/>
      <c r="S776" s="121"/>
      <c r="T776" s="121"/>
      <c r="U776" s="121"/>
      <c r="V776" s="121"/>
      <c r="W776" s="121"/>
      <c r="X776" s="121"/>
      <c r="Y776" s="121"/>
      <c r="Z776" s="121"/>
      <c r="AA776" s="121"/>
      <c r="AB776" s="121"/>
    </row>
    <row r="777">
      <c r="A777" s="131"/>
      <c r="B777" s="131"/>
      <c r="C777" s="131"/>
      <c r="D777" s="131"/>
      <c r="E777" s="131"/>
      <c r="F777" s="131"/>
      <c r="G777" s="131"/>
      <c r="H777" s="121"/>
      <c r="I777" s="121"/>
      <c r="J777" s="121"/>
      <c r="K777" s="121"/>
      <c r="L777" s="121"/>
      <c r="M777" s="121"/>
      <c r="N777" s="121"/>
      <c r="O777" s="121"/>
      <c r="P777" s="121"/>
      <c r="Q777" s="121"/>
      <c r="R777" s="121"/>
      <c r="S777" s="121"/>
      <c r="T777" s="121"/>
      <c r="U777" s="121"/>
      <c r="V777" s="121"/>
      <c r="W777" s="121"/>
      <c r="X777" s="121"/>
      <c r="Y777" s="121"/>
      <c r="Z777" s="121"/>
      <c r="AA777" s="121"/>
      <c r="AB777" s="121"/>
    </row>
    <row r="778">
      <c r="A778" s="131"/>
      <c r="B778" s="131"/>
      <c r="C778" s="131"/>
      <c r="D778" s="131"/>
      <c r="E778" s="131"/>
      <c r="F778" s="131"/>
      <c r="G778" s="131"/>
      <c r="H778" s="121"/>
      <c r="I778" s="121"/>
      <c r="J778" s="121"/>
      <c r="K778" s="121"/>
      <c r="L778" s="121"/>
      <c r="M778" s="121"/>
      <c r="N778" s="121"/>
      <c r="O778" s="121"/>
      <c r="P778" s="121"/>
      <c r="Q778" s="121"/>
      <c r="R778" s="121"/>
      <c r="S778" s="121"/>
      <c r="T778" s="121"/>
      <c r="U778" s="121"/>
      <c r="V778" s="121"/>
      <c r="W778" s="121"/>
      <c r="X778" s="121"/>
      <c r="Y778" s="121"/>
      <c r="Z778" s="121"/>
      <c r="AA778" s="121"/>
      <c r="AB778" s="121"/>
    </row>
    <row r="779">
      <c r="A779" s="131"/>
      <c r="B779" s="131"/>
      <c r="C779" s="131"/>
      <c r="D779" s="131"/>
      <c r="E779" s="131"/>
      <c r="F779" s="131"/>
      <c r="G779" s="131"/>
      <c r="H779" s="121"/>
      <c r="I779" s="121"/>
      <c r="J779" s="121"/>
      <c r="K779" s="121"/>
      <c r="L779" s="121"/>
      <c r="M779" s="121"/>
      <c r="N779" s="121"/>
      <c r="O779" s="121"/>
      <c r="P779" s="121"/>
      <c r="Q779" s="121"/>
      <c r="R779" s="121"/>
      <c r="S779" s="121"/>
      <c r="T779" s="121"/>
      <c r="U779" s="121"/>
      <c r="V779" s="121"/>
      <c r="W779" s="121"/>
      <c r="X779" s="121"/>
      <c r="Y779" s="121"/>
      <c r="Z779" s="121"/>
      <c r="AA779" s="121"/>
      <c r="AB779" s="121"/>
    </row>
    <row r="780">
      <c r="A780" s="131"/>
      <c r="B780" s="131"/>
      <c r="C780" s="131"/>
      <c r="D780" s="131"/>
      <c r="E780" s="131"/>
      <c r="F780" s="131"/>
      <c r="G780" s="131"/>
      <c r="H780" s="121"/>
      <c r="I780" s="121"/>
      <c r="J780" s="121"/>
      <c r="K780" s="121"/>
      <c r="L780" s="121"/>
      <c r="M780" s="121"/>
      <c r="N780" s="121"/>
      <c r="O780" s="121"/>
      <c r="P780" s="121"/>
      <c r="Q780" s="121"/>
      <c r="R780" s="121"/>
      <c r="S780" s="121"/>
      <c r="T780" s="121"/>
      <c r="U780" s="121"/>
      <c r="V780" s="121"/>
      <c r="W780" s="121"/>
      <c r="X780" s="121"/>
      <c r="Y780" s="121"/>
      <c r="Z780" s="121"/>
      <c r="AA780" s="121"/>
      <c r="AB780" s="121"/>
    </row>
    <row r="781">
      <c r="A781" s="131"/>
      <c r="B781" s="131"/>
      <c r="C781" s="131"/>
      <c r="D781" s="131"/>
      <c r="E781" s="131"/>
      <c r="F781" s="131"/>
      <c r="G781" s="131"/>
      <c r="H781" s="121"/>
      <c r="I781" s="121"/>
      <c r="J781" s="121"/>
      <c r="K781" s="121"/>
      <c r="L781" s="121"/>
      <c r="M781" s="121"/>
      <c r="N781" s="121"/>
      <c r="O781" s="121"/>
      <c r="P781" s="121"/>
      <c r="Q781" s="121"/>
      <c r="R781" s="121"/>
      <c r="S781" s="121"/>
      <c r="T781" s="121"/>
      <c r="U781" s="121"/>
      <c r="V781" s="121"/>
      <c r="W781" s="121"/>
      <c r="X781" s="121"/>
      <c r="Y781" s="121"/>
      <c r="Z781" s="121"/>
      <c r="AA781" s="121"/>
      <c r="AB781" s="121"/>
    </row>
    <row r="782">
      <c r="A782" s="131"/>
      <c r="B782" s="131"/>
      <c r="C782" s="131"/>
      <c r="D782" s="131"/>
      <c r="E782" s="131"/>
      <c r="F782" s="131"/>
      <c r="G782" s="131"/>
      <c r="H782" s="121"/>
      <c r="I782" s="121"/>
      <c r="J782" s="121"/>
      <c r="K782" s="121"/>
      <c r="L782" s="121"/>
      <c r="M782" s="121"/>
      <c r="N782" s="121"/>
      <c r="O782" s="121"/>
      <c r="P782" s="121"/>
      <c r="Q782" s="121"/>
      <c r="R782" s="121"/>
      <c r="S782" s="121"/>
      <c r="T782" s="121"/>
      <c r="U782" s="121"/>
      <c r="V782" s="121"/>
      <c r="W782" s="121"/>
      <c r="X782" s="121"/>
      <c r="Y782" s="121"/>
      <c r="Z782" s="121"/>
      <c r="AA782" s="121"/>
      <c r="AB782" s="121"/>
    </row>
    <row r="783">
      <c r="A783" s="131"/>
      <c r="B783" s="131"/>
      <c r="C783" s="131"/>
      <c r="D783" s="131"/>
      <c r="E783" s="131"/>
      <c r="F783" s="131"/>
      <c r="G783" s="131"/>
      <c r="H783" s="121"/>
      <c r="I783" s="121"/>
      <c r="J783" s="121"/>
      <c r="K783" s="121"/>
      <c r="L783" s="121"/>
      <c r="M783" s="121"/>
      <c r="N783" s="121"/>
      <c r="O783" s="121"/>
      <c r="P783" s="121"/>
      <c r="Q783" s="121"/>
      <c r="R783" s="121"/>
      <c r="S783" s="121"/>
      <c r="T783" s="121"/>
      <c r="U783" s="121"/>
      <c r="V783" s="121"/>
      <c r="W783" s="121"/>
      <c r="X783" s="121"/>
      <c r="Y783" s="121"/>
      <c r="Z783" s="121"/>
      <c r="AA783" s="121"/>
      <c r="AB783" s="121"/>
    </row>
    <row r="784">
      <c r="A784" s="131"/>
      <c r="B784" s="131"/>
      <c r="C784" s="131"/>
      <c r="D784" s="131"/>
      <c r="E784" s="131"/>
      <c r="F784" s="131"/>
      <c r="G784" s="131"/>
      <c r="H784" s="121"/>
      <c r="I784" s="121"/>
      <c r="J784" s="121"/>
      <c r="K784" s="121"/>
      <c r="L784" s="121"/>
      <c r="M784" s="121"/>
      <c r="N784" s="121"/>
      <c r="O784" s="121"/>
      <c r="P784" s="121"/>
      <c r="Q784" s="121"/>
      <c r="R784" s="121"/>
      <c r="S784" s="121"/>
      <c r="T784" s="121"/>
      <c r="U784" s="121"/>
      <c r="V784" s="121"/>
      <c r="W784" s="121"/>
      <c r="X784" s="121"/>
      <c r="Y784" s="121"/>
      <c r="Z784" s="121"/>
      <c r="AA784" s="121"/>
      <c r="AB784" s="121"/>
    </row>
    <row r="785">
      <c r="A785" s="131"/>
      <c r="B785" s="131"/>
      <c r="C785" s="131"/>
      <c r="D785" s="131"/>
      <c r="E785" s="131"/>
      <c r="F785" s="131"/>
      <c r="G785" s="131"/>
      <c r="H785" s="121"/>
      <c r="I785" s="121"/>
      <c r="J785" s="121"/>
      <c r="K785" s="121"/>
      <c r="L785" s="121"/>
      <c r="M785" s="121"/>
      <c r="N785" s="121"/>
      <c r="O785" s="121"/>
      <c r="P785" s="121"/>
      <c r="Q785" s="121"/>
      <c r="R785" s="121"/>
      <c r="S785" s="121"/>
      <c r="T785" s="121"/>
      <c r="U785" s="121"/>
      <c r="V785" s="121"/>
      <c r="W785" s="121"/>
      <c r="X785" s="121"/>
      <c r="Y785" s="121"/>
      <c r="Z785" s="121"/>
      <c r="AA785" s="121"/>
      <c r="AB785" s="121"/>
    </row>
    <row r="786">
      <c r="A786" s="131"/>
      <c r="B786" s="131"/>
      <c r="C786" s="131"/>
      <c r="D786" s="131"/>
      <c r="E786" s="131"/>
      <c r="F786" s="131"/>
      <c r="G786" s="131"/>
      <c r="H786" s="121"/>
      <c r="I786" s="121"/>
      <c r="J786" s="121"/>
      <c r="K786" s="121"/>
      <c r="L786" s="121"/>
      <c r="M786" s="121"/>
      <c r="N786" s="121"/>
      <c r="O786" s="121"/>
      <c r="P786" s="121"/>
      <c r="Q786" s="121"/>
      <c r="R786" s="121"/>
      <c r="S786" s="121"/>
      <c r="T786" s="121"/>
      <c r="U786" s="121"/>
      <c r="V786" s="121"/>
      <c r="W786" s="121"/>
      <c r="X786" s="121"/>
      <c r="Y786" s="121"/>
      <c r="Z786" s="121"/>
      <c r="AA786" s="121"/>
      <c r="AB786" s="121"/>
    </row>
    <row r="787">
      <c r="A787" s="131"/>
      <c r="B787" s="131"/>
      <c r="C787" s="131"/>
      <c r="D787" s="131"/>
      <c r="E787" s="131"/>
      <c r="F787" s="131"/>
      <c r="G787" s="131"/>
      <c r="H787" s="121"/>
      <c r="I787" s="121"/>
      <c r="J787" s="121"/>
      <c r="K787" s="121"/>
      <c r="L787" s="121"/>
      <c r="M787" s="121"/>
      <c r="N787" s="121"/>
      <c r="O787" s="121"/>
      <c r="P787" s="121"/>
      <c r="Q787" s="121"/>
      <c r="R787" s="121"/>
      <c r="S787" s="121"/>
      <c r="T787" s="121"/>
      <c r="U787" s="121"/>
      <c r="V787" s="121"/>
      <c r="W787" s="121"/>
      <c r="X787" s="121"/>
      <c r="Y787" s="121"/>
      <c r="Z787" s="121"/>
      <c r="AA787" s="121"/>
      <c r="AB787" s="121"/>
    </row>
    <row r="788">
      <c r="A788" s="131"/>
      <c r="B788" s="131"/>
      <c r="C788" s="131"/>
      <c r="D788" s="131"/>
      <c r="E788" s="131"/>
      <c r="F788" s="131"/>
      <c r="G788" s="131"/>
      <c r="H788" s="121"/>
      <c r="I788" s="121"/>
      <c r="J788" s="121"/>
      <c r="K788" s="121"/>
      <c r="L788" s="121"/>
      <c r="M788" s="121"/>
      <c r="N788" s="121"/>
      <c r="O788" s="121"/>
      <c r="P788" s="121"/>
      <c r="Q788" s="121"/>
      <c r="R788" s="121"/>
      <c r="S788" s="121"/>
      <c r="T788" s="121"/>
      <c r="U788" s="121"/>
      <c r="V788" s="121"/>
      <c r="W788" s="121"/>
      <c r="X788" s="121"/>
      <c r="Y788" s="121"/>
      <c r="Z788" s="121"/>
      <c r="AA788" s="121"/>
      <c r="AB788" s="121"/>
    </row>
    <row r="789">
      <c r="A789" s="131"/>
      <c r="B789" s="131"/>
      <c r="C789" s="131"/>
      <c r="D789" s="131"/>
      <c r="E789" s="131"/>
      <c r="F789" s="131"/>
      <c r="G789" s="131"/>
      <c r="H789" s="121"/>
      <c r="I789" s="121"/>
      <c r="J789" s="121"/>
      <c r="K789" s="121"/>
      <c r="L789" s="121"/>
      <c r="M789" s="121"/>
      <c r="N789" s="121"/>
      <c r="O789" s="121"/>
      <c r="P789" s="121"/>
      <c r="Q789" s="121"/>
      <c r="R789" s="121"/>
      <c r="S789" s="121"/>
      <c r="T789" s="121"/>
      <c r="U789" s="121"/>
      <c r="V789" s="121"/>
      <c r="W789" s="121"/>
      <c r="X789" s="121"/>
      <c r="Y789" s="121"/>
      <c r="Z789" s="121"/>
      <c r="AA789" s="121"/>
      <c r="AB789" s="121"/>
    </row>
    <row r="790">
      <c r="A790" s="131"/>
      <c r="B790" s="131"/>
      <c r="C790" s="131"/>
      <c r="D790" s="131"/>
      <c r="E790" s="131"/>
      <c r="F790" s="131"/>
      <c r="G790" s="131"/>
      <c r="H790" s="121"/>
      <c r="I790" s="121"/>
      <c r="J790" s="121"/>
      <c r="K790" s="121"/>
      <c r="L790" s="121"/>
      <c r="M790" s="121"/>
      <c r="N790" s="121"/>
      <c r="O790" s="121"/>
      <c r="P790" s="121"/>
      <c r="Q790" s="121"/>
      <c r="R790" s="121"/>
      <c r="S790" s="121"/>
      <c r="T790" s="121"/>
      <c r="U790" s="121"/>
      <c r="V790" s="121"/>
      <c r="W790" s="121"/>
      <c r="X790" s="121"/>
      <c r="Y790" s="121"/>
      <c r="Z790" s="121"/>
      <c r="AA790" s="121"/>
      <c r="AB790" s="121"/>
    </row>
    <row r="791">
      <c r="A791" s="131"/>
      <c r="B791" s="131"/>
      <c r="C791" s="131"/>
      <c r="D791" s="131"/>
      <c r="E791" s="131"/>
      <c r="F791" s="131"/>
      <c r="G791" s="131"/>
      <c r="H791" s="121"/>
      <c r="I791" s="121"/>
      <c r="J791" s="121"/>
      <c r="K791" s="121"/>
      <c r="L791" s="121"/>
      <c r="M791" s="121"/>
      <c r="N791" s="121"/>
      <c r="O791" s="121"/>
      <c r="P791" s="121"/>
      <c r="Q791" s="121"/>
      <c r="R791" s="121"/>
      <c r="S791" s="121"/>
      <c r="T791" s="121"/>
      <c r="U791" s="121"/>
      <c r="V791" s="121"/>
      <c r="W791" s="121"/>
      <c r="X791" s="121"/>
      <c r="Y791" s="121"/>
      <c r="Z791" s="121"/>
      <c r="AA791" s="121"/>
      <c r="AB791" s="121"/>
    </row>
    <row r="792">
      <c r="A792" s="131"/>
      <c r="B792" s="131"/>
      <c r="C792" s="131"/>
      <c r="D792" s="131"/>
      <c r="E792" s="131"/>
      <c r="F792" s="131"/>
      <c r="G792" s="131"/>
      <c r="H792" s="121"/>
      <c r="I792" s="121"/>
      <c r="J792" s="121"/>
      <c r="K792" s="121"/>
      <c r="L792" s="121"/>
      <c r="M792" s="121"/>
      <c r="N792" s="121"/>
      <c r="O792" s="121"/>
      <c r="P792" s="121"/>
      <c r="Q792" s="121"/>
      <c r="R792" s="121"/>
      <c r="S792" s="121"/>
      <c r="T792" s="121"/>
      <c r="U792" s="121"/>
      <c r="V792" s="121"/>
      <c r="W792" s="121"/>
      <c r="X792" s="121"/>
      <c r="Y792" s="121"/>
      <c r="Z792" s="121"/>
      <c r="AA792" s="121"/>
      <c r="AB792" s="121"/>
    </row>
    <row r="793">
      <c r="A793" s="131"/>
      <c r="B793" s="131"/>
      <c r="C793" s="131"/>
      <c r="D793" s="131"/>
      <c r="E793" s="131"/>
      <c r="F793" s="131"/>
      <c r="G793" s="131"/>
      <c r="H793" s="121"/>
      <c r="I793" s="121"/>
      <c r="J793" s="121"/>
      <c r="K793" s="121"/>
      <c r="L793" s="121"/>
      <c r="M793" s="121"/>
      <c r="N793" s="121"/>
      <c r="O793" s="121"/>
      <c r="P793" s="121"/>
      <c r="Q793" s="121"/>
      <c r="R793" s="121"/>
      <c r="S793" s="121"/>
      <c r="T793" s="121"/>
      <c r="U793" s="121"/>
      <c r="V793" s="121"/>
      <c r="W793" s="121"/>
      <c r="X793" s="121"/>
      <c r="Y793" s="121"/>
      <c r="Z793" s="121"/>
      <c r="AA793" s="121"/>
      <c r="AB793" s="121"/>
    </row>
    <row r="794">
      <c r="A794" s="131"/>
      <c r="B794" s="131"/>
      <c r="C794" s="131"/>
      <c r="D794" s="131"/>
      <c r="E794" s="131"/>
      <c r="F794" s="131"/>
      <c r="G794" s="131"/>
      <c r="H794" s="121"/>
      <c r="I794" s="121"/>
      <c r="J794" s="121"/>
      <c r="K794" s="121"/>
      <c r="L794" s="121"/>
      <c r="M794" s="121"/>
      <c r="N794" s="121"/>
      <c r="O794" s="121"/>
      <c r="P794" s="121"/>
      <c r="Q794" s="121"/>
      <c r="R794" s="121"/>
      <c r="S794" s="121"/>
      <c r="T794" s="121"/>
      <c r="U794" s="121"/>
      <c r="V794" s="121"/>
      <c r="W794" s="121"/>
      <c r="X794" s="121"/>
      <c r="Y794" s="121"/>
      <c r="Z794" s="121"/>
      <c r="AA794" s="121"/>
      <c r="AB794" s="121"/>
    </row>
    <row r="795">
      <c r="A795" s="131"/>
      <c r="B795" s="131"/>
      <c r="C795" s="131"/>
      <c r="D795" s="131"/>
      <c r="E795" s="131"/>
      <c r="F795" s="131"/>
      <c r="G795" s="131"/>
      <c r="H795" s="121"/>
      <c r="I795" s="121"/>
      <c r="J795" s="121"/>
      <c r="K795" s="121"/>
      <c r="L795" s="121"/>
      <c r="M795" s="121"/>
      <c r="N795" s="121"/>
      <c r="O795" s="121"/>
      <c r="P795" s="121"/>
      <c r="Q795" s="121"/>
      <c r="R795" s="121"/>
      <c r="S795" s="121"/>
      <c r="T795" s="121"/>
      <c r="U795" s="121"/>
      <c r="V795" s="121"/>
      <c r="W795" s="121"/>
      <c r="X795" s="121"/>
      <c r="Y795" s="121"/>
      <c r="Z795" s="121"/>
      <c r="AA795" s="121"/>
      <c r="AB795" s="121"/>
    </row>
    <row r="796">
      <c r="A796" s="131"/>
      <c r="B796" s="131"/>
      <c r="C796" s="131"/>
      <c r="D796" s="131"/>
      <c r="E796" s="131"/>
      <c r="F796" s="131"/>
      <c r="G796" s="131"/>
      <c r="H796" s="121"/>
      <c r="I796" s="121"/>
      <c r="J796" s="121"/>
      <c r="K796" s="121"/>
      <c r="L796" s="121"/>
      <c r="M796" s="121"/>
      <c r="N796" s="121"/>
      <c r="O796" s="121"/>
      <c r="P796" s="121"/>
      <c r="Q796" s="121"/>
      <c r="R796" s="121"/>
      <c r="S796" s="121"/>
      <c r="T796" s="121"/>
      <c r="U796" s="121"/>
      <c r="V796" s="121"/>
      <c r="W796" s="121"/>
      <c r="X796" s="121"/>
      <c r="Y796" s="121"/>
      <c r="Z796" s="121"/>
      <c r="AA796" s="121"/>
      <c r="AB796" s="121"/>
    </row>
    <row r="797">
      <c r="A797" s="131"/>
      <c r="B797" s="131"/>
      <c r="C797" s="131"/>
      <c r="D797" s="131"/>
      <c r="E797" s="131"/>
      <c r="F797" s="131"/>
      <c r="G797" s="131"/>
      <c r="H797" s="121"/>
      <c r="I797" s="121"/>
      <c r="J797" s="121"/>
      <c r="K797" s="121"/>
      <c r="L797" s="121"/>
      <c r="M797" s="121"/>
      <c r="N797" s="121"/>
      <c r="O797" s="121"/>
      <c r="P797" s="121"/>
      <c r="Q797" s="121"/>
      <c r="R797" s="121"/>
      <c r="S797" s="121"/>
      <c r="T797" s="121"/>
      <c r="U797" s="121"/>
      <c r="V797" s="121"/>
      <c r="W797" s="121"/>
      <c r="X797" s="121"/>
      <c r="Y797" s="121"/>
      <c r="Z797" s="121"/>
      <c r="AA797" s="121"/>
      <c r="AB797" s="121"/>
    </row>
    <row r="798">
      <c r="A798" s="131"/>
      <c r="B798" s="131"/>
      <c r="C798" s="131"/>
      <c r="D798" s="131"/>
      <c r="E798" s="131"/>
      <c r="F798" s="131"/>
      <c r="G798" s="131"/>
      <c r="H798" s="121"/>
      <c r="I798" s="121"/>
      <c r="J798" s="121"/>
      <c r="K798" s="121"/>
      <c r="L798" s="121"/>
      <c r="M798" s="121"/>
      <c r="N798" s="121"/>
      <c r="O798" s="121"/>
      <c r="P798" s="121"/>
      <c r="Q798" s="121"/>
      <c r="R798" s="121"/>
      <c r="S798" s="121"/>
      <c r="T798" s="121"/>
      <c r="U798" s="121"/>
      <c r="V798" s="121"/>
      <c r="W798" s="121"/>
      <c r="X798" s="121"/>
      <c r="Y798" s="121"/>
      <c r="Z798" s="121"/>
      <c r="AA798" s="121"/>
      <c r="AB798" s="121"/>
    </row>
    <row r="799">
      <c r="A799" s="131"/>
      <c r="B799" s="131"/>
      <c r="C799" s="131"/>
      <c r="D799" s="131"/>
      <c r="E799" s="131"/>
      <c r="F799" s="131"/>
      <c r="G799" s="131"/>
      <c r="H799" s="121"/>
      <c r="I799" s="121"/>
      <c r="J799" s="121"/>
      <c r="K799" s="121"/>
      <c r="L799" s="121"/>
      <c r="M799" s="121"/>
      <c r="N799" s="121"/>
      <c r="O799" s="121"/>
      <c r="P799" s="121"/>
      <c r="Q799" s="121"/>
      <c r="R799" s="121"/>
      <c r="S799" s="121"/>
      <c r="T799" s="121"/>
      <c r="U799" s="121"/>
      <c r="V799" s="121"/>
      <c r="W799" s="121"/>
      <c r="X799" s="121"/>
      <c r="Y799" s="121"/>
      <c r="Z799" s="121"/>
      <c r="AA799" s="121"/>
      <c r="AB799" s="121"/>
    </row>
    <row r="800">
      <c r="A800" s="131"/>
      <c r="B800" s="131"/>
      <c r="C800" s="131"/>
      <c r="D800" s="131"/>
      <c r="E800" s="131"/>
      <c r="F800" s="131"/>
      <c r="G800" s="131"/>
      <c r="H800" s="121"/>
      <c r="I800" s="121"/>
      <c r="J800" s="121"/>
      <c r="K800" s="121"/>
      <c r="L800" s="121"/>
      <c r="M800" s="121"/>
      <c r="N800" s="121"/>
      <c r="O800" s="121"/>
      <c r="P800" s="121"/>
      <c r="Q800" s="121"/>
      <c r="R800" s="121"/>
      <c r="S800" s="121"/>
      <c r="T800" s="121"/>
      <c r="U800" s="121"/>
      <c r="V800" s="121"/>
      <c r="W800" s="121"/>
      <c r="X800" s="121"/>
      <c r="Y800" s="121"/>
      <c r="Z800" s="121"/>
      <c r="AA800" s="121"/>
      <c r="AB800" s="121"/>
    </row>
    <row r="801">
      <c r="A801" s="131"/>
      <c r="B801" s="131"/>
      <c r="C801" s="131"/>
      <c r="D801" s="131"/>
      <c r="E801" s="131"/>
      <c r="F801" s="131"/>
      <c r="G801" s="131"/>
      <c r="H801" s="121"/>
      <c r="I801" s="121"/>
      <c r="J801" s="121"/>
      <c r="K801" s="121"/>
      <c r="L801" s="121"/>
      <c r="M801" s="121"/>
      <c r="N801" s="121"/>
      <c r="O801" s="121"/>
      <c r="P801" s="121"/>
      <c r="Q801" s="121"/>
      <c r="R801" s="121"/>
      <c r="S801" s="121"/>
      <c r="T801" s="121"/>
      <c r="U801" s="121"/>
      <c r="V801" s="121"/>
      <c r="W801" s="121"/>
      <c r="X801" s="121"/>
      <c r="Y801" s="121"/>
      <c r="Z801" s="121"/>
      <c r="AA801" s="121"/>
      <c r="AB801" s="121"/>
    </row>
    <row r="802">
      <c r="A802" s="131"/>
      <c r="B802" s="131"/>
      <c r="C802" s="131"/>
      <c r="D802" s="131"/>
      <c r="E802" s="131"/>
      <c r="F802" s="131"/>
      <c r="G802" s="131"/>
      <c r="H802" s="121"/>
      <c r="I802" s="121"/>
      <c r="J802" s="121"/>
      <c r="K802" s="121"/>
      <c r="L802" s="121"/>
      <c r="M802" s="121"/>
      <c r="N802" s="121"/>
      <c r="O802" s="121"/>
      <c r="P802" s="121"/>
      <c r="Q802" s="121"/>
      <c r="R802" s="121"/>
      <c r="S802" s="121"/>
      <c r="T802" s="121"/>
      <c r="U802" s="121"/>
      <c r="V802" s="121"/>
      <c r="W802" s="121"/>
      <c r="X802" s="121"/>
      <c r="Y802" s="121"/>
      <c r="Z802" s="121"/>
      <c r="AA802" s="121"/>
      <c r="AB802" s="121"/>
    </row>
    <row r="803">
      <c r="A803" s="131"/>
      <c r="B803" s="131"/>
      <c r="C803" s="131"/>
      <c r="D803" s="131"/>
      <c r="E803" s="131"/>
      <c r="F803" s="131"/>
      <c r="G803" s="131"/>
      <c r="H803" s="121"/>
      <c r="I803" s="121"/>
      <c r="J803" s="121"/>
      <c r="K803" s="121"/>
      <c r="L803" s="121"/>
      <c r="M803" s="121"/>
      <c r="N803" s="121"/>
      <c r="O803" s="121"/>
      <c r="P803" s="121"/>
      <c r="Q803" s="121"/>
      <c r="R803" s="121"/>
      <c r="S803" s="121"/>
      <c r="T803" s="121"/>
      <c r="U803" s="121"/>
      <c r="V803" s="121"/>
      <c r="W803" s="121"/>
      <c r="X803" s="121"/>
      <c r="Y803" s="121"/>
      <c r="Z803" s="121"/>
      <c r="AA803" s="121"/>
      <c r="AB803" s="121"/>
    </row>
    <row r="804">
      <c r="A804" s="131"/>
      <c r="B804" s="131"/>
      <c r="C804" s="131"/>
      <c r="D804" s="131"/>
      <c r="E804" s="131"/>
      <c r="F804" s="131"/>
      <c r="G804" s="131"/>
      <c r="H804" s="121"/>
      <c r="I804" s="121"/>
      <c r="J804" s="121"/>
      <c r="K804" s="121"/>
      <c r="L804" s="121"/>
      <c r="M804" s="121"/>
      <c r="N804" s="121"/>
      <c r="O804" s="121"/>
      <c r="P804" s="121"/>
      <c r="Q804" s="121"/>
      <c r="R804" s="121"/>
      <c r="S804" s="121"/>
      <c r="T804" s="121"/>
      <c r="U804" s="121"/>
      <c r="V804" s="121"/>
      <c r="W804" s="121"/>
      <c r="X804" s="121"/>
      <c r="Y804" s="121"/>
      <c r="Z804" s="121"/>
      <c r="AA804" s="121"/>
      <c r="AB804" s="121"/>
    </row>
    <row r="805">
      <c r="A805" s="131"/>
      <c r="B805" s="131"/>
      <c r="C805" s="131"/>
      <c r="D805" s="131"/>
      <c r="E805" s="131"/>
      <c r="F805" s="131"/>
      <c r="G805" s="131"/>
      <c r="H805" s="121"/>
      <c r="I805" s="121"/>
      <c r="J805" s="121"/>
      <c r="K805" s="121"/>
      <c r="L805" s="121"/>
      <c r="M805" s="121"/>
      <c r="N805" s="121"/>
      <c r="O805" s="121"/>
      <c r="P805" s="121"/>
      <c r="Q805" s="121"/>
      <c r="R805" s="121"/>
      <c r="S805" s="121"/>
      <c r="T805" s="121"/>
      <c r="U805" s="121"/>
      <c r="V805" s="121"/>
      <c r="W805" s="121"/>
      <c r="X805" s="121"/>
      <c r="Y805" s="121"/>
      <c r="Z805" s="121"/>
      <c r="AA805" s="121"/>
      <c r="AB805" s="121"/>
    </row>
    <row r="806">
      <c r="A806" s="131"/>
      <c r="B806" s="131"/>
      <c r="C806" s="131"/>
      <c r="D806" s="131"/>
      <c r="E806" s="131"/>
      <c r="F806" s="131"/>
      <c r="G806" s="131"/>
      <c r="H806" s="121"/>
      <c r="I806" s="121"/>
      <c r="J806" s="121"/>
      <c r="K806" s="121"/>
      <c r="L806" s="121"/>
      <c r="M806" s="121"/>
      <c r="N806" s="121"/>
      <c r="O806" s="121"/>
      <c r="P806" s="121"/>
      <c r="Q806" s="121"/>
      <c r="R806" s="121"/>
      <c r="S806" s="121"/>
      <c r="T806" s="121"/>
      <c r="U806" s="121"/>
      <c r="V806" s="121"/>
      <c r="W806" s="121"/>
      <c r="X806" s="121"/>
      <c r="Y806" s="121"/>
      <c r="Z806" s="121"/>
      <c r="AA806" s="121"/>
      <c r="AB806" s="121"/>
    </row>
    <row r="807">
      <c r="A807" s="131"/>
      <c r="B807" s="131"/>
      <c r="C807" s="131"/>
      <c r="D807" s="131"/>
      <c r="E807" s="131"/>
      <c r="F807" s="131"/>
      <c r="G807" s="131"/>
      <c r="H807" s="121"/>
      <c r="I807" s="121"/>
      <c r="J807" s="121"/>
      <c r="K807" s="121"/>
      <c r="L807" s="121"/>
      <c r="M807" s="121"/>
      <c r="N807" s="121"/>
      <c r="O807" s="121"/>
      <c r="P807" s="121"/>
      <c r="Q807" s="121"/>
      <c r="R807" s="121"/>
      <c r="S807" s="121"/>
      <c r="T807" s="121"/>
      <c r="U807" s="121"/>
      <c r="V807" s="121"/>
      <c r="W807" s="121"/>
      <c r="X807" s="121"/>
      <c r="Y807" s="121"/>
      <c r="Z807" s="121"/>
      <c r="AA807" s="121"/>
      <c r="AB807" s="121"/>
    </row>
    <row r="808">
      <c r="A808" s="131"/>
      <c r="B808" s="131"/>
      <c r="C808" s="131"/>
      <c r="D808" s="131"/>
      <c r="E808" s="131"/>
      <c r="F808" s="131"/>
      <c r="G808" s="131"/>
      <c r="H808" s="121"/>
      <c r="I808" s="121"/>
      <c r="J808" s="121"/>
      <c r="K808" s="121"/>
      <c r="L808" s="121"/>
      <c r="M808" s="121"/>
      <c r="N808" s="121"/>
      <c r="O808" s="121"/>
      <c r="P808" s="121"/>
      <c r="Q808" s="121"/>
      <c r="R808" s="121"/>
      <c r="S808" s="121"/>
      <c r="T808" s="121"/>
      <c r="U808" s="121"/>
      <c r="V808" s="121"/>
      <c r="W808" s="121"/>
      <c r="X808" s="121"/>
      <c r="Y808" s="121"/>
      <c r="Z808" s="121"/>
      <c r="AA808" s="121"/>
      <c r="AB808" s="121"/>
    </row>
    <row r="809">
      <c r="A809" s="131"/>
      <c r="B809" s="131"/>
      <c r="C809" s="131"/>
      <c r="D809" s="131"/>
      <c r="E809" s="131"/>
      <c r="F809" s="131"/>
      <c r="G809" s="131"/>
      <c r="H809" s="121"/>
      <c r="I809" s="121"/>
      <c r="J809" s="121"/>
      <c r="K809" s="121"/>
      <c r="L809" s="121"/>
      <c r="M809" s="121"/>
      <c r="N809" s="121"/>
      <c r="O809" s="121"/>
      <c r="P809" s="121"/>
      <c r="Q809" s="121"/>
      <c r="R809" s="121"/>
      <c r="S809" s="121"/>
      <c r="T809" s="121"/>
      <c r="U809" s="121"/>
      <c r="V809" s="121"/>
      <c r="W809" s="121"/>
      <c r="X809" s="121"/>
      <c r="Y809" s="121"/>
      <c r="Z809" s="121"/>
      <c r="AA809" s="121"/>
      <c r="AB809" s="121"/>
    </row>
    <row r="810">
      <c r="A810" s="131"/>
      <c r="B810" s="131"/>
      <c r="C810" s="131"/>
      <c r="D810" s="131"/>
      <c r="E810" s="131"/>
      <c r="F810" s="131"/>
      <c r="G810" s="131"/>
      <c r="H810" s="121"/>
      <c r="I810" s="121"/>
      <c r="J810" s="121"/>
      <c r="K810" s="121"/>
      <c r="L810" s="121"/>
      <c r="M810" s="121"/>
      <c r="N810" s="121"/>
      <c r="O810" s="121"/>
      <c r="P810" s="121"/>
      <c r="Q810" s="121"/>
      <c r="R810" s="121"/>
      <c r="S810" s="121"/>
      <c r="T810" s="121"/>
      <c r="U810" s="121"/>
      <c r="V810" s="121"/>
      <c r="W810" s="121"/>
      <c r="X810" s="121"/>
      <c r="Y810" s="121"/>
      <c r="Z810" s="121"/>
      <c r="AA810" s="121"/>
      <c r="AB810" s="121"/>
    </row>
    <row r="811">
      <c r="A811" s="131"/>
      <c r="B811" s="131"/>
      <c r="C811" s="131"/>
      <c r="D811" s="131"/>
      <c r="E811" s="131"/>
      <c r="F811" s="131"/>
      <c r="G811" s="131"/>
      <c r="H811" s="121"/>
      <c r="I811" s="121"/>
      <c r="J811" s="121"/>
      <c r="K811" s="121"/>
      <c r="L811" s="121"/>
      <c r="M811" s="121"/>
      <c r="N811" s="121"/>
      <c r="O811" s="121"/>
      <c r="P811" s="121"/>
      <c r="Q811" s="121"/>
      <c r="R811" s="121"/>
      <c r="S811" s="121"/>
      <c r="T811" s="121"/>
      <c r="U811" s="121"/>
      <c r="V811" s="121"/>
      <c r="W811" s="121"/>
      <c r="X811" s="121"/>
      <c r="Y811" s="121"/>
      <c r="Z811" s="121"/>
      <c r="AA811" s="121"/>
      <c r="AB811" s="121"/>
    </row>
    <row r="812">
      <c r="A812" s="131"/>
      <c r="B812" s="131"/>
      <c r="C812" s="131"/>
      <c r="D812" s="131"/>
      <c r="E812" s="131"/>
      <c r="F812" s="131"/>
      <c r="G812" s="131"/>
      <c r="H812" s="121"/>
      <c r="I812" s="121"/>
      <c r="J812" s="121"/>
      <c r="K812" s="121"/>
      <c r="L812" s="121"/>
      <c r="M812" s="121"/>
      <c r="N812" s="121"/>
      <c r="O812" s="121"/>
      <c r="P812" s="121"/>
      <c r="Q812" s="121"/>
      <c r="R812" s="121"/>
      <c r="S812" s="121"/>
      <c r="T812" s="121"/>
      <c r="U812" s="121"/>
      <c r="V812" s="121"/>
      <c r="W812" s="121"/>
      <c r="X812" s="121"/>
      <c r="Y812" s="121"/>
      <c r="Z812" s="121"/>
      <c r="AA812" s="121"/>
      <c r="AB812" s="121"/>
    </row>
    <row r="813">
      <c r="A813" s="131"/>
      <c r="B813" s="131"/>
      <c r="C813" s="131"/>
      <c r="D813" s="131"/>
      <c r="E813" s="131"/>
      <c r="F813" s="131"/>
      <c r="G813" s="131"/>
      <c r="H813" s="121"/>
      <c r="I813" s="121"/>
      <c r="J813" s="121"/>
      <c r="K813" s="121"/>
      <c r="L813" s="121"/>
      <c r="M813" s="121"/>
      <c r="N813" s="121"/>
      <c r="O813" s="121"/>
      <c r="P813" s="121"/>
      <c r="Q813" s="121"/>
      <c r="R813" s="121"/>
      <c r="S813" s="121"/>
      <c r="T813" s="121"/>
      <c r="U813" s="121"/>
      <c r="V813" s="121"/>
      <c r="W813" s="121"/>
      <c r="X813" s="121"/>
      <c r="Y813" s="121"/>
      <c r="Z813" s="121"/>
      <c r="AA813" s="121"/>
      <c r="AB813" s="121"/>
    </row>
    <row r="814">
      <c r="A814" s="131"/>
      <c r="B814" s="131"/>
      <c r="C814" s="131"/>
      <c r="D814" s="131"/>
      <c r="E814" s="131"/>
      <c r="F814" s="131"/>
      <c r="G814" s="131"/>
      <c r="H814" s="121"/>
      <c r="I814" s="121"/>
      <c r="J814" s="121"/>
      <c r="K814" s="121"/>
      <c r="L814" s="121"/>
      <c r="M814" s="121"/>
      <c r="N814" s="121"/>
      <c r="O814" s="121"/>
      <c r="P814" s="121"/>
      <c r="Q814" s="121"/>
      <c r="R814" s="121"/>
      <c r="S814" s="121"/>
      <c r="T814" s="121"/>
      <c r="U814" s="121"/>
      <c r="V814" s="121"/>
      <c r="W814" s="121"/>
      <c r="X814" s="121"/>
      <c r="Y814" s="121"/>
      <c r="Z814" s="121"/>
      <c r="AA814" s="121"/>
      <c r="AB814" s="121"/>
    </row>
    <row r="815">
      <c r="A815" s="131"/>
      <c r="B815" s="131"/>
      <c r="C815" s="131"/>
      <c r="D815" s="131"/>
      <c r="E815" s="131"/>
      <c r="F815" s="131"/>
      <c r="G815" s="131"/>
      <c r="H815" s="121"/>
      <c r="I815" s="121"/>
      <c r="J815" s="121"/>
      <c r="K815" s="121"/>
      <c r="L815" s="121"/>
      <c r="M815" s="121"/>
      <c r="N815" s="121"/>
      <c r="O815" s="121"/>
      <c r="P815" s="121"/>
      <c r="Q815" s="121"/>
      <c r="R815" s="121"/>
      <c r="S815" s="121"/>
      <c r="T815" s="121"/>
      <c r="U815" s="121"/>
      <c r="V815" s="121"/>
      <c r="W815" s="121"/>
      <c r="X815" s="121"/>
      <c r="Y815" s="121"/>
      <c r="Z815" s="121"/>
      <c r="AA815" s="121"/>
      <c r="AB815" s="121"/>
    </row>
    <row r="816">
      <c r="A816" s="131"/>
      <c r="B816" s="131"/>
      <c r="C816" s="131"/>
      <c r="D816" s="131"/>
      <c r="E816" s="131"/>
      <c r="F816" s="131"/>
      <c r="G816" s="131"/>
      <c r="H816" s="121"/>
      <c r="I816" s="121"/>
      <c r="J816" s="121"/>
      <c r="K816" s="121"/>
      <c r="L816" s="121"/>
      <c r="M816" s="121"/>
      <c r="N816" s="121"/>
      <c r="O816" s="121"/>
      <c r="P816" s="121"/>
      <c r="Q816" s="121"/>
      <c r="R816" s="121"/>
      <c r="S816" s="121"/>
      <c r="T816" s="121"/>
      <c r="U816" s="121"/>
      <c r="V816" s="121"/>
      <c r="W816" s="121"/>
      <c r="X816" s="121"/>
      <c r="Y816" s="121"/>
      <c r="Z816" s="121"/>
      <c r="AA816" s="121"/>
      <c r="AB816" s="121"/>
    </row>
    <row r="817">
      <c r="A817" s="131"/>
      <c r="B817" s="131"/>
      <c r="C817" s="131"/>
      <c r="D817" s="131"/>
      <c r="E817" s="131"/>
      <c r="F817" s="131"/>
      <c r="G817" s="131"/>
      <c r="H817" s="121"/>
      <c r="I817" s="121"/>
      <c r="J817" s="121"/>
      <c r="K817" s="121"/>
      <c r="L817" s="121"/>
      <c r="M817" s="121"/>
      <c r="N817" s="121"/>
      <c r="O817" s="121"/>
      <c r="P817" s="121"/>
      <c r="Q817" s="121"/>
      <c r="R817" s="121"/>
      <c r="S817" s="121"/>
      <c r="T817" s="121"/>
      <c r="U817" s="121"/>
      <c r="V817" s="121"/>
      <c r="W817" s="121"/>
      <c r="X817" s="121"/>
      <c r="Y817" s="121"/>
      <c r="Z817" s="121"/>
      <c r="AA817" s="121"/>
      <c r="AB817" s="121"/>
    </row>
    <row r="818">
      <c r="A818" s="131"/>
      <c r="B818" s="131"/>
      <c r="C818" s="131"/>
      <c r="D818" s="131"/>
      <c r="E818" s="131"/>
      <c r="F818" s="131"/>
      <c r="G818" s="131"/>
      <c r="H818" s="121"/>
      <c r="I818" s="121"/>
      <c r="J818" s="121"/>
      <c r="K818" s="121"/>
      <c r="L818" s="121"/>
      <c r="M818" s="121"/>
      <c r="N818" s="121"/>
      <c r="O818" s="121"/>
      <c r="P818" s="121"/>
      <c r="Q818" s="121"/>
      <c r="R818" s="121"/>
      <c r="S818" s="121"/>
      <c r="T818" s="121"/>
      <c r="U818" s="121"/>
      <c r="V818" s="121"/>
      <c r="W818" s="121"/>
      <c r="X818" s="121"/>
      <c r="Y818" s="121"/>
      <c r="Z818" s="121"/>
      <c r="AA818" s="121"/>
      <c r="AB818" s="121"/>
    </row>
    <row r="819">
      <c r="A819" s="131"/>
      <c r="B819" s="131"/>
      <c r="C819" s="131"/>
      <c r="D819" s="131"/>
      <c r="E819" s="131"/>
      <c r="F819" s="131"/>
      <c r="G819" s="131"/>
      <c r="H819" s="121"/>
      <c r="I819" s="121"/>
      <c r="J819" s="121"/>
      <c r="K819" s="121"/>
      <c r="L819" s="121"/>
      <c r="M819" s="121"/>
      <c r="N819" s="121"/>
      <c r="O819" s="121"/>
      <c r="P819" s="121"/>
      <c r="Q819" s="121"/>
      <c r="R819" s="121"/>
      <c r="S819" s="121"/>
      <c r="T819" s="121"/>
      <c r="U819" s="121"/>
      <c r="V819" s="121"/>
      <c r="W819" s="121"/>
      <c r="X819" s="121"/>
      <c r="Y819" s="121"/>
      <c r="Z819" s="121"/>
      <c r="AA819" s="121"/>
      <c r="AB819" s="121"/>
    </row>
    <row r="820">
      <c r="A820" s="131"/>
      <c r="B820" s="131"/>
      <c r="C820" s="131"/>
      <c r="D820" s="131"/>
      <c r="E820" s="131"/>
      <c r="F820" s="131"/>
      <c r="G820" s="131"/>
      <c r="H820" s="121"/>
      <c r="I820" s="121"/>
      <c r="J820" s="121"/>
      <c r="K820" s="121"/>
      <c r="L820" s="121"/>
      <c r="M820" s="121"/>
      <c r="N820" s="121"/>
      <c r="O820" s="121"/>
      <c r="P820" s="121"/>
      <c r="Q820" s="121"/>
      <c r="R820" s="121"/>
      <c r="S820" s="121"/>
      <c r="T820" s="121"/>
      <c r="U820" s="121"/>
      <c r="V820" s="121"/>
      <c r="W820" s="121"/>
      <c r="X820" s="121"/>
      <c r="Y820" s="121"/>
      <c r="Z820" s="121"/>
      <c r="AA820" s="121"/>
      <c r="AB820" s="121"/>
    </row>
    <row r="821">
      <c r="A821" s="131"/>
      <c r="B821" s="131"/>
      <c r="C821" s="131"/>
      <c r="D821" s="131"/>
      <c r="E821" s="131"/>
      <c r="F821" s="131"/>
      <c r="G821" s="131"/>
      <c r="H821" s="121"/>
      <c r="I821" s="121"/>
      <c r="J821" s="121"/>
      <c r="K821" s="121"/>
      <c r="L821" s="121"/>
      <c r="M821" s="121"/>
      <c r="N821" s="121"/>
      <c r="O821" s="121"/>
      <c r="P821" s="121"/>
      <c r="Q821" s="121"/>
      <c r="R821" s="121"/>
      <c r="S821" s="121"/>
      <c r="T821" s="121"/>
      <c r="U821" s="121"/>
      <c r="V821" s="121"/>
      <c r="W821" s="121"/>
      <c r="X821" s="121"/>
      <c r="Y821" s="121"/>
      <c r="Z821" s="121"/>
      <c r="AA821" s="121"/>
      <c r="AB821" s="121"/>
    </row>
    <row r="822">
      <c r="A822" s="131"/>
      <c r="B822" s="131"/>
      <c r="C822" s="131"/>
      <c r="D822" s="131"/>
      <c r="E822" s="131"/>
      <c r="F822" s="131"/>
      <c r="G822" s="131"/>
      <c r="H822" s="121"/>
      <c r="I822" s="121"/>
      <c r="J822" s="121"/>
      <c r="K822" s="121"/>
      <c r="L822" s="121"/>
      <c r="M822" s="121"/>
      <c r="N822" s="121"/>
      <c r="O822" s="121"/>
      <c r="P822" s="121"/>
      <c r="Q822" s="121"/>
      <c r="R822" s="121"/>
      <c r="S822" s="121"/>
      <c r="T822" s="121"/>
      <c r="U822" s="121"/>
      <c r="V822" s="121"/>
      <c r="W822" s="121"/>
      <c r="X822" s="121"/>
      <c r="Y822" s="121"/>
      <c r="Z822" s="121"/>
      <c r="AA822" s="121"/>
      <c r="AB822" s="121"/>
    </row>
    <row r="823">
      <c r="A823" s="131"/>
      <c r="B823" s="131"/>
      <c r="C823" s="131"/>
      <c r="D823" s="131"/>
      <c r="E823" s="131"/>
      <c r="F823" s="131"/>
      <c r="G823" s="131"/>
      <c r="H823" s="121"/>
      <c r="I823" s="121"/>
      <c r="J823" s="121"/>
      <c r="K823" s="121"/>
      <c r="L823" s="121"/>
      <c r="M823" s="121"/>
      <c r="N823" s="121"/>
      <c r="O823" s="121"/>
      <c r="P823" s="121"/>
      <c r="Q823" s="121"/>
      <c r="R823" s="121"/>
      <c r="S823" s="121"/>
      <c r="T823" s="121"/>
      <c r="U823" s="121"/>
      <c r="V823" s="121"/>
      <c r="W823" s="121"/>
      <c r="X823" s="121"/>
      <c r="Y823" s="121"/>
      <c r="Z823" s="121"/>
      <c r="AA823" s="121"/>
      <c r="AB823" s="121"/>
    </row>
    <row r="824">
      <c r="A824" s="131"/>
      <c r="B824" s="131"/>
      <c r="C824" s="131"/>
      <c r="D824" s="131"/>
      <c r="E824" s="131"/>
      <c r="F824" s="131"/>
      <c r="G824" s="131"/>
      <c r="H824" s="121"/>
      <c r="I824" s="121"/>
      <c r="J824" s="121"/>
      <c r="K824" s="121"/>
      <c r="L824" s="121"/>
      <c r="M824" s="121"/>
      <c r="N824" s="121"/>
      <c r="O824" s="121"/>
      <c r="P824" s="121"/>
      <c r="Q824" s="121"/>
      <c r="R824" s="121"/>
      <c r="S824" s="121"/>
      <c r="T824" s="121"/>
      <c r="U824" s="121"/>
      <c r="V824" s="121"/>
      <c r="W824" s="121"/>
      <c r="X824" s="121"/>
      <c r="Y824" s="121"/>
      <c r="Z824" s="121"/>
      <c r="AA824" s="121"/>
      <c r="AB824" s="121"/>
    </row>
    <row r="825">
      <c r="A825" s="131"/>
      <c r="B825" s="131"/>
      <c r="C825" s="131"/>
      <c r="D825" s="131"/>
      <c r="E825" s="131"/>
      <c r="F825" s="131"/>
      <c r="G825" s="131"/>
      <c r="H825" s="121"/>
      <c r="I825" s="121"/>
      <c r="J825" s="121"/>
      <c r="K825" s="121"/>
      <c r="L825" s="121"/>
      <c r="M825" s="121"/>
      <c r="N825" s="121"/>
      <c r="O825" s="121"/>
      <c r="P825" s="121"/>
      <c r="Q825" s="121"/>
      <c r="R825" s="121"/>
      <c r="S825" s="121"/>
      <c r="T825" s="121"/>
      <c r="U825" s="121"/>
      <c r="V825" s="121"/>
      <c r="W825" s="121"/>
      <c r="X825" s="121"/>
      <c r="Y825" s="121"/>
      <c r="Z825" s="121"/>
      <c r="AA825" s="121"/>
      <c r="AB825" s="121"/>
    </row>
    <row r="826">
      <c r="A826" s="131"/>
      <c r="B826" s="131"/>
      <c r="C826" s="131"/>
      <c r="D826" s="131"/>
      <c r="E826" s="131"/>
      <c r="F826" s="131"/>
      <c r="G826" s="131"/>
      <c r="H826" s="121"/>
      <c r="I826" s="121"/>
      <c r="J826" s="121"/>
      <c r="K826" s="121"/>
      <c r="L826" s="121"/>
      <c r="M826" s="121"/>
      <c r="N826" s="121"/>
      <c r="O826" s="121"/>
      <c r="P826" s="121"/>
      <c r="Q826" s="121"/>
      <c r="R826" s="121"/>
      <c r="S826" s="121"/>
      <c r="T826" s="121"/>
      <c r="U826" s="121"/>
      <c r="V826" s="121"/>
      <c r="W826" s="121"/>
      <c r="X826" s="121"/>
      <c r="Y826" s="121"/>
      <c r="Z826" s="121"/>
      <c r="AA826" s="121"/>
      <c r="AB826" s="121"/>
    </row>
    <row r="827">
      <c r="A827" s="131"/>
      <c r="B827" s="131"/>
      <c r="C827" s="131"/>
      <c r="D827" s="131"/>
      <c r="E827" s="131"/>
      <c r="F827" s="131"/>
      <c r="G827" s="131"/>
      <c r="H827" s="121"/>
      <c r="I827" s="121"/>
      <c r="J827" s="121"/>
      <c r="K827" s="121"/>
      <c r="L827" s="121"/>
      <c r="M827" s="121"/>
      <c r="N827" s="121"/>
      <c r="O827" s="121"/>
      <c r="P827" s="121"/>
      <c r="Q827" s="121"/>
      <c r="R827" s="121"/>
      <c r="S827" s="121"/>
      <c r="T827" s="121"/>
      <c r="U827" s="121"/>
      <c r="V827" s="121"/>
      <c r="W827" s="121"/>
      <c r="X827" s="121"/>
      <c r="Y827" s="121"/>
      <c r="Z827" s="121"/>
      <c r="AA827" s="121"/>
      <c r="AB827" s="121"/>
    </row>
    <row r="828">
      <c r="A828" s="131"/>
      <c r="B828" s="131"/>
      <c r="C828" s="131"/>
      <c r="D828" s="131"/>
      <c r="E828" s="131"/>
      <c r="F828" s="131"/>
      <c r="G828" s="131"/>
      <c r="H828" s="121"/>
      <c r="I828" s="121"/>
      <c r="J828" s="121"/>
      <c r="K828" s="121"/>
      <c r="L828" s="121"/>
      <c r="M828" s="121"/>
      <c r="N828" s="121"/>
      <c r="O828" s="121"/>
      <c r="P828" s="121"/>
      <c r="Q828" s="121"/>
      <c r="R828" s="121"/>
      <c r="S828" s="121"/>
      <c r="T828" s="121"/>
      <c r="U828" s="121"/>
      <c r="V828" s="121"/>
      <c r="W828" s="121"/>
      <c r="X828" s="121"/>
      <c r="Y828" s="121"/>
      <c r="Z828" s="121"/>
      <c r="AA828" s="121"/>
      <c r="AB828" s="121"/>
    </row>
    <row r="829">
      <c r="A829" s="131"/>
      <c r="B829" s="131"/>
      <c r="C829" s="131"/>
      <c r="D829" s="131"/>
      <c r="E829" s="131"/>
      <c r="F829" s="131"/>
      <c r="G829" s="131"/>
      <c r="H829" s="121"/>
      <c r="I829" s="121"/>
      <c r="J829" s="121"/>
      <c r="K829" s="121"/>
      <c r="L829" s="121"/>
      <c r="M829" s="121"/>
      <c r="N829" s="121"/>
      <c r="O829" s="121"/>
      <c r="P829" s="121"/>
      <c r="Q829" s="121"/>
      <c r="R829" s="121"/>
      <c r="S829" s="121"/>
      <c r="T829" s="121"/>
      <c r="U829" s="121"/>
      <c r="V829" s="121"/>
      <c r="W829" s="121"/>
      <c r="X829" s="121"/>
      <c r="Y829" s="121"/>
      <c r="Z829" s="121"/>
      <c r="AA829" s="121"/>
      <c r="AB829" s="121"/>
    </row>
    <row r="830">
      <c r="A830" s="131"/>
      <c r="B830" s="131"/>
      <c r="C830" s="131"/>
      <c r="D830" s="131"/>
      <c r="E830" s="131"/>
      <c r="F830" s="131"/>
      <c r="G830" s="131"/>
      <c r="H830" s="121"/>
      <c r="I830" s="121"/>
      <c r="J830" s="121"/>
      <c r="K830" s="121"/>
      <c r="L830" s="121"/>
      <c r="M830" s="121"/>
      <c r="N830" s="121"/>
      <c r="O830" s="121"/>
      <c r="P830" s="121"/>
      <c r="Q830" s="121"/>
      <c r="R830" s="121"/>
      <c r="S830" s="121"/>
      <c r="T830" s="121"/>
      <c r="U830" s="121"/>
      <c r="V830" s="121"/>
      <c r="W830" s="121"/>
      <c r="X830" s="121"/>
      <c r="Y830" s="121"/>
      <c r="Z830" s="121"/>
      <c r="AA830" s="121"/>
      <c r="AB830" s="121"/>
    </row>
    <row r="831">
      <c r="A831" s="131"/>
      <c r="B831" s="131"/>
      <c r="C831" s="131"/>
      <c r="D831" s="131"/>
      <c r="E831" s="131"/>
      <c r="F831" s="131"/>
      <c r="G831" s="131"/>
      <c r="H831" s="121"/>
      <c r="I831" s="121"/>
      <c r="J831" s="121"/>
      <c r="K831" s="121"/>
      <c r="L831" s="121"/>
      <c r="M831" s="121"/>
      <c r="N831" s="121"/>
      <c r="O831" s="121"/>
      <c r="P831" s="121"/>
      <c r="Q831" s="121"/>
      <c r="R831" s="121"/>
      <c r="S831" s="121"/>
      <c r="T831" s="121"/>
      <c r="U831" s="121"/>
      <c r="V831" s="121"/>
      <c r="W831" s="121"/>
      <c r="X831" s="121"/>
      <c r="Y831" s="121"/>
      <c r="Z831" s="121"/>
      <c r="AA831" s="121"/>
      <c r="AB831" s="121"/>
    </row>
    <row r="832">
      <c r="A832" s="131"/>
      <c r="B832" s="131"/>
      <c r="C832" s="131"/>
      <c r="D832" s="131"/>
      <c r="E832" s="131"/>
      <c r="F832" s="131"/>
      <c r="G832" s="131"/>
      <c r="H832" s="121"/>
      <c r="I832" s="121"/>
      <c r="J832" s="121"/>
      <c r="K832" s="121"/>
      <c r="L832" s="121"/>
      <c r="M832" s="121"/>
      <c r="N832" s="121"/>
      <c r="O832" s="121"/>
      <c r="P832" s="121"/>
      <c r="Q832" s="121"/>
      <c r="R832" s="121"/>
      <c r="S832" s="121"/>
      <c r="T832" s="121"/>
      <c r="U832" s="121"/>
      <c r="V832" s="121"/>
      <c r="W832" s="121"/>
      <c r="X832" s="121"/>
      <c r="Y832" s="121"/>
      <c r="Z832" s="121"/>
      <c r="AA832" s="121"/>
      <c r="AB832" s="121"/>
    </row>
    <row r="833">
      <c r="A833" s="131"/>
      <c r="B833" s="131"/>
      <c r="C833" s="131"/>
      <c r="D833" s="131"/>
      <c r="E833" s="131"/>
      <c r="F833" s="131"/>
      <c r="G833" s="131"/>
      <c r="H833" s="121"/>
      <c r="I833" s="121"/>
      <c r="J833" s="121"/>
      <c r="K833" s="121"/>
      <c r="L833" s="121"/>
      <c r="M833" s="121"/>
      <c r="N833" s="121"/>
      <c r="O833" s="121"/>
      <c r="P833" s="121"/>
      <c r="Q833" s="121"/>
      <c r="R833" s="121"/>
      <c r="S833" s="121"/>
      <c r="T833" s="121"/>
      <c r="U833" s="121"/>
      <c r="V833" s="121"/>
      <c r="W833" s="121"/>
      <c r="X833" s="121"/>
      <c r="Y833" s="121"/>
      <c r="Z833" s="121"/>
      <c r="AA833" s="121"/>
      <c r="AB833" s="121"/>
    </row>
    <row r="834">
      <c r="A834" s="131"/>
      <c r="B834" s="131"/>
      <c r="C834" s="131"/>
      <c r="D834" s="131"/>
      <c r="E834" s="131"/>
      <c r="F834" s="131"/>
      <c r="G834" s="131"/>
      <c r="H834" s="121"/>
      <c r="I834" s="121"/>
      <c r="J834" s="121"/>
      <c r="K834" s="121"/>
      <c r="L834" s="121"/>
      <c r="M834" s="121"/>
      <c r="N834" s="121"/>
      <c r="O834" s="121"/>
      <c r="P834" s="121"/>
      <c r="Q834" s="121"/>
      <c r="R834" s="121"/>
      <c r="S834" s="121"/>
      <c r="T834" s="121"/>
      <c r="U834" s="121"/>
      <c r="V834" s="121"/>
      <c r="W834" s="121"/>
      <c r="X834" s="121"/>
      <c r="Y834" s="121"/>
      <c r="Z834" s="121"/>
      <c r="AA834" s="121"/>
      <c r="AB834" s="121"/>
    </row>
    <row r="835">
      <c r="A835" s="131"/>
      <c r="B835" s="131"/>
      <c r="C835" s="131"/>
      <c r="D835" s="131"/>
      <c r="E835" s="131"/>
      <c r="F835" s="131"/>
      <c r="G835" s="131"/>
      <c r="H835" s="121"/>
      <c r="I835" s="121"/>
      <c r="J835" s="121"/>
      <c r="K835" s="121"/>
      <c r="L835" s="121"/>
      <c r="M835" s="121"/>
      <c r="N835" s="121"/>
      <c r="O835" s="121"/>
      <c r="P835" s="121"/>
      <c r="Q835" s="121"/>
      <c r="R835" s="121"/>
      <c r="S835" s="121"/>
      <c r="T835" s="121"/>
      <c r="U835" s="121"/>
      <c r="V835" s="121"/>
      <c r="W835" s="121"/>
      <c r="X835" s="121"/>
      <c r="Y835" s="121"/>
      <c r="Z835" s="121"/>
      <c r="AA835" s="121"/>
      <c r="AB835" s="121"/>
    </row>
    <row r="836">
      <c r="A836" s="131"/>
      <c r="B836" s="131"/>
      <c r="C836" s="131"/>
      <c r="D836" s="131"/>
      <c r="E836" s="131"/>
      <c r="F836" s="131"/>
      <c r="G836" s="131"/>
      <c r="H836" s="121"/>
      <c r="I836" s="121"/>
      <c r="J836" s="121"/>
      <c r="K836" s="121"/>
      <c r="L836" s="121"/>
      <c r="M836" s="121"/>
      <c r="N836" s="121"/>
      <c r="O836" s="121"/>
      <c r="P836" s="121"/>
      <c r="Q836" s="121"/>
      <c r="R836" s="121"/>
      <c r="S836" s="121"/>
      <c r="T836" s="121"/>
      <c r="U836" s="121"/>
      <c r="V836" s="121"/>
      <c r="W836" s="121"/>
      <c r="X836" s="121"/>
      <c r="Y836" s="121"/>
      <c r="Z836" s="121"/>
      <c r="AA836" s="121"/>
      <c r="AB836" s="121"/>
    </row>
    <row r="837">
      <c r="A837" s="131"/>
      <c r="B837" s="131"/>
      <c r="C837" s="131"/>
      <c r="D837" s="131"/>
      <c r="E837" s="131"/>
      <c r="F837" s="131"/>
      <c r="G837" s="131"/>
      <c r="H837" s="121"/>
      <c r="I837" s="121"/>
      <c r="J837" s="121"/>
      <c r="K837" s="121"/>
      <c r="L837" s="121"/>
      <c r="M837" s="121"/>
      <c r="N837" s="121"/>
      <c r="O837" s="121"/>
      <c r="P837" s="121"/>
      <c r="Q837" s="121"/>
      <c r="R837" s="121"/>
      <c r="S837" s="121"/>
      <c r="T837" s="121"/>
      <c r="U837" s="121"/>
      <c r="V837" s="121"/>
      <c r="W837" s="121"/>
      <c r="X837" s="121"/>
      <c r="Y837" s="121"/>
      <c r="Z837" s="121"/>
      <c r="AA837" s="121"/>
      <c r="AB837" s="121"/>
    </row>
    <row r="838">
      <c r="A838" s="131"/>
      <c r="B838" s="131"/>
      <c r="C838" s="131"/>
      <c r="D838" s="131"/>
      <c r="E838" s="131"/>
      <c r="F838" s="131"/>
      <c r="G838" s="131"/>
      <c r="H838" s="121"/>
      <c r="I838" s="121"/>
      <c r="J838" s="121"/>
      <c r="K838" s="121"/>
      <c r="L838" s="121"/>
      <c r="M838" s="121"/>
      <c r="N838" s="121"/>
      <c r="O838" s="121"/>
      <c r="P838" s="121"/>
      <c r="Q838" s="121"/>
      <c r="R838" s="121"/>
      <c r="S838" s="121"/>
      <c r="T838" s="121"/>
      <c r="U838" s="121"/>
      <c r="V838" s="121"/>
      <c r="W838" s="121"/>
      <c r="X838" s="121"/>
      <c r="Y838" s="121"/>
      <c r="Z838" s="121"/>
      <c r="AA838" s="121"/>
      <c r="AB838" s="121"/>
    </row>
    <row r="839">
      <c r="A839" s="131"/>
      <c r="B839" s="131"/>
      <c r="C839" s="131"/>
      <c r="D839" s="131"/>
      <c r="E839" s="131"/>
      <c r="F839" s="131"/>
      <c r="G839" s="131"/>
      <c r="H839" s="121"/>
      <c r="I839" s="121"/>
      <c r="J839" s="121"/>
      <c r="K839" s="121"/>
      <c r="L839" s="121"/>
      <c r="M839" s="121"/>
      <c r="N839" s="121"/>
      <c r="O839" s="121"/>
      <c r="P839" s="121"/>
      <c r="Q839" s="121"/>
      <c r="R839" s="121"/>
      <c r="S839" s="121"/>
      <c r="T839" s="121"/>
      <c r="U839" s="121"/>
      <c r="V839" s="121"/>
      <c r="W839" s="121"/>
      <c r="X839" s="121"/>
      <c r="Y839" s="121"/>
      <c r="Z839" s="121"/>
      <c r="AA839" s="121"/>
      <c r="AB839" s="121"/>
    </row>
    <row r="840">
      <c r="A840" s="131"/>
      <c r="B840" s="131"/>
      <c r="C840" s="131"/>
      <c r="D840" s="131"/>
      <c r="E840" s="131"/>
      <c r="F840" s="131"/>
      <c r="G840" s="131"/>
      <c r="H840" s="121"/>
      <c r="I840" s="121"/>
      <c r="J840" s="121"/>
      <c r="K840" s="121"/>
      <c r="L840" s="121"/>
      <c r="M840" s="121"/>
      <c r="N840" s="121"/>
      <c r="O840" s="121"/>
      <c r="P840" s="121"/>
      <c r="Q840" s="121"/>
      <c r="R840" s="121"/>
      <c r="S840" s="121"/>
      <c r="T840" s="121"/>
      <c r="U840" s="121"/>
      <c r="V840" s="121"/>
      <c r="W840" s="121"/>
      <c r="X840" s="121"/>
      <c r="Y840" s="121"/>
      <c r="Z840" s="121"/>
      <c r="AA840" s="121"/>
      <c r="AB840" s="121"/>
    </row>
    <row r="841">
      <c r="A841" s="131"/>
      <c r="B841" s="131"/>
      <c r="C841" s="131"/>
      <c r="D841" s="131"/>
      <c r="E841" s="131"/>
      <c r="F841" s="131"/>
      <c r="G841" s="131"/>
      <c r="H841" s="121"/>
      <c r="I841" s="121"/>
      <c r="J841" s="121"/>
      <c r="K841" s="121"/>
      <c r="L841" s="121"/>
      <c r="M841" s="121"/>
      <c r="N841" s="121"/>
      <c r="O841" s="121"/>
      <c r="P841" s="121"/>
      <c r="Q841" s="121"/>
      <c r="R841" s="121"/>
      <c r="S841" s="121"/>
      <c r="T841" s="121"/>
      <c r="U841" s="121"/>
      <c r="V841" s="121"/>
      <c r="W841" s="121"/>
      <c r="X841" s="121"/>
      <c r="Y841" s="121"/>
      <c r="Z841" s="121"/>
      <c r="AA841" s="121"/>
      <c r="AB841" s="121"/>
    </row>
    <row r="842">
      <c r="A842" s="131"/>
      <c r="B842" s="131"/>
      <c r="C842" s="131"/>
      <c r="D842" s="131"/>
      <c r="E842" s="131"/>
      <c r="F842" s="131"/>
      <c r="G842" s="131"/>
      <c r="H842" s="121"/>
      <c r="I842" s="121"/>
      <c r="J842" s="121"/>
      <c r="K842" s="121"/>
      <c r="L842" s="121"/>
      <c r="M842" s="121"/>
      <c r="N842" s="121"/>
      <c r="O842" s="121"/>
      <c r="P842" s="121"/>
      <c r="Q842" s="121"/>
      <c r="R842" s="121"/>
      <c r="S842" s="121"/>
      <c r="T842" s="121"/>
      <c r="U842" s="121"/>
      <c r="V842" s="121"/>
      <c r="W842" s="121"/>
      <c r="X842" s="121"/>
      <c r="Y842" s="121"/>
      <c r="Z842" s="121"/>
      <c r="AA842" s="121"/>
      <c r="AB842" s="121"/>
    </row>
    <row r="843">
      <c r="A843" s="131"/>
      <c r="B843" s="131"/>
      <c r="C843" s="131"/>
      <c r="D843" s="131"/>
      <c r="E843" s="131"/>
      <c r="F843" s="131"/>
      <c r="G843" s="131"/>
      <c r="H843" s="121"/>
      <c r="I843" s="121"/>
      <c r="J843" s="121"/>
      <c r="K843" s="121"/>
      <c r="L843" s="121"/>
      <c r="M843" s="121"/>
      <c r="N843" s="121"/>
      <c r="O843" s="121"/>
      <c r="P843" s="121"/>
      <c r="Q843" s="121"/>
      <c r="R843" s="121"/>
      <c r="S843" s="121"/>
      <c r="T843" s="121"/>
      <c r="U843" s="121"/>
      <c r="V843" s="121"/>
      <c r="W843" s="121"/>
      <c r="X843" s="121"/>
      <c r="Y843" s="121"/>
      <c r="Z843" s="121"/>
      <c r="AA843" s="121"/>
      <c r="AB843" s="121"/>
    </row>
    <row r="844">
      <c r="A844" s="131"/>
      <c r="B844" s="131"/>
      <c r="C844" s="131"/>
      <c r="D844" s="131"/>
      <c r="E844" s="131"/>
      <c r="F844" s="131"/>
      <c r="G844" s="131"/>
      <c r="H844" s="121"/>
      <c r="I844" s="121"/>
      <c r="J844" s="121"/>
      <c r="K844" s="121"/>
      <c r="L844" s="121"/>
      <c r="M844" s="121"/>
      <c r="N844" s="121"/>
      <c r="O844" s="121"/>
      <c r="P844" s="121"/>
      <c r="Q844" s="121"/>
      <c r="R844" s="121"/>
      <c r="S844" s="121"/>
      <c r="T844" s="121"/>
      <c r="U844" s="121"/>
      <c r="V844" s="121"/>
      <c r="W844" s="121"/>
      <c r="X844" s="121"/>
      <c r="Y844" s="121"/>
      <c r="Z844" s="121"/>
      <c r="AA844" s="121"/>
      <c r="AB844" s="121"/>
    </row>
    <row r="845">
      <c r="A845" s="131"/>
      <c r="B845" s="131"/>
      <c r="C845" s="131"/>
      <c r="D845" s="131"/>
      <c r="E845" s="131"/>
      <c r="F845" s="131"/>
      <c r="G845" s="131"/>
      <c r="H845" s="121"/>
      <c r="I845" s="121"/>
      <c r="J845" s="121"/>
      <c r="K845" s="121"/>
      <c r="L845" s="121"/>
      <c r="M845" s="121"/>
      <c r="N845" s="121"/>
      <c r="O845" s="121"/>
      <c r="P845" s="121"/>
      <c r="Q845" s="121"/>
      <c r="R845" s="121"/>
      <c r="S845" s="121"/>
      <c r="T845" s="121"/>
      <c r="U845" s="121"/>
      <c r="V845" s="121"/>
      <c r="W845" s="121"/>
      <c r="X845" s="121"/>
      <c r="Y845" s="121"/>
      <c r="Z845" s="121"/>
      <c r="AA845" s="121"/>
      <c r="AB845" s="121"/>
    </row>
    <row r="846">
      <c r="A846" s="131"/>
      <c r="B846" s="131"/>
      <c r="C846" s="131"/>
      <c r="D846" s="131"/>
      <c r="E846" s="131"/>
      <c r="F846" s="131"/>
      <c r="G846" s="131"/>
      <c r="H846" s="121"/>
      <c r="I846" s="121"/>
      <c r="J846" s="121"/>
      <c r="K846" s="121"/>
      <c r="L846" s="121"/>
      <c r="M846" s="121"/>
      <c r="N846" s="121"/>
      <c r="O846" s="121"/>
      <c r="P846" s="121"/>
      <c r="Q846" s="121"/>
      <c r="R846" s="121"/>
      <c r="S846" s="121"/>
      <c r="T846" s="121"/>
      <c r="U846" s="121"/>
      <c r="V846" s="121"/>
      <c r="W846" s="121"/>
      <c r="X846" s="121"/>
      <c r="Y846" s="121"/>
      <c r="Z846" s="121"/>
      <c r="AA846" s="121"/>
      <c r="AB846" s="121"/>
    </row>
    <row r="847">
      <c r="A847" s="131"/>
      <c r="B847" s="131"/>
      <c r="C847" s="131"/>
      <c r="D847" s="131"/>
      <c r="E847" s="131"/>
      <c r="F847" s="131"/>
      <c r="G847" s="131"/>
      <c r="H847" s="121"/>
      <c r="I847" s="121"/>
      <c r="J847" s="121"/>
      <c r="K847" s="121"/>
      <c r="L847" s="121"/>
      <c r="M847" s="121"/>
      <c r="N847" s="121"/>
      <c r="O847" s="121"/>
      <c r="P847" s="121"/>
      <c r="Q847" s="121"/>
      <c r="R847" s="121"/>
      <c r="S847" s="121"/>
      <c r="T847" s="121"/>
      <c r="U847" s="121"/>
      <c r="V847" s="121"/>
      <c r="W847" s="121"/>
      <c r="X847" s="121"/>
      <c r="Y847" s="121"/>
      <c r="Z847" s="121"/>
      <c r="AA847" s="121"/>
      <c r="AB847" s="121"/>
    </row>
    <row r="848">
      <c r="A848" s="131"/>
      <c r="B848" s="131"/>
      <c r="C848" s="131"/>
      <c r="D848" s="131"/>
      <c r="E848" s="131"/>
      <c r="F848" s="131"/>
      <c r="G848" s="131"/>
      <c r="H848" s="121"/>
      <c r="I848" s="121"/>
      <c r="J848" s="121"/>
      <c r="K848" s="121"/>
      <c r="L848" s="121"/>
      <c r="M848" s="121"/>
      <c r="N848" s="121"/>
      <c r="O848" s="121"/>
      <c r="P848" s="121"/>
      <c r="Q848" s="121"/>
      <c r="R848" s="121"/>
      <c r="S848" s="121"/>
      <c r="T848" s="121"/>
      <c r="U848" s="121"/>
      <c r="V848" s="121"/>
      <c r="W848" s="121"/>
      <c r="X848" s="121"/>
      <c r="Y848" s="121"/>
      <c r="Z848" s="121"/>
      <c r="AA848" s="121"/>
      <c r="AB848" s="121"/>
    </row>
    <row r="849">
      <c r="A849" s="131"/>
      <c r="B849" s="131"/>
      <c r="C849" s="131"/>
      <c r="D849" s="131"/>
      <c r="E849" s="131"/>
      <c r="F849" s="131"/>
      <c r="G849" s="131"/>
      <c r="H849" s="121"/>
      <c r="I849" s="121"/>
      <c r="J849" s="121"/>
      <c r="K849" s="121"/>
      <c r="L849" s="121"/>
      <c r="M849" s="121"/>
      <c r="N849" s="121"/>
      <c r="O849" s="121"/>
      <c r="P849" s="121"/>
      <c r="Q849" s="121"/>
      <c r="R849" s="121"/>
      <c r="S849" s="121"/>
      <c r="T849" s="121"/>
      <c r="U849" s="121"/>
      <c r="V849" s="121"/>
      <c r="W849" s="121"/>
      <c r="X849" s="121"/>
      <c r="Y849" s="121"/>
      <c r="Z849" s="121"/>
      <c r="AA849" s="121"/>
      <c r="AB849" s="121"/>
    </row>
    <row r="850">
      <c r="A850" s="131"/>
      <c r="B850" s="131"/>
      <c r="C850" s="131"/>
      <c r="D850" s="131"/>
      <c r="E850" s="131"/>
      <c r="F850" s="131"/>
      <c r="G850" s="131"/>
      <c r="H850" s="121"/>
      <c r="I850" s="121"/>
      <c r="J850" s="121"/>
      <c r="K850" s="121"/>
      <c r="L850" s="121"/>
      <c r="M850" s="121"/>
      <c r="N850" s="121"/>
      <c r="O850" s="121"/>
      <c r="P850" s="121"/>
      <c r="Q850" s="121"/>
      <c r="R850" s="121"/>
      <c r="S850" s="121"/>
      <c r="T850" s="121"/>
      <c r="U850" s="121"/>
      <c r="V850" s="121"/>
      <c r="W850" s="121"/>
      <c r="X850" s="121"/>
      <c r="Y850" s="121"/>
      <c r="Z850" s="121"/>
      <c r="AA850" s="121"/>
      <c r="AB850" s="121"/>
    </row>
    <row r="851">
      <c r="A851" s="131"/>
      <c r="B851" s="131"/>
      <c r="C851" s="131"/>
      <c r="D851" s="131"/>
      <c r="E851" s="131"/>
      <c r="F851" s="131"/>
      <c r="G851" s="131"/>
      <c r="H851" s="121"/>
      <c r="I851" s="121"/>
      <c r="J851" s="121"/>
      <c r="K851" s="121"/>
      <c r="L851" s="121"/>
      <c r="M851" s="121"/>
      <c r="N851" s="121"/>
      <c r="O851" s="121"/>
      <c r="P851" s="121"/>
      <c r="Q851" s="121"/>
      <c r="R851" s="121"/>
      <c r="S851" s="121"/>
      <c r="T851" s="121"/>
      <c r="U851" s="121"/>
      <c r="V851" s="121"/>
      <c r="W851" s="121"/>
      <c r="X851" s="121"/>
      <c r="Y851" s="121"/>
      <c r="Z851" s="121"/>
      <c r="AA851" s="121"/>
      <c r="AB851" s="121"/>
    </row>
    <row r="852">
      <c r="A852" s="131"/>
      <c r="B852" s="131"/>
      <c r="C852" s="131"/>
      <c r="D852" s="131"/>
      <c r="E852" s="131"/>
      <c r="F852" s="131"/>
      <c r="G852" s="131"/>
      <c r="H852" s="121"/>
      <c r="I852" s="121"/>
      <c r="J852" s="121"/>
      <c r="K852" s="121"/>
      <c r="L852" s="121"/>
      <c r="M852" s="121"/>
      <c r="N852" s="121"/>
      <c r="O852" s="121"/>
      <c r="P852" s="121"/>
      <c r="Q852" s="121"/>
      <c r="R852" s="121"/>
      <c r="S852" s="121"/>
      <c r="T852" s="121"/>
      <c r="U852" s="121"/>
      <c r="V852" s="121"/>
      <c r="W852" s="121"/>
      <c r="X852" s="121"/>
      <c r="Y852" s="121"/>
      <c r="Z852" s="121"/>
      <c r="AA852" s="121"/>
      <c r="AB852" s="121"/>
    </row>
    <row r="853">
      <c r="A853" s="131"/>
      <c r="B853" s="131"/>
      <c r="C853" s="131"/>
      <c r="D853" s="131"/>
      <c r="E853" s="131"/>
      <c r="F853" s="131"/>
      <c r="G853" s="131"/>
      <c r="H853" s="121"/>
      <c r="I853" s="121"/>
      <c r="J853" s="121"/>
      <c r="K853" s="121"/>
      <c r="L853" s="121"/>
      <c r="M853" s="121"/>
      <c r="N853" s="121"/>
      <c r="O853" s="121"/>
      <c r="P853" s="121"/>
      <c r="Q853" s="121"/>
      <c r="R853" s="121"/>
      <c r="S853" s="121"/>
      <c r="T853" s="121"/>
      <c r="U853" s="121"/>
      <c r="V853" s="121"/>
      <c r="W853" s="121"/>
      <c r="X853" s="121"/>
      <c r="Y853" s="121"/>
      <c r="Z853" s="121"/>
      <c r="AA853" s="121"/>
      <c r="AB853" s="121"/>
    </row>
    <row r="854">
      <c r="A854" s="131"/>
      <c r="B854" s="131"/>
      <c r="C854" s="131"/>
      <c r="D854" s="131"/>
      <c r="E854" s="131"/>
      <c r="F854" s="131"/>
      <c r="G854" s="131"/>
      <c r="H854" s="121"/>
      <c r="I854" s="121"/>
      <c r="J854" s="121"/>
      <c r="K854" s="121"/>
      <c r="L854" s="121"/>
      <c r="M854" s="121"/>
      <c r="N854" s="121"/>
      <c r="O854" s="121"/>
      <c r="P854" s="121"/>
      <c r="Q854" s="121"/>
      <c r="R854" s="121"/>
      <c r="S854" s="121"/>
      <c r="T854" s="121"/>
      <c r="U854" s="121"/>
      <c r="V854" s="121"/>
      <c r="W854" s="121"/>
      <c r="X854" s="121"/>
      <c r="Y854" s="121"/>
      <c r="Z854" s="121"/>
      <c r="AA854" s="121"/>
      <c r="AB854" s="121"/>
    </row>
    <row r="855">
      <c r="A855" s="131"/>
      <c r="B855" s="131"/>
      <c r="C855" s="131"/>
      <c r="D855" s="131"/>
      <c r="E855" s="131"/>
      <c r="F855" s="131"/>
      <c r="G855" s="131"/>
      <c r="H855" s="121"/>
      <c r="I855" s="121"/>
      <c r="J855" s="121"/>
      <c r="K855" s="121"/>
      <c r="L855" s="121"/>
      <c r="M855" s="121"/>
      <c r="N855" s="121"/>
      <c r="O855" s="121"/>
      <c r="P855" s="121"/>
      <c r="Q855" s="121"/>
      <c r="R855" s="121"/>
      <c r="S855" s="121"/>
      <c r="T855" s="121"/>
      <c r="U855" s="121"/>
      <c r="V855" s="121"/>
      <c r="W855" s="121"/>
      <c r="X855" s="121"/>
      <c r="Y855" s="121"/>
      <c r="Z855" s="121"/>
      <c r="AA855" s="121"/>
      <c r="AB855" s="121"/>
    </row>
    <row r="856">
      <c r="A856" s="131"/>
      <c r="B856" s="131"/>
      <c r="C856" s="131"/>
      <c r="D856" s="131"/>
      <c r="E856" s="131"/>
      <c r="F856" s="131"/>
      <c r="G856" s="131"/>
      <c r="H856" s="121"/>
      <c r="I856" s="121"/>
      <c r="J856" s="121"/>
      <c r="K856" s="121"/>
      <c r="L856" s="121"/>
      <c r="M856" s="121"/>
      <c r="N856" s="121"/>
      <c r="O856" s="121"/>
      <c r="P856" s="121"/>
      <c r="Q856" s="121"/>
      <c r="R856" s="121"/>
      <c r="S856" s="121"/>
      <c r="T856" s="121"/>
      <c r="U856" s="121"/>
      <c r="V856" s="121"/>
      <c r="W856" s="121"/>
      <c r="X856" s="121"/>
      <c r="Y856" s="121"/>
      <c r="Z856" s="121"/>
      <c r="AA856" s="121"/>
      <c r="AB856" s="121"/>
    </row>
    <row r="857">
      <c r="A857" s="131"/>
      <c r="B857" s="131"/>
      <c r="C857" s="131"/>
      <c r="D857" s="131"/>
      <c r="E857" s="131"/>
      <c r="F857" s="131"/>
      <c r="G857" s="131"/>
      <c r="H857" s="121"/>
      <c r="I857" s="121"/>
      <c r="J857" s="121"/>
      <c r="K857" s="121"/>
      <c r="L857" s="121"/>
      <c r="M857" s="121"/>
      <c r="N857" s="121"/>
      <c r="O857" s="121"/>
      <c r="P857" s="121"/>
      <c r="Q857" s="121"/>
      <c r="R857" s="121"/>
      <c r="S857" s="121"/>
      <c r="T857" s="121"/>
      <c r="U857" s="121"/>
      <c r="V857" s="121"/>
      <c r="W857" s="121"/>
      <c r="X857" s="121"/>
      <c r="Y857" s="121"/>
      <c r="Z857" s="121"/>
      <c r="AA857" s="121"/>
      <c r="AB857" s="121"/>
    </row>
    <row r="858">
      <c r="A858" s="131"/>
      <c r="B858" s="131"/>
      <c r="C858" s="131"/>
      <c r="D858" s="131"/>
      <c r="E858" s="131"/>
      <c r="F858" s="131"/>
      <c r="G858" s="131"/>
      <c r="H858" s="121"/>
      <c r="I858" s="121"/>
      <c r="J858" s="121"/>
      <c r="K858" s="121"/>
      <c r="L858" s="121"/>
      <c r="M858" s="121"/>
      <c r="N858" s="121"/>
      <c r="O858" s="121"/>
      <c r="P858" s="121"/>
      <c r="Q858" s="121"/>
      <c r="R858" s="121"/>
      <c r="S858" s="121"/>
      <c r="T858" s="121"/>
      <c r="U858" s="121"/>
      <c r="V858" s="121"/>
      <c r="W858" s="121"/>
      <c r="X858" s="121"/>
      <c r="Y858" s="121"/>
      <c r="Z858" s="121"/>
      <c r="AA858" s="121"/>
      <c r="AB858" s="121"/>
    </row>
    <row r="859">
      <c r="A859" s="131"/>
      <c r="B859" s="131"/>
      <c r="C859" s="131"/>
      <c r="D859" s="131"/>
      <c r="E859" s="131"/>
      <c r="F859" s="131"/>
      <c r="G859" s="131"/>
      <c r="H859" s="121"/>
      <c r="I859" s="121"/>
      <c r="J859" s="121"/>
      <c r="K859" s="121"/>
      <c r="L859" s="121"/>
      <c r="M859" s="121"/>
      <c r="N859" s="121"/>
      <c r="O859" s="121"/>
      <c r="P859" s="121"/>
      <c r="Q859" s="121"/>
      <c r="R859" s="121"/>
      <c r="S859" s="121"/>
      <c r="T859" s="121"/>
      <c r="U859" s="121"/>
      <c r="V859" s="121"/>
      <c r="W859" s="121"/>
      <c r="X859" s="121"/>
      <c r="Y859" s="121"/>
      <c r="Z859" s="121"/>
      <c r="AA859" s="121"/>
      <c r="AB859" s="121"/>
    </row>
    <row r="860">
      <c r="A860" s="131"/>
      <c r="B860" s="131"/>
      <c r="C860" s="131"/>
      <c r="D860" s="131"/>
      <c r="E860" s="131"/>
      <c r="F860" s="131"/>
      <c r="G860" s="131"/>
      <c r="H860" s="121"/>
      <c r="I860" s="121"/>
      <c r="J860" s="121"/>
      <c r="K860" s="121"/>
      <c r="L860" s="121"/>
      <c r="M860" s="121"/>
      <c r="N860" s="121"/>
      <c r="O860" s="121"/>
      <c r="P860" s="121"/>
      <c r="Q860" s="121"/>
      <c r="R860" s="121"/>
      <c r="S860" s="121"/>
      <c r="T860" s="121"/>
      <c r="U860" s="121"/>
      <c r="V860" s="121"/>
      <c r="W860" s="121"/>
      <c r="X860" s="121"/>
      <c r="Y860" s="121"/>
      <c r="Z860" s="121"/>
      <c r="AA860" s="121"/>
      <c r="AB860" s="121"/>
    </row>
    <row r="861">
      <c r="A861" s="131"/>
      <c r="B861" s="131"/>
      <c r="C861" s="131"/>
      <c r="D861" s="131"/>
      <c r="E861" s="131"/>
      <c r="F861" s="131"/>
      <c r="G861" s="131"/>
      <c r="H861" s="121"/>
      <c r="I861" s="121"/>
      <c r="J861" s="121"/>
      <c r="K861" s="121"/>
      <c r="L861" s="121"/>
      <c r="M861" s="121"/>
      <c r="N861" s="121"/>
      <c r="O861" s="121"/>
      <c r="P861" s="121"/>
      <c r="Q861" s="121"/>
      <c r="R861" s="121"/>
      <c r="S861" s="121"/>
      <c r="T861" s="121"/>
      <c r="U861" s="121"/>
      <c r="V861" s="121"/>
      <c r="W861" s="121"/>
      <c r="X861" s="121"/>
      <c r="Y861" s="121"/>
      <c r="Z861" s="121"/>
      <c r="AA861" s="121"/>
      <c r="AB861" s="121"/>
    </row>
    <row r="862">
      <c r="A862" s="131"/>
      <c r="B862" s="131"/>
      <c r="C862" s="131"/>
      <c r="D862" s="131"/>
      <c r="E862" s="131"/>
      <c r="F862" s="131"/>
      <c r="G862" s="131"/>
      <c r="H862" s="121"/>
      <c r="I862" s="121"/>
      <c r="J862" s="121"/>
      <c r="K862" s="121"/>
      <c r="L862" s="121"/>
      <c r="M862" s="121"/>
      <c r="N862" s="121"/>
      <c r="O862" s="121"/>
      <c r="P862" s="121"/>
      <c r="Q862" s="121"/>
      <c r="R862" s="121"/>
      <c r="S862" s="121"/>
      <c r="T862" s="121"/>
      <c r="U862" s="121"/>
      <c r="V862" s="121"/>
      <c r="W862" s="121"/>
      <c r="X862" s="121"/>
      <c r="Y862" s="121"/>
      <c r="Z862" s="121"/>
      <c r="AA862" s="121"/>
      <c r="AB862" s="121"/>
    </row>
    <row r="863">
      <c r="A863" s="131"/>
      <c r="B863" s="131"/>
      <c r="C863" s="131"/>
      <c r="D863" s="131"/>
      <c r="E863" s="131"/>
      <c r="F863" s="131"/>
      <c r="G863" s="131"/>
      <c r="H863" s="121"/>
      <c r="I863" s="121"/>
      <c r="J863" s="121"/>
      <c r="K863" s="121"/>
      <c r="L863" s="121"/>
      <c r="M863" s="121"/>
      <c r="N863" s="121"/>
      <c r="O863" s="121"/>
      <c r="P863" s="121"/>
      <c r="Q863" s="121"/>
      <c r="R863" s="121"/>
      <c r="S863" s="121"/>
      <c r="T863" s="121"/>
      <c r="U863" s="121"/>
      <c r="V863" s="121"/>
      <c r="W863" s="121"/>
      <c r="X863" s="121"/>
      <c r="Y863" s="121"/>
      <c r="Z863" s="121"/>
      <c r="AA863" s="121"/>
      <c r="AB863" s="121"/>
    </row>
    <row r="864">
      <c r="A864" s="131"/>
      <c r="B864" s="131"/>
      <c r="C864" s="131"/>
      <c r="D864" s="131"/>
      <c r="E864" s="131"/>
      <c r="F864" s="131"/>
      <c r="G864" s="131"/>
      <c r="H864" s="121"/>
      <c r="I864" s="121"/>
      <c r="J864" s="121"/>
      <c r="K864" s="121"/>
      <c r="L864" s="121"/>
      <c r="M864" s="121"/>
      <c r="N864" s="121"/>
      <c r="O864" s="121"/>
      <c r="P864" s="121"/>
      <c r="Q864" s="121"/>
      <c r="R864" s="121"/>
      <c r="S864" s="121"/>
      <c r="T864" s="121"/>
      <c r="U864" s="121"/>
      <c r="V864" s="121"/>
      <c r="W864" s="121"/>
      <c r="X864" s="121"/>
      <c r="Y864" s="121"/>
      <c r="Z864" s="121"/>
      <c r="AA864" s="121"/>
      <c r="AB864" s="121"/>
    </row>
    <row r="865">
      <c r="A865" s="131"/>
      <c r="B865" s="131"/>
      <c r="C865" s="131"/>
      <c r="D865" s="131"/>
      <c r="E865" s="131"/>
      <c r="F865" s="131"/>
      <c r="G865" s="131"/>
      <c r="H865" s="121"/>
      <c r="I865" s="121"/>
      <c r="J865" s="121"/>
      <c r="K865" s="121"/>
      <c r="L865" s="121"/>
      <c r="M865" s="121"/>
      <c r="N865" s="121"/>
      <c r="O865" s="121"/>
      <c r="P865" s="121"/>
      <c r="Q865" s="121"/>
      <c r="R865" s="121"/>
      <c r="S865" s="121"/>
      <c r="T865" s="121"/>
      <c r="U865" s="121"/>
      <c r="V865" s="121"/>
      <c r="W865" s="121"/>
      <c r="X865" s="121"/>
      <c r="Y865" s="121"/>
      <c r="Z865" s="121"/>
      <c r="AA865" s="121"/>
      <c r="AB865" s="121"/>
    </row>
    <row r="866">
      <c r="A866" s="131"/>
      <c r="B866" s="131"/>
      <c r="C866" s="131"/>
      <c r="D866" s="131"/>
      <c r="E866" s="131"/>
      <c r="F866" s="131"/>
      <c r="G866" s="131"/>
      <c r="H866" s="121"/>
      <c r="I866" s="121"/>
      <c r="J866" s="121"/>
      <c r="K866" s="121"/>
      <c r="L866" s="121"/>
      <c r="M866" s="121"/>
      <c r="N866" s="121"/>
      <c r="O866" s="121"/>
      <c r="P866" s="121"/>
      <c r="Q866" s="121"/>
      <c r="R866" s="121"/>
      <c r="S866" s="121"/>
      <c r="T866" s="121"/>
      <c r="U866" s="121"/>
      <c r="V866" s="121"/>
      <c r="W866" s="121"/>
      <c r="X866" s="121"/>
      <c r="Y866" s="121"/>
      <c r="Z866" s="121"/>
      <c r="AA866" s="121"/>
      <c r="AB866" s="121"/>
    </row>
    <row r="867">
      <c r="A867" s="131"/>
      <c r="B867" s="131"/>
      <c r="C867" s="131"/>
      <c r="D867" s="131"/>
      <c r="E867" s="131"/>
      <c r="F867" s="131"/>
      <c r="G867" s="131"/>
      <c r="H867" s="121"/>
      <c r="I867" s="121"/>
      <c r="J867" s="121"/>
      <c r="K867" s="121"/>
      <c r="L867" s="121"/>
      <c r="M867" s="121"/>
      <c r="N867" s="121"/>
      <c r="O867" s="121"/>
      <c r="P867" s="121"/>
      <c r="Q867" s="121"/>
      <c r="R867" s="121"/>
      <c r="S867" s="121"/>
      <c r="T867" s="121"/>
      <c r="U867" s="121"/>
      <c r="V867" s="121"/>
      <c r="W867" s="121"/>
      <c r="X867" s="121"/>
      <c r="Y867" s="121"/>
      <c r="Z867" s="121"/>
      <c r="AA867" s="121"/>
      <c r="AB867" s="121"/>
    </row>
    <row r="868">
      <c r="A868" s="131"/>
      <c r="B868" s="131"/>
      <c r="C868" s="131"/>
      <c r="D868" s="131"/>
      <c r="E868" s="131"/>
      <c r="F868" s="131"/>
      <c r="G868" s="131"/>
      <c r="H868" s="121"/>
      <c r="I868" s="121"/>
      <c r="J868" s="121"/>
      <c r="K868" s="121"/>
      <c r="L868" s="121"/>
      <c r="M868" s="121"/>
      <c r="N868" s="121"/>
      <c r="O868" s="121"/>
      <c r="P868" s="121"/>
      <c r="Q868" s="121"/>
      <c r="R868" s="121"/>
      <c r="S868" s="121"/>
      <c r="T868" s="121"/>
      <c r="U868" s="121"/>
      <c r="V868" s="121"/>
      <c r="W868" s="121"/>
      <c r="X868" s="121"/>
      <c r="Y868" s="121"/>
      <c r="Z868" s="121"/>
      <c r="AA868" s="121"/>
      <c r="AB868" s="121"/>
    </row>
    <row r="869">
      <c r="A869" s="131"/>
      <c r="B869" s="131"/>
      <c r="C869" s="131"/>
      <c r="D869" s="131"/>
      <c r="E869" s="131"/>
      <c r="F869" s="131"/>
      <c r="G869" s="131"/>
      <c r="H869" s="121"/>
      <c r="I869" s="121"/>
      <c r="J869" s="121"/>
      <c r="K869" s="121"/>
      <c r="L869" s="121"/>
      <c r="M869" s="121"/>
      <c r="N869" s="121"/>
      <c r="O869" s="121"/>
      <c r="P869" s="121"/>
      <c r="Q869" s="121"/>
      <c r="R869" s="121"/>
      <c r="S869" s="121"/>
      <c r="T869" s="121"/>
      <c r="U869" s="121"/>
      <c r="V869" s="121"/>
      <c r="W869" s="121"/>
      <c r="X869" s="121"/>
      <c r="Y869" s="121"/>
      <c r="Z869" s="121"/>
      <c r="AA869" s="121"/>
      <c r="AB869" s="121"/>
    </row>
    <row r="870">
      <c r="A870" s="131"/>
      <c r="B870" s="131"/>
      <c r="C870" s="131"/>
      <c r="D870" s="131"/>
      <c r="E870" s="131"/>
      <c r="F870" s="131"/>
      <c r="G870" s="131"/>
      <c r="H870" s="121"/>
      <c r="I870" s="121"/>
      <c r="J870" s="121"/>
      <c r="K870" s="121"/>
      <c r="L870" s="121"/>
      <c r="M870" s="121"/>
      <c r="N870" s="121"/>
      <c r="O870" s="121"/>
      <c r="P870" s="121"/>
      <c r="Q870" s="121"/>
      <c r="R870" s="121"/>
      <c r="S870" s="121"/>
      <c r="T870" s="121"/>
      <c r="U870" s="121"/>
      <c r="V870" s="121"/>
      <c r="W870" s="121"/>
      <c r="X870" s="121"/>
      <c r="Y870" s="121"/>
      <c r="Z870" s="121"/>
      <c r="AA870" s="121"/>
      <c r="AB870" s="121"/>
    </row>
    <row r="871">
      <c r="A871" s="131"/>
      <c r="B871" s="131"/>
      <c r="C871" s="131"/>
      <c r="D871" s="131"/>
      <c r="E871" s="131"/>
      <c r="F871" s="131"/>
      <c r="G871" s="131"/>
      <c r="H871" s="121"/>
      <c r="I871" s="121"/>
      <c r="J871" s="121"/>
      <c r="K871" s="121"/>
      <c r="L871" s="121"/>
      <c r="M871" s="121"/>
      <c r="N871" s="121"/>
      <c r="O871" s="121"/>
      <c r="P871" s="121"/>
      <c r="Q871" s="121"/>
      <c r="R871" s="121"/>
      <c r="S871" s="121"/>
      <c r="T871" s="121"/>
      <c r="U871" s="121"/>
      <c r="V871" s="121"/>
      <c r="W871" s="121"/>
      <c r="X871" s="121"/>
      <c r="Y871" s="121"/>
      <c r="Z871" s="121"/>
      <c r="AA871" s="121"/>
      <c r="AB871" s="121"/>
    </row>
    <row r="872">
      <c r="A872" s="131"/>
      <c r="B872" s="131"/>
      <c r="C872" s="131"/>
      <c r="D872" s="131"/>
      <c r="E872" s="131"/>
      <c r="F872" s="131"/>
      <c r="G872" s="131"/>
      <c r="H872" s="121"/>
      <c r="I872" s="121"/>
      <c r="J872" s="121"/>
      <c r="K872" s="121"/>
      <c r="L872" s="121"/>
      <c r="M872" s="121"/>
      <c r="N872" s="121"/>
      <c r="O872" s="121"/>
      <c r="P872" s="121"/>
      <c r="Q872" s="121"/>
      <c r="R872" s="121"/>
      <c r="S872" s="121"/>
      <c r="T872" s="121"/>
      <c r="U872" s="121"/>
      <c r="V872" s="121"/>
      <c r="W872" s="121"/>
      <c r="X872" s="121"/>
      <c r="Y872" s="121"/>
      <c r="Z872" s="121"/>
      <c r="AA872" s="121"/>
      <c r="AB872" s="121"/>
    </row>
    <row r="873">
      <c r="A873" s="131"/>
      <c r="B873" s="131"/>
      <c r="C873" s="131"/>
      <c r="D873" s="131"/>
      <c r="E873" s="131"/>
      <c r="F873" s="131"/>
      <c r="G873" s="131"/>
      <c r="H873" s="121"/>
      <c r="I873" s="121"/>
      <c r="J873" s="121"/>
      <c r="K873" s="121"/>
      <c r="L873" s="121"/>
      <c r="M873" s="121"/>
      <c r="N873" s="121"/>
      <c r="O873" s="121"/>
      <c r="P873" s="121"/>
      <c r="Q873" s="121"/>
      <c r="R873" s="121"/>
      <c r="S873" s="121"/>
      <c r="T873" s="121"/>
      <c r="U873" s="121"/>
      <c r="V873" s="121"/>
      <c r="W873" s="121"/>
      <c r="X873" s="121"/>
      <c r="Y873" s="121"/>
      <c r="Z873" s="121"/>
      <c r="AA873" s="121"/>
      <c r="AB873" s="121"/>
    </row>
    <row r="874">
      <c r="A874" s="131"/>
      <c r="B874" s="131"/>
      <c r="C874" s="131"/>
      <c r="D874" s="131"/>
      <c r="E874" s="131"/>
      <c r="F874" s="131"/>
      <c r="G874" s="131"/>
      <c r="H874" s="121"/>
      <c r="I874" s="121"/>
      <c r="J874" s="121"/>
      <c r="K874" s="121"/>
      <c r="L874" s="121"/>
      <c r="M874" s="121"/>
      <c r="N874" s="121"/>
      <c r="O874" s="121"/>
      <c r="P874" s="121"/>
      <c r="Q874" s="121"/>
      <c r="R874" s="121"/>
      <c r="S874" s="121"/>
      <c r="T874" s="121"/>
      <c r="U874" s="121"/>
      <c r="V874" s="121"/>
      <c r="W874" s="121"/>
      <c r="X874" s="121"/>
      <c r="Y874" s="121"/>
      <c r="Z874" s="121"/>
      <c r="AA874" s="121"/>
      <c r="AB874" s="121"/>
    </row>
    <row r="875">
      <c r="A875" s="131"/>
      <c r="B875" s="131"/>
      <c r="C875" s="131"/>
      <c r="D875" s="131"/>
      <c r="E875" s="131"/>
      <c r="F875" s="131"/>
      <c r="G875" s="131"/>
      <c r="H875" s="121"/>
      <c r="I875" s="121"/>
      <c r="J875" s="121"/>
      <c r="K875" s="121"/>
      <c r="L875" s="121"/>
      <c r="M875" s="121"/>
      <c r="N875" s="121"/>
      <c r="O875" s="121"/>
      <c r="P875" s="121"/>
      <c r="Q875" s="121"/>
      <c r="R875" s="121"/>
      <c r="S875" s="121"/>
      <c r="T875" s="121"/>
      <c r="U875" s="121"/>
      <c r="V875" s="121"/>
      <c r="W875" s="121"/>
      <c r="X875" s="121"/>
      <c r="Y875" s="121"/>
      <c r="Z875" s="121"/>
      <c r="AA875" s="121"/>
      <c r="AB875" s="121"/>
    </row>
    <row r="876">
      <c r="A876" s="131"/>
      <c r="B876" s="131"/>
      <c r="C876" s="131"/>
      <c r="D876" s="131"/>
      <c r="E876" s="131"/>
      <c r="F876" s="131"/>
      <c r="G876" s="131"/>
      <c r="H876" s="121"/>
      <c r="I876" s="121"/>
      <c r="J876" s="121"/>
      <c r="K876" s="121"/>
      <c r="L876" s="121"/>
      <c r="M876" s="121"/>
      <c r="N876" s="121"/>
      <c r="O876" s="121"/>
      <c r="P876" s="121"/>
      <c r="Q876" s="121"/>
      <c r="R876" s="121"/>
      <c r="S876" s="121"/>
      <c r="T876" s="121"/>
      <c r="U876" s="121"/>
      <c r="V876" s="121"/>
      <c r="W876" s="121"/>
      <c r="X876" s="121"/>
      <c r="Y876" s="121"/>
      <c r="Z876" s="121"/>
      <c r="AA876" s="121"/>
      <c r="AB876" s="121"/>
    </row>
    <row r="877">
      <c r="A877" s="131"/>
      <c r="B877" s="131"/>
      <c r="C877" s="131"/>
      <c r="D877" s="131"/>
      <c r="E877" s="131"/>
      <c r="F877" s="131"/>
      <c r="G877" s="131"/>
      <c r="H877" s="121"/>
      <c r="I877" s="121"/>
      <c r="J877" s="121"/>
      <c r="K877" s="121"/>
      <c r="L877" s="121"/>
      <c r="M877" s="121"/>
      <c r="N877" s="121"/>
      <c r="O877" s="121"/>
      <c r="P877" s="121"/>
      <c r="Q877" s="121"/>
      <c r="R877" s="121"/>
      <c r="S877" s="121"/>
      <c r="T877" s="121"/>
      <c r="U877" s="121"/>
      <c r="V877" s="121"/>
      <c r="W877" s="121"/>
      <c r="X877" s="121"/>
      <c r="Y877" s="121"/>
      <c r="Z877" s="121"/>
      <c r="AA877" s="121"/>
      <c r="AB877" s="121"/>
    </row>
    <row r="878">
      <c r="A878" s="131"/>
      <c r="B878" s="131"/>
      <c r="C878" s="131"/>
      <c r="D878" s="131"/>
      <c r="E878" s="131"/>
      <c r="F878" s="131"/>
      <c r="G878" s="131"/>
      <c r="H878" s="121"/>
      <c r="I878" s="121"/>
      <c r="J878" s="121"/>
      <c r="K878" s="121"/>
      <c r="L878" s="121"/>
      <c r="M878" s="121"/>
      <c r="N878" s="121"/>
      <c r="O878" s="121"/>
      <c r="P878" s="121"/>
      <c r="Q878" s="121"/>
      <c r="R878" s="121"/>
      <c r="S878" s="121"/>
      <c r="T878" s="121"/>
      <c r="U878" s="121"/>
      <c r="V878" s="121"/>
      <c r="W878" s="121"/>
      <c r="X878" s="121"/>
      <c r="Y878" s="121"/>
      <c r="Z878" s="121"/>
      <c r="AA878" s="121"/>
      <c r="AB878" s="121"/>
    </row>
    <row r="879">
      <c r="A879" s="131"/>
      <c r="B879" s="131"/>
      <c r="C879" s="131"/>
      <c r="D879" s="131"/>
      <c r="E879" s="131"/>
      <c r="F879" s="131"/>
      <c r="G879" s="131"/>
      <c r="H879" s="121"/>
      <c r="I879" s="121"/>
      <c r="J879" s="121"/>
      <c r="K879" s="121"/>
      <c r="L879" s="121"/>
      <c r="M879" s="121"/>
      <c r="N879" s="121"/>
      <c r="O879" s="121"/>
      <c r="P879" s="121"/>
      <c r="Q879" s="121"/>
      <c r="R879" s="121"/>
      <c r="S879" s="121"/>
      <c r="T879" s="121"/>
      <c r="U879" s="121"/>
      <c r="V879" s="121"/>
      <c r="W879" s="121"/>
      <c r="X879" s="121"/>
      <c r="Y879" s="121"/>
      <c r="Z879" s="121"/>
      <c r="AA879" s="121"/>
      <c r="AB879" s="121"/>
    </row>
    <row r="880">
      <c r="A880" s="131"/>
      <c r="B880" s="131"/>
      <c r="C880" s="131"/>
      <c r="D880" s="131"/>
      <c r="E880" s="131"/>
      <c r="F880" s="131"/>
      <c r="G880" s="131"/>
      <c r="H880" s="121"/>
      <c r="I880" s="121"/>
      <c r="J880" s="121"/>
      <c r="K880" s="121"/>
      <c r="L880" s="121"/>
      <c r="M880" s="121"/>
      <c r="N880" s="121"/>
      <c r="O880" s="121"/>
      <c r="P880" s="121"/>
      <c r="Q880" s="121"/>
      <c r="R880" s="121"/>
      <c r="S880" s="121"/>
      <c r="T880" s="121"/>
      <c r="U880" s="121"/>
      <c r="V880" s="121"/>
      <c r="W880" s="121"/>
      <c r="X880" s="121"/>
      <c r="Y880" s="121"/>
      <c r="Z880" s="121"/>
      <c r="AA880" s="121"/>
      <c r="AB880" s="121"/>
    </row>
    <row r="881">
      <c r="A881" s="131"/>
      <c r="B881" s="131"/>
      <c r="C881" s="131"/>
      <c r="D881" s="131"/>
      <c r="E881" s="131"/>
      <c r="F881" s="131"/>
      <c r="G881" s="131"/>
      <c r="H881" s="121"/>
      <c r="I881" s="121"/>
      <c r="J881" s="121"/>
      <c r="K881" s="121"/>
      <c r="L881" s="121"/>
      <c r="M881" s="121"/>
      <c r="N881" s="121"/>
      <c r="O881" s="121"/>
      <c r="P881" s="121"/>
      <c r="Q881" s="121"/>
      <c r="R881" s="121"/>
      <c r="S881" s="121"/>
      <c r="T881" s="121"/>
      <c r="U881" s="121"/>
      <c r="V881" s="121"/>
      <c r="W881" s="121"/>
      <c r="X881" s="121"/>
      <c r="Y881" s="121"/>
      <c r="Z881" s="121"/>
      <c r="AA881" s="121"/>
      <c r="AB881" s="121"/>
    </row>
    <row r="882">
      <c r="A882" s="131"/>
      <c r="B882" s="131"/>
      <c r="C882" s="131"/>
      <c r="D882" s="131"/>
      <c r="E882" s="131"/>
      <c r="F882" s="131"/>
      <c r="G882" s="131"/>
      <c r="H882" s="121"/>
      <c r="I882" s="121"/>
      <c r="J882" s="121"/>
      <c r="K882" s="121"/>
      <c r="L882" s="121"/>
      <c r="M882" s="121"/>
      <c r="N882" s="121"/>
      <c r="O882" s="121"/>
      <c r="P882" s="121"/>
      <c r="Q882" s="121"/>
      <c r="R882" s="121"/>
      <c r="S882" s="121"/>
      <c r="T882" s="121"/>
      <c r="U882" s="121"/>
      <c r="V882" s="121"/>
      <c r="W882" s="121"/>
      <c r="X882" s="121"/>
      <c r="Y882" s="121"/>
      <c r="Z882" s="121"/>
      <c r="AA882" s="121"/>
      <c r="AB882" s="121"/>
    </row>
    <row r="883">
      <c r="A883" s="131"/>
      <c r="B883" s="131"/>
      <c r="C883" s="131"/>
      <c r="D883" s="131"/>
      <c r="E883" s="131"/>
      <c r="F883" s="131"/>
      <c r="G883" s="131"/>
      <c r="H883" s="121"/>
      <c r="I883" s="121"/>
      <c r="J883" s="121"/>
      <c r="K883" s="121"/>
      <c r="L883" s="121"/>
      <c r="M883" s="121"/>
      <c r="N883" s="121"/>
      <c r="O883" s="121"/>
      <c r="P883" s="121"/>
      <c r="Q883" s="121"/>
      <c r="R883" s="121"/>
      <c r="S883" s="121"/>
      <c r="T883" s="121"/>
      <c r="U883" s="121"/>
      <c r="V883" s="121"/>
      <c r="W883" s="121"/>
      <c r="X883" s="121"/>
      <c r="Y883" s="121"/>
      <c r="Z883" s="121"/>
      <c r="AA883" s="121"/>
      <c r="AB883" s="121"/>
    </row>
    <row r="884">
      <c r="A884" s="131"/>
      <c r="B884" s="131"/>
      <c r="C884" s="131"/>
      <c r="D884" s="131"/>
      <c r="E884" s="131"/>
      <c r="F884" s="131"/>
      <c r="G884" s="131"/>
      <c r="H884" s="121"/>
      <c r="I884" s="121"/>
      <c r="J884" s="121"/>
      <c r="K884" s="121"/>
      <c r="L884" s="121"/>
      <c r="M884" s="121"/>
      <c r="N884" s="121"/>
      <c r="O884" s="121"/>
      <c r="P884" s="121"/>
      <c r="Q884" s="121"/>
      <c r="R884" s="121"/>
      <c r="S884" s="121"/>
      <c r="T884" s="121"/>
      <c r="U884" s="121"/>
      <c r="V884" s="121"/>
      <c r="W884" s="121"/>
      <c r="X884" s="121"/>
      <c r="Y884" s="121"/>
      <c r="Z884" s="121"/>
      <c r="AA884" s="121"/>
      <c r="AB884" s="121"/>
    </row>
    <row r="885">
      <c r="A885" s="131"/>
      <c r="B885" s="131"/>
      <c r="C885" s="131"/>
      <c r="D885" s="131"/>
      <c r="E885" s="131"/>
      <c r="F885" s="131"/>
      <c r="G885" s="131"/>
      <c r="H885" s="121"/>
      <c r="I885" s="121"/>
      <c r="J885" s="121"/>
      <c r="K885" s="121"/>
      <c r="L885" s="121"/>
      <c r="M885" s="121"/>
      <c r="N885" s="121"/>
      <c r="O885" s="121"/>
      <c r="P885" s="121"/>
      <c r="Q885" s="121"/>
      <c r="R885" s="121"/>
      <c r="S885" s="121"/>
      <c r="T885" s="121"/>
      <c r="U885" s="121"/>
      <c r="V885" s="121"/>
      <c r="W885" s="121"/>
      <c r="X885" s="121"/>
      <c r="Y885" s="121"/>
      <c r="Z885" s="121"/>
      <c r="AA885" s="121"/>
      <c r="AB885" s="121"/>
    </row>
    <row r="886">
      <c r="A886" s="131"/>
      <c r="B886" s="131"/>
      <c r="C886" s="131"/>
      <c r="D886" s="131"/>
      <c r="E886" s="131"/>
      <c r="F886" s="131"/>
      <c r="G886" s="131"/>
      <c r="H886" s="121"/>
      <c r="I886" s="121"/>
      <c r="J886" s="121"/>
      <c r="K886" s="121"/>
      <c r="L886" s="121"/>
      <c r="M886" s="121"/>
      <c r="N886" s="121"/>
      <c r="O886" s="121"/>
      <c r="P886" s="121"/>
      <c r="Q886" s="121"/>
      <c r="R886" s="121"/>
      <c r="S886" s="121"/>
      <c r="T886" s="121"/>
      <c r="U886" s="121"/>
      <c r="V886" s="121"/>
      <c r="W886" s="121"/>
      <c r="X886" s="121"/>
      <c r="Y886" s="121"/>
      <c r="Z886" s="121"/>
      <c r="AA886" s="121"/>
      <c r="AB886" s="121"/>
    </row>
    <row r="887">
      <c r="A887" s="131"/>
      <c r="B887" s="131"/>
      <c r="C887" s="131"/>
      <c r="D887" s="131"/>
      <c r="E887" s="131"/>
      <c r="F887" s="131"/>
      <c r="G887" s="131"/>
      <c r="H887" s="121"/>
      <c r="I887" s="121"/>
      <c r="J887" s="121"/>
      <c r="K887" s="121"/>
      <c r="L887" s="121"/>
      <c r="M887" s="121"/>
      <c r="N887" s="121"/>
      <c r="O887" s="121"/>
      <c r="P887" s="121"/>
      <c r="Q887" s="121"/>
      <c r="R887" s="121"/>
      <c r="S887" s="121"/>
      <c r="T887" s="121"/>
      <c r="U887" s="121"/>
      <c r="V887" s="121"/>
      <c r="W887" s="121"/>
      <c r="X887" s="121"/>
      <c r="Y887" s="121"/>
      <c r="Z887" s="121"/>
      <c r="AA887" s="121"/>
      <c r="AB887" s="121"/>
    </row>
    <row r="888">
      <c r="A888" s="131"/>
      <c r="B888" s="131"/>
      <c r="C888" s="131"/>
      <c r="D888" s="131"/>
      <c r="E888" s="131"/>
      <c r="F888" s="131"/>
      <c r="G888" s="131"/>
      <c r="H888" s="121"/>
      <c r="I888" s="121"/>
      <c r="J888" s="121"/>
      <c r="K888" s="121"/>
      <c r="L888" s="121"/>
      <c r="M888" s="121"/>
      <c r="N888" s="121"/>
      <c r="O888" s="121"/>
      <c r="P888" s="121"/>
      <c r="Q888" s="121"/>
      <c r="R888" s="121"/>
      <c r="S888" s="121"/>
      <c r="T888" s="121"/>
      <c r="U888" s="121"/>
      <c r="V888" s="121"/>
      <c r="W888" s="121"/>
      <c r="X888" s="121"/>
      <c r="Y888" s="121"/>
      <c r="Z888" s="121"/>
      <c r="AA888" s="121"/>
      <c r="AB888" s="121"/>
    </row>
  </sheetData>
  <autoFilter ref="$A$1:$I$118"/>
  <conditionalFormatting sqref="G1:G888 H1:I1">
    <cfRule type="cellIs" dxfId="3" priority="1" operator="equal">
      <formula>"EM ANDAMENTO"</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13"/>
    <col customWidth="1" min="5" max="5" width="18.75"/>
    <col customWidth="1" min="6" max="6" width="13.25"/>
  </cols>
  <sheetData>
    <row r="1">
      <c r="A1" s="132" t="s">
        <v>0</v>
      </c>
      <c r="B1" s="132" t="s">
        <v>2080</v>
      </c>
      <c r="C1" s="132" t="s">
        <v>2081</v>
      </c>
      <c r="D1" s="132" t="s">
        <v>2082</v>
      </c>
      <c r="E1" s="132" t="s">
        <v>2083</v>
      </c>
      <c r="F1" s="132" t="s">
        <v>2084</v>
      </c>
      <c r="G1" s="132" t="s">
        <v>2085</v>
      </c>
    </row>
    <row r="2">
      <c r="A2" s="133" t="s">
        <v>2086</v>
      </c>
      <c r="B2" s="133" t="b">
        <v>1</v>
      </c>
      <c r="C2" s="133" t="b">
        <v>1</v>
      </c>
      <c r="D2" s="133" t="b">
        <v>1</v>
      </c>
      <c r="F2" s="134"/>
      <c r="G2" s="135">
        <v>2024.0</v>
      </c>
    </row>
    <row r="3">
      <c r="A3" s="133" t="s">
        <v>2087</v>
      </c>
      <c r="B3" s="133" t="b">
        <v>1</v>
      </c>
      <c r="C3" s="133" t="b">
        <v>1</v>
      </c>
      <c r="D3" s="133" t="b">
        <v>1</v>
      </c>
      <c r="E3" s="133" t="s">
        <v>2088</v>
      </c>
      <c r="F3" s="136">
        <f>1527.32+1469.16</f>
        <v>2996.48</v>
      </c>
      <c r="G3" s="135">
        <v>2024.0</v>
      </c>
    </row>
    <row r="4">
      <c r="A4" s="133" t="s">
        <v>2089</v>
      </c>
      <c r="B4" s="133" t="b">
        <v>1</v>
      </c>
      <c r="C4" s="133" t="b">
        <v>1</v>
      </c>
      <c r="D4" s="133" t="b">
        <v>1</v>
      </c>
      <c r="E4" s="133" t="s">
        <v>2090</v>
      </c>
      <c r="F4" s="136">
        <f>341.63+449.76</f>
        <v>791.39</v>
      </c>
      <c r="G4" s="135">
        <v>2024.0</v>
      </c>
    </row>
    <row r="5">
      <c r="A5" s="133" t="s">
        <v>2091</v>
      </c>
      <c r="B5" s="133" t="b">
        <v>1</v>
      </c>
      <c r="C5" s="133" t="b">
        <v>1</v>
      </c>
      <c r="D5" s="133" t="b">
        <v>1</v>
      </c>
      <c r="E5" s="133" t="s">
        <v>2090</v>
      </c>
      <c r="G5" s="135">
        <v>2024.0</v>
      </c>
    </row>
    <row r="6">
      <c r="A6" s="133" t="s">
        <v>2092</v>
      </c>
      <c r="B6" s="133" t="b">
        <v>1</v>
      </c>
      <c r="C6" s="133" t="b">
        <v>1</v>
      </c>
      <c r="D6" s="133" t="b">
        <v>1</v>
      </c>
      <c r="E6" s="133" t="s">
        <v>2090</v>
      </c>
      <c r="G6" s="135">
        <v>2024.0</v>
      </c>
    </row>
    <row r="7">
      <c r="A7" s="133" t="s">
        <v>2093</v>
      </c>
      <c r="B7" s="133" t="b">
        <v>1</v>
      </c>
      <c r="C7" s="133" t="b">
        <v>1</v>
      </c>
      <c r="D7" s="133" t="b">
        <v>1</v>
      </c>
      <c r="E7" s="133" t="s">
        <v>2090</v>
      </c>
      <c r="G7" s="135">
        <v>2024.0</v>
      </c>
    </row>
    <row r="8">
      <c r="A8" s="133" t="s">
        <v>2094</v>
      </c>
      <c r="B8" s="133" t="b">
        <v>1</v>
      </c>
      <c r="C8" s="133" t="b">
        <v>1</v>
      </c>
      <c r="D8" s="133" t="b">
        <v>1</v>
      </c>
      <c r="E8" s="133" t="s">
        <v>2090</v>
      </c>
      <c r="G8" s="135">
        <v>2024.0</v>
      </c>
    </row>
    <row r="9">
      <c r="A9" s="133" t="s">
        <v>2095</v>
      </c>
      <c r="B9" s="133" t="b">
        <v>1</v>
      </c>
      <c r="C9" s="133" t="b">
        <v>1</v>
      </c>
      <c r="D9" s="133" t="b">
        <v>1</v>
      </c>
      <c r="E9" s="133" t="s">
        <v>2096</v>
      </c>
      <c r="F9" s="136">
        <f>418.65</f>
        <v>418.65</v>
      </c>
      <c r="G9" s="135">
        <v>2024.0</v>
      </c>
    </row>
    <row r="10">
      <c r="A10" s="133" t="s">
        <v>2097</v>
      </c>
      <c r="B10" s="133" t="b">
        <v>1</v>
      </c>
      <c r="C10" s="133" t="b">
        <v>1</v>
      </c>
      <c r="D10" s="133" t="b">
        <v>1</v>
      </c>
      <c r="E10" s="133" t="s">
        <v>2098</v>
      </c>
      <c r="F10" s="137"/>
      <c r="G10" s="135">
        <v>2025.0</v>
      </c>
    </row>
    <row r="11">
      <c r="A11" s="138" t="s">
        <v>2099</v>
      </c>
      <c r="B11" s="133" t="b">
        <v>1</v>
      </c>
      <c r="C11" s="133" t="b">
        <v>0</v>
      </c>
      <c r="D11" s="133" t="b">
        <v>0</v>
      </c>
      <c r="F11" s="137"/>
      <c r="G11" s="135">
        <v>2025.0</v>
      </c>
    </row>
  </sheetData>
  <mergeCells count="1">
    <mergeCell ref="F4: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3" max="3" width="44.13"/>
    <col customWidth="1" min="4" max="4" width="23.5"/>
    <col customWidth="1" min="5" max="6" width="19.5"/>
    <col customWidth="1" min="7" max="7" width="21.0"/>
    <col customWidth="1" min="8" max="8" width="19.88"/>
    <col customWidth="1" min="9" max="9" width="17.5"/>
  </cols>
  <sheetData>
    <row r="1">
      <c r="A1" s="139" t="s">
        <v>1838</v>
      </c>
      <c r="B1" s="139" t="s">
        <v>0</v>
      </c>
      <c r="C1" s="140" t="s">
        <v>213</v>
      </c>
      <c r="D1" s="141" t="s">
        <v>2100</v>
      </c>
      <c r="E1" s="141" t="s">
        <v>2101</v>
      </c>
      <c r="F1" s="141" t="s">
        <v>2102</v>
      </c>
      <c r="G1" s="141" t="s">
        <v>2103</v>
      </c>
      <c r="H1" s="141" t="s">
        <v>2104</v>
      </c>
      <c r="I1" s="141" t="s">
        <v>208</v>
      </c>
    </row>
    <row r="2">
      <c r="A2" s="142" t="s">
        <v>1534</v>
      </c>
      <c r="B2" s="143" t="s">
        <v>1537</v>
      </c>
      <c r="C2" s="144" t="s">
        <v>1538</v>
      </c>
      <c r="D2" s="135">
        <v>309.0</v>
      </c>
      <c r="E2" s="135" t="s">
        <v>61</v>
      </c>
      <c r="F2" s="135" t="s">
        <v>61</v>
      </c>
      <c r="G2" s="145">
        <v>45869.0</v>
      </c>
      <c r="H2" s="146">
        <v>7.909692109936E12</v>
      </c>
      <c r="I2" s="135" t="s">
        <v>1528</v>
      </c>
    </row>
    <row r="3">
      <c r="A3" s="142" t="s">
        <v>1534</v>
      </c>
      <c r="B3" s="143" t="s">
        <v>1529</v>
      </c>
      <c r="C3" s="144" t="s">
        <v>1531</v>
      </c>
      <c r="D3" s="135">
        <v>2.0</v>
      </c>
      <c r="E3" s="135" t="s">
        <v>61</v>
      </c>
      <c r="F3" s="135" t="s">
        <v>61</v>
      </c>
      <c r="G3" s="145">
        <v>45869.0</v>
      </c>
      <c r="H3" s="146">
        <v>7.909692109943E12</v>
      </c>
      <c r="I3" s="135" t="s">
        <v>1528</v>
      </c>
    </row>
    <row r="4">
      <c r="A4" s="142" t="s">
        <v>877</v>
      </c>
      <c r="B4" s="143" t="s">
        <v>872</v>
      </c>
      <c r="C4" s="133" t="s">
        <v>874</v>
      </c>
      <c r="D4" s="135">
        <v>2.0</v>
      </c>
      <c r="E4" s="145">
        <v>45350.0</v>
      </c>
      <c r="F4" s="147">
        <f t="shared" ref="F4:F42" si="1">G4-60</f>
        <v>45425</v>
      </c>
      <c r="G4" s="145">
        <v>45485.0</v>
      </c>
      <c r="H4" s="146">
        <v>7.898458230185E12</v>
      </c>
      <c r="I4" s="135" t="s">
        <v>231</v>
      </c>
    </row>
    <row r="5">
      <c r="A5" s="142" t="s">
        <v>877</v>
      </c>
      <c r="B5" s="143" t="s">
        <v>880</v>
      </c>
      <c r="C5" s="133" t="s">
        <v>881</v>
      </c>
      <c r="D5" s="135">
        <v>69.0</v>
      </c>
      <c r="E5" s="145">
        <v>45350.0</v>
      </c>
      <c r="F5" s="147">
        <f t="shared" si="1"/>
        <v>45425</v>
      </c>
      <c r="G5" s="145">
        <v>45485.0</v>
      </c>
      <c r="H5" s="146">
        <v>7.898458230178E12</v>
      </c>
      <c r="I5" s="135" t="s">
        <v>231</v>
      </c>
    </row>
    <row r="6">
      <c r="A6" s="142" t="s">
        <v>877</v>
      </c>
      <c r="B6" s="143" t="s">
        <v>885</v>
      </c>
      <c r="C6" s="133" t="s">
        <v>886</v>
      </c>
      <c r="D6" s="135">
        <v>157.0</v>
      </c>
      <c r="E6" s="145">
        <v>45350.0</v>
      </c>
      <c r="F6" s="147">
        <f t="shared" si="1"/>
        <v>45425</v>
      </c>
      <c r="G6" s="145">
        <v>45485.0</v>
      </c>
      <c r="H6" s="146">
        <v>7.898458230161E12</v>
      </c>
      <c r="I6" s="135" t="s">
        <v>231</v>
      </c>
    </row>
    <row r="7">
      <c r="A7" s="142" t="s">
        <v>974</v>
      </c>
      <c r="B7" s="143" t="s">
        <v>968</v>
      </c>
      <c r="C7" s="133" t="s">
        <v>2105</v>
      </c>
      <c r="D7" s="135">
        <v>864.0</v>
      </c>
      <c r="E7" s="145">
        <v>45350.0</v>
      </c>
      <c r="F7" s="147">
        <f t="shared" si="1"/>
        <v>45623</v>
      </c>
      <c r="G7" s="145">
        <v>45683.0</v>
      </c>
      <c r="H7" s="146">
        <v>7.898458236156E12</v>
      </c>
      <c r="I7" s="135" t="s">
        <v>231</v>
      </c>
    </row>
    <row r="8">
      <c r="A8" s="142" t="s">
        <v>974</v>
      </c>
      <c r="B8" s="143" t="s">
        <v>1003</v>
      </c>
      <c r="C8" s="133" t="s">
        <v>2106</v>
      </c>
      <c r="D8" s="135">
        <v>5.0</v>
      </c>
      <c r="E8" s="145">
        <v>45350.0</v>
      </c>
      <c r="F8" s="147">
        <f t="shared" si="1"/>
        <v>45623</v>
      </c>
      <c r="G8" s="145">
        <v>45683.0</v>
      </c>
      <c r="H8" s="146">
        <v>7.898458236149E12</v>
      </c>
      <c r="I8" s="135" t="s">
        <v>231</v>
      </c>
    </row>
    <row r="9">
      <c r="A9" s="142" t="s">
        <v>599</v>
      </c>
      <c r="B9" s="143" t="s">
        <v>593</v>
      </c>
      <c r="C9" s="133" t="s">
        <v>596</v>
      </c>
      <c r="D9" s="135">
        <v>16.0</v>
      </c>
      <c r="E9" s="145">
        <v>45726.0</v>
      </c>
      <c r="F9" s="147">
        <f t="shared" si="1"/>
        <v>45769</v>
      </c>
      <c r="G9" s="148">
        <v>45829.0</v>
      </c>
      <c r="H9" s="146"/>
      <c r="I9" s="135" t="s">
        <v>231</v>
      </c>
    </row>
    <row r="10">
      <c r="A10" s="142" t="s">
        <v>623</v>
      </c>
      <c r="B10" s="143" t="s">
        <v>620</v>
      </c>
      <c r="C10" s="133" t="s">
        <v>621</v>
      </c>
      <c r="D10" s="135">
        <v>139.0</v>
      </c>
      <c r="E10" s="145">
        <v>45726.0</v>
      </c>
      <c r="F10" s="147">
        <f t="shared" si="1"/>
        <v>45769</v>
      </c>
      <c r="G10" s="148">
        <v>45829.0</v>
      </c>
      <c r="H10" s="146"/>
      <c r="I10" s="135" t="s">
        <v>231</v>
      </c>
    </row>
    <row r="11">
      <c r="A11" s="142" t="s">
        <v>531</v>
      </c>
      <c r="B11" s="143" t="s">
        <v>526</v>
      </c>
      <c r="C11" s="133" t="s">
        <v>528</v>
      </c>
      <c r="D11" s="135">
        <v>0.0</v>
      </c>
      <c r="E11" s="148">
        <v>45782.0</v>
      </c>
      <c r="F11" s="147">
        <f t="shared" si="1"/>
        <v>45792</v>
      </c>
      <c r="G11" s="145">
        <v>45852.0</v>
      </c>
      <c r="H11" s="146">
        <v>7.89845821723E12</v>
      </c>
      <c r="I11" s="135" t="s">
        <v>231</v>
      </c>
    </row>
    <row r="12">
      <c r="A12" s="142" t="s">
        <v>611</v>
      </c>
      <c r="B12" s="143" t="s">
        <v>605</v>
      </c>
      <c r="C12" s="133" t="s">
        <v>608</v>
      </c>
      <c r="D12" s="135">
        <v>1356.0</v>
      </c>
      <c r="E12" s="148">
        <v>45782.0</v>
      </c>
      <c r="F12" s="147">
        <f t="shared" si="1"/>
        <v>45792</v>
      </c>
      <c r="G12" s="145">
        <v>45852.0</v>
      </c>
      <c r="H12" s="146">
        <v>7.898458222807E12</v>
      </c>
      <c r="I12" s="135" t="s">
        <v>231</v>
      </c>
    </row>
    <row r="13">
      <c r="A13" s="142" t="s">
        <v>611</v>
      </c>
      <c r="B13" s="143" t="s">
        <v>617</v>
      </c>
      <c r="C13" s="133" t="s">
        <v>618</v>
      </c>
      <c r="D13" s="135">
        <v>1995.0</v>
      </c>
      <c r="E13" s="148">
        <v>45782.0</v>
      </c>
      <c r="F13" s="147">
        <f t="shared" si="1"/>
        <v>45792</v>
      </c>
      <c r="G13" s="145">
        <v>45852.0</v>
      </c>
      <c r="H13" s="146">
        <v>7.898458222371E12</v>
      </c>
      <c r="I13" s="135" t="s">
        <v>231</v>
      </c>
    </row>
    <row r="14">
      <c r="A14" s="142" t="s">
        <v>1082</v>
      </c>
      <c r="B14" s="143" t="s">
        <v>1078</v>
      </c>
      <c r="C14" s="133" t="s">
        <v>1079</v>
      </c>
      <c r="D14" s="135">
        <v>150.0</v>
      </c>
      <c r="E14" s="148">
        <v>45799.0</v>
      </c>
      <c r="F14" s="147">
        <f t="shared" si="1"/>
        <v>45833</v>
      </c>
      <c r="G14" s="145">
        <v>45893.0</v>
      </c>
      <c r="H14" s="146">
        <v>7.898458239706E12</v>
      </c>
      <c r="I14" s="135" t="s">
        <v>231</v>
      </c>
    </row>
    <row r="15">
      <c r="A15" s="142" t="s">
        <v>1115</v>
      </c>
      <c r="B15" s="143" t="s">
        <v>1110</v>
      </c>
      <c r="C15" s="133" t="s">
        <v>1112</v>
      </c>
      <c r="D15" s="135">
        <v>0.0</v>
      </c>
      <c r="E15" s="148">
        <v>45811.0</v>
      </c>
      <c r="F15" s="147">
        <f t="shared" si="1"/>
        <v>45854</v>
      </c>
      <c r="G15" s="145">
        <v>45914.0</v>
      </c>
      <c r="H15" s="146">
        <v>7.898458239614E12</v>
      </c>
      <c r="I15" s="135" t="s">
        <v>231</v>
      </c>
    </row>
    <row r="16">
      <c r="A16" s="142" t="s">
        <v>1115</v>
      </c>
      <c r="B16" s="143" t="s">
        <v>1118</v>
      </c>
      <c r="C16" s="133" t="s">
        <v>1119</v>
      </c>
      <c r="D16" s="135">
        <v>0.0</v>
      </c>
      <c r="E16" s="148">
        <v>45811.0</v>
      </c>
      <c r="F16" s="147">
        <f t="shared" si="1"/>
        <v>45854</v>
      </c>
      <c r="G16" s="145">
        <v>45914.0</v>
      </c>
      <c r="H16" s="146">
        <v>7.89845823969E12</v>
      </c>
      <c r="I16" s="135" t="s">
        <v>231</v>
      </c>
    </row>
    <row r="17">
      <c r="A17" s="142" t="s">
        <v>1115</v>
      </c>
      <c r="B17" s="143" t="s">
        <v>1122</v>
      </c>
      <c r="C17" s="133" t="s">
        <v>1123</v>
      </c>
      <c r="D17" s="135">
        <v>9.0</v>
      </c>
      <c r="E17" s="148">
        <v>45811.0</v>
      </c>
      <c r="F17" s="147">
        <f t="shared" si="1"/>
        <v>45854</v>
      </c>
      <c r="G17" s="145">
        <v>45914.0</v>
      </c>
      <c r="H17" s="146">
        <v>7.898458239683E12</v>
      </c>
      <c r="I17" s="135" t="s">
        <v>231</v>
      </c>
    </row>
    <row r="18">
      <c r="A18" s="142" t="s">
        <v>1115</v>
      </c>
      <c r="B18" s="143" t="s">
        <v>1126</v>
      </c>
      <c r="C18" s="133" t="s">
        <v>1127</v>
      </c>
      <c r="D18" s="135">
        <v>0.0</v>
      </c>
      <c r="E18" s="148">
        <v>45811.0</v>
      </c>
      <c r="F18" s="147">
        <f t="shared" si="1"/>
        <v>45854</v>
      </c>
      <c r="G18" s="145">
        <v>45914.0</v>
      </c>
      <c r="H18" s="146">
        <v>7.898458239584E12</v>
      </c>
      <c r="I18" s="135" t="s">
        <v>231</v>
      </c>
    </row>
    <row r="19">
      <c r="A19" s="142" t="s">
        <v>1115</v>
      </c>
      <c r="B19" s="143" t="s">
        <v>1130</v>
      </c>
      <c r="C19" s="133" t="s">
        <v>1131</v>
      </c>
      <c r="D19" s="135">
        <v>9.0</v>
      </c>
      <c r="E19" s="148">
        <v>45811.0</v>
      </c>
      <c r="F19" s="147">
        <f t="shared" si="1"/>
        <v>45854</v>
      </c>
      <c r="G19" s="145">
        <v>45914.0</v>
      </c>
      <c r="H19" s="146">
        <v>7.898458239638E12</v>
      </c>
      <c r="I19" s="135" t="s">
        <v>231</v>
      </c>
    </row>
    <row r="20">
      <c r="A20" s="142" t="s">
        <v>1115</v>
      </c>
      <c r="B20" s="143" t="s">
        <v>1134</v>
      </c>
      <c r="C20" s="133" t="s">
        <v>1135</v>
      </c>
      <c r="D20" s="135">
        <v>2.0</v>
      </c>
      <c r="E20" s="148">
        <v>45811.0</v>
      </c>
      <c r="F20" s="147">
        <f t="shared" si="1"/>
        <v>45854</v>
      </c>
      <c r="G20" s="145">
        <v>45914.0</v>
      </c>
      <c r="H20" s="146">
        <v>7.898458239676E12</v>
      </c>
      <c r="I20" s="135" t="s">
        <v>231</v>
      </c>
    </row>
    <row r="21">
      <c r="A21" s="142" t="s">
        <v>1115</v>
      </c>
      <c r="B21" s="143" t="s">
        <v>1138</v>
      </c>
      <c r="C21" s="133" t="s">
        <v>1139</v>
      </c>
      <c r="D21" s="135">
        <v>2.0</v>
      </c>
      <c r="E21" s="148">
        <v>45811.0</v>
      </c>
      <c r="F21" s="147">
        <f t="shared" si="1"/>
        <v>45854</v>
      </c>
      <c r="G21" s="145">
        <v>45914.0</v>
      </c>
      <c r="H21" s="146">
        <v>7.898458239645E12</v>
      </c>
      <c r="I21" s="135" t="s">
        <v>231</v>
      </c>
    </row>
    <row r="22">
      <c r="A22" s="142" t="s">
        <v>1569</v>
      </c>
      <c r="B22" s="143" t="s">
        <v>1564</v>
      </c>
      <c r="C22" s="133" t="s">
        <v>2107</v>
      </c>
      <c r="D22" s="135">
        <v>519.0</v>
      </c>
      <c r="E22" s="145">
        <v>45267.0</v>
      </c>
      <c r="F22" s="147">
        <f t="shared" si="1"/>
        <v>45938</v>
      </c>
      <c r="G22" s="145">
        <v>45998.0</v>
      </c>
      <c r="H22" s="146">
        <v>7.909692082536E12</v>
      </c>
      <c r="I22" s="135" t="s">
        <v>1528</v>
      </c>
    </row>
    <row r="23">
      <c r="A23" s="142" t="s">
        <v>2108</v>
      </c>
      <c r="B23" s="149" t="s">
        <v>2109</v>
      </c>
      <c r="C23" s="133" t="s">
        <v>2110</v>
      </c>
      <c r="D23" s="135">
        <v>63.0</v>
      </c>
      <c r="E23" s="145">
        <v>45309.0</v>
      </c>
      <c r="F23" s="147">
        <f t="shared" si="1"/>
        <v>45938</v>
      </c>
      <c r="G23" s="145">
        <v>45998.0</v>
      </c>
      <c r="H23" s="146">
        <v>7.909692009472E12</v>
      </c>
      <c r="I23" s="135" t="s">
        <v>1528</v>
      </c>
    </row>
    <row r="24">
      <c r="A24" s="142" t="s">
        <v>2108</v>
      </c>
      <c r="B24" s="149" t="s">
        <v>2111</v>
      </c>
      <c r="C24" s="133" t="s">
        <v>2110</v>
      </c>
      <c r="D24" s="135">
        <v>80.0</v>
      </c>
      <c r="E24" s="145">
        <v>45309.0</v>
      </c>
      <c r="F24" s="147">
        <f t="shared" si="1"/>
        <v>45938</v>
      </c>
      <c r="G24" s="145">
        <v>45998.0</v>
      </c>
      <c r="H24" s="146">
        <v>7.909692009496E12</v>
      </c>
      <c r="I24" s="135" t="s">
        <v>1528</v>
      </c>
    </row>
    <row r="25">
      <c r="A25" s="142" t="s">
        <v>2108</v>
      </c>
      <c r="B25" s="149" t="s">
        <v>2112</v>
      </c>
      <c r="C25" s="133" t="s">
        <v>2113</v>
      </c>
      <c r="D25" s="135">
        <v>47.0</v>
      </c>
      <c r="E25" s="145">
        <v>45309.0</v>
      </c>
      <c r="F25" s="147">
        <f t="shared" si="1"/>
        <v>45938</v>
      </c>
      <c r="G25" s="145">
        <v>45998.0</v>
      </c>
      <c r="H25" s="146">
        <v>7.909692009465E12</v>
      </c>
      <c r="I25" s="135" t="s">
        <v>1528</v>
      </c>
    </row>
    <row r="26">
      <c r="A26" s="142" t="s">
        <v>2108</v>
      </c>
      <c r="B26" s="149" t="s">
        <v>2114</v>
      </c>
      <c r="C26" s="133" t="s">
        <v>2115</v>
      </c>
      <c r="D26" s="135">
        <v>0.0</v>
      </c>
      <c r="E26" s="145">
        <v>45309.0</v>
      </c>
      <c r="F26" s="147">
        <f t="shared" si="1"/>
        <v>45938</v>
      </c>
      <c r="G26" s="145">
        <v>45998.0</v>
      </c>
      <c r="H26" s="146">
        <v>7.909692050733E12</v>
      </c>
      <c r="I26" s="135" t="s">
        <v>1528</v>
      </c>
    </row>
    <row r="27">
      <c r="A27" s="142" t="s">
        <v>2108</v>
      </c>
      <c r="B27" s="149" t="s">
        <v>2116</v>
      </c>
      <c r="C27" s="133" t="s">
        <v>2117</v>
      </c>
      <c r="D27" s="135">
        <v>98.0</v>
      </c>
      <c r="E27" s="145">
        <v>45309.0</v>
      </c>
      <c r="F27" s="147">
        <f t="shared" si="1"/>
        <v>45938</v>
      </c>
      <c r="G27" s="145">
        <v>45998.0</v>
      </c>
      <c r="H27" s="146" t="s">
        <v>2118</v>
      </c>
      <c r="I27" s="135" t="s">
        <v>1528</v>
      </c>
    </row>
    <row r="28">
      <c r="A28" s="142" t="s">
        <v>2119</v>
      </c>
      <c r="B28" s="149" t="s">
        <v>2120</v>
      </c>
      <c r="C28" s="133" t="s">
        <v>2121</v>
      </c>
      <c r="D28" s="135">
        <v>0.0</v>
      </c>
      <c r="E28" s="145">
        <v>45309.0</v>
      </c>
      <c r="F28" s="147">
        <f t="shared" si="1"/>
        <v>45938</v>
      </c>
      <c r="G28" s="145">
        <v>45998.0</v>
      </c>
      <c r="H28" s="135">
        <v>7.891276525242E12</v>
      </c>
      <c r="I28" s="135" t="s">
        <v>1528</v>
      </c>
    </row>
    <row r="29">
      <c r="A29" s="142" t="s">
        <v>2119</v>
      </c>
      <c r="B29" s="149" t="s">
        <v>2122</v>
      </c>
      <c r="C29" s="133" t="s">
        <v>2123</v>
      </c>
      <c r="D29" s="135">
        <v>0.0</v>
      </c>
      <c r="E29" s="145">
        <v>45309.0</v>
      </c>
      <c r="F29" s="147">
        <f t="shared" si="1"/>
        <v>45938</v>
      </c>
      <c r="G29" s="145">
        <v>45998.0</v>
      </c>
      <c r="H29" s="135">
        <v>7.891276525235E12</v>
      </c>
      <c r="I29" s="135" t="s">
        <v>1528</v>
      </c>
    </row>
    <row r="30">
      <c r="A30" s="142" t="s">
        <v>2119</v>
      </c>
      <c r="B30" s="143" t="s">
        <v>2124</v>
      </c>
      <c r="C30" s="133" t="s">
        <v>2125</v>
      </c>
      <c r="D30" s="135">
        <v>0.0</v>
      </c>
      <c r="E30" s="145">
        <v>45309.0</v>
      </c>
      <c r="F30" s="147">
        <f t="shared" si="1"/>
        <v>45938</v>
      </c>
      <c r="G30" s="145">
        <v>45998.0</v>
      </c>
      <c r="H30" s="146">
        <v>7.891276538037E12</v>
      </c>
      <c r="I30" s="135" t="s">
        <v>1528</v>
      </c>
    </row>
    <row r="31">
      <c r="A31" s="142" t="s">
        <v>2119</v>
      </c>
      <c r="B31" s="143" t="s">
        <v>2126</v>
      </c>
      <c r="C31" s="133" t="s">
        <v>2127</v>
      </c>
      <c r="D31" s="135">
        <v>0.0</v>
      </c>
      <c r="E31" s="145">
        <v>45309.0</v>
      </c>
      <c r="F31" s="147">
        <f t="shared" si="1"/>
        <v>45938</v>
      </c>
      <c r="G31" s="145">
        <v>45998.0</v>
      </c>
      <c r="H31" s="146">
        <v>7.89127653802E12</v>
      </c>
      <c r="I31" s="135" t="s">
        <v>1528</v>
      </c>
    </row>
    <row r="32">
      <c r="A32" s="142" t="s">
        <v>2119</v>
      </c>
      <c r="B32" s="149" t="s">
        <v>2128</v>
      </c>
      <c r="C32" s="133" t="s">
        <v>2129</v>
      </c>
      <c r="D32" s="135">
        <v>0.0</v>
      </c>
      <c r="E32" s="145">
        <v>45309.0</v>
      </c>
      <c r="F32" s="147">
        <f t="shared" si="1"/>
        <v>45938</v>
      </c>
      <c r="G32" s="145">
        <v>45998.0</v>
      </c>
      <c r="H32" s="146">
        <v>7.909692009557E12</v>
      </c>
      <c r="I32" s="135" t="s">
        <v>1528</v>
      </c>
    </row>
    <row r="33">
      <c r="A33" s="142" t="s">
        <v>2119</v>
      </c>
      <c r="B33" s="149" t="s">
        <v>2130</v>
      </c>
      <c r="C33" s="133" t="s">
        <v>2129</v>
      </c>
      <c r="D33" s="135">
        <v>0.0</v>
      </c>
      <c r="E33" s="145">
        <v>45309.0</v>
      </c>
      <c r="F33" s="147">
        <f t="shared" si="1"/>
        <v>45938</v>
      </c>
      <c r="G33" s="145">
        <v>45998.0</v>
      </c>
      <c r="H33" s="146">
        <v>7.90969200954E12</v>
      </c>
      <c r="I33" s="135" t="s">
        <v>1528</v>
      </c>
    </row>
    <row r="34">
      <c r="A34" s="142" t="s">
        <v>2119</v>
      </c>
      <c r="B34" s="149" t="s">
        <v>2131</v>
      </c>
      <c r="C34" s="133" t="s">
        <v>2132</v>
      </c>
      <c r="D34" s="135">
        <v>2.0</v>
      </c>
      <c r="E34" s="145">
        <v>45309.0</v>
      </c>
      <c r="F34" s="147">
        <f t="shared" si="1"/>
        <v>45938</v>
      </c>
      <c r="G34" s="145">
        <v>45998.0</v>
      </c>
      <c r="H34" s="146">
        <v>7.909692052577E12</v>
      </c>
      <c r="I34" s="135" t="s">
        <v>1528</v>
      </c>
    </row>
    <row r="35">
      <c r="A35" s="142" t="s">
        <v>2133</v>
      </c>
      <c r="B35" s="149" t="s">
        <v>2134</v>
      </c>
      <c r="C35" s="133" t="s">
        <v>2135</v>
      </c>
      <c r="D35" s="135">
        <v>0.0</v>
      </c>
      <c r="E35" s="145">
        <v>45309.0</v>
      </c>
      <c r="F35" s="147">
        <f t="shared" si="1"/>
        <v>45938</v>
      </c>
      <c r="G35" s="145">
        <v>45998.0</v>
      </c>
      <c r="H35" s="146">
        <v>7.89127652391E12</v>
      </c>
      <c r="I35" s="135" t="s">
        <v>1528</v>
      </c>
    </row>
    <row r="36">
      <c r="A36" s="142" t="s">
        <v>2133</v>
      </c>
      <c r="B36" s="149" t="s">
        <v>2136</v>
      </c>
      <c r="C36" s="133" t="s">
        <v>2137</v>
      </c>
      <c r="D36" s="135">
        <v>0.0</v>
      </c>
      <c r="E36" s="145">
        <v>45309.0</v>
      </c>
      <c r="F36" s="147">
        <f t="shared" si="1"/>
        <v>45938</v>
      </c>
      <c r="G36" s="145">
        <v>45998.0</v>
      </c>
      <c r="H36" s="146">
        <v>7.891276523897E12</v>
      </c>
      <c r="I36" s="135" t="s">
        <v>1528</v>
      </c>
    </row>
    <row r="37">
      <c r="A37" s="142" t="s">
        <v>2133</v>
      </c>
      <c r="B37" s="149" t="s">
        <v>2138</v>
      </c>
      <c r="C37" s="133" t="s">
        <v>2139</v>
      </c>
      <c r="D37" s="135">
        <v>0.0</v>
      </c>
      <c r="E37" s="145">
        <v>45309.0</v>
      </c>
      <c r="F37" s="147">
        <f t="shared" si="1"/>
        <v>45938</v>
      </c>
      <c r="G37" s="145">
        <v>45998.0</v>
      </c>
      <c r="H37" s="146">
        <v>7.891276523903E12</v>
      </c>
      <c r="I37" s="135" t="s">
        <v>1528</v>
      </c>
    </row>
    <row r="38">
      <c r="A38" s="142" t="s">
        <v>2133</v>
      </c>
      <c r="B38" s="149" t="s">
        <v>2140</v>
      </c>
      <c r="C38" s="133" t="s">
        <v>2141</v>
      </c>
      <c r="D38" s="135">
        <v>0.0</v>
      </c>
      <c r="E38" s="145">
        <v>45309.0</v>
      </c>
      <c r="F38" s="147">
        <f t="shared" si="1"/>
        <v>45938</v>
      </c>
      <c r="G38" s="145">
        <v>45998.0</v>
      </c>
      <c r="H38" s="146">
        <v>7.891276524962E12</v>
      </c>
      <c r="I38" s="135" t="s">
        <v>1528</v>
      </c>
    </row>
    <row r="39">
      <c r="A39" s="142" t="s">
        <v>2133</v>
      </c>
      <c r="B39" s="149" t="s">
        <v>2142</v>
      </c>
      <c r="C39" s="133" t="s">
        <v>2137</v>
      </c>
      <c r="D39" s="135">
        <v>4.0</v>
      </c>
      <c r="E39" s="145">
        <v>45309.0</v>
      </c>
      <c r="F39" s="147">
        <f t="shared" si="1"/>
        <v>45938</v>
      </c>
      <c r="G39" s="145">
        <v>45998.0</v>
      </c>
      <c r="H39" s="135">
        <v>7.909692009441E12</v>
      </c>
      <c r="I39" s="135" t="s">
        <v>1528</v>
      </c>
    </row>
    <row r="40">
      <c r="A40" s="142" t="s">
        <v>2133</v>
      </c>
      <c r="B40" s="149" t="s">
        <v>2143</v>
      </c>
      <c r="C40" s="133" t="s">
        <v>2144</v>
      </c>
      <c r="D40" s="135">
        <v>17.0</v>
      </c>
      <c r="E40" s="145">
        <v>45309.0</v>
      </c>
      <c r="F40" s="147">
        <f t="shared" si="1"/>
        <v>45938</v>
      </c>
      <c r="G40" s="145">
        <v>45998.0</v>
      </c>
      <c r="H40" s="146">
        <v>7.909692009458E12</v>
      </c>
      <c r="I40" s="135" t="s">
        <v>1528</v>
      </c>
    </row>
    <row r="41">
      <c r="A41" s="142" t="s">
        <v>2133</v>
      </c>
      <c r="B41" s="150" t="s">
        <v>2145</v>
      </c>
      <c r="C41" s="133" t="s">
        <v>2146</v>
      </c>
      <c r="D41" s="135">
        <v>23.0</v>
      </c>
      <c r="E41" s="145">
        <v>45309.0</v>
      </c>
      <c r="F41" s="147">
        <f t="shared" si="1"/>
        <v>45938</v>
      </c>
      <c r="G41" s="145">
        <v>45998.0</v>
      </c>
      <c r="H41" s="146">
        <v>7.909692009502E12</v>
      </c>
      <c r="I41" s="135" t="s">
        <v>1528</v>
      </c>
    </row>
    <row r="42">
      <c r="A42" s="142" t="s">
        <v>2133</v>
      </c>
      <c r="B42" s="149" t="s">
        <v>2147</v>
      </c>
      <c r="C42" s="133" t="s">
        <v>2148</v>
      </c>
      <c r="D42" s="135">
        <v>2.0</v>
      </c>
      <c r="E42" s="145">
        <v>45309.0</v>
      </c>
      <c r="F42" s="147">
        <f t="shared" si="1"/>
        <v>45938</v>
      </c>
      <c r="G42" s="145">
        <v>45998.0</v>
      </c>
      <c r="H42" s="146">
        <v>7.909692050757E12</v>
      </c>
      <c r="I42" s="135" t="s">
        <v>1528</v>
      </c>
    </row>
    <row r="43">
      <c r="A43" s="142" t="s">
        <v>676</v>
      </c>
      <c r="B43" s="143" t="s">
        <v>671</v>
      </c>
      <c r="C43" s="133" t="s">
        <v>673</v>
      </c>
      <c r="D43" s="135">
        <v>97.0</v>
      </c>
      <c r="E43" s="148">
        <v>45911.0</v>
      </c>
      <c r="F43" s="148">
        <v>45976.0</v>
      </c>
      <c r="G43" s="148">
        <v>45991.0</v>
      </c>
      <c r="H43" s="146">
        <v>7.898458225129E12</v>
      </c>
      <c r="I43" s="135" t="s">
        <v>231</v>
      </c>
    </row>
    <row r="44">
      <c r="A44" s="142" t="s">
        <v>1581</v>
      </c>
      <c r="B44" s="143" t="s">
        <v>1561</v>
      </c>
      <c r="C44" s="133" t="s">
        <v>1579</v>
      </c>
      <c r="D44" s="135">
        <v>4463.0</v>
      </c>
      <c r="E44" s="145">
        <v>45387.0</v>
      </c>
      <c r="F44" s="151">
        <f t="shared" ref="F44:F218" si="2">G44-60</f>
        <v>46056</v>
      </c>
      <c r="G44" s="145">
        <v>46116.0</v>
      </c>
      <c r="H44" s="146">
        <v>7.909692139056E12</v>
      </c>
      <c r="I44" s="135" t="s">
        <v>1528</v>
      </c>
    </row>
    <row r="45">
      <c r="A45" s="142" t="s">
        <v>1581</v>
      </c>
      <c r="B45" s="143" t="s">
        <v>1555</v>
      </c>
      <c r="C45" s="133" t="s">
        <v>1583</v>
      </c>
      <c r="D45" s="135">
        <v>6570.0</v>
      </c>
      <c r="E45" s="145">
        <v>45387.0</v>
      </c>
      <c r="F45" s="151">
        <f t="shared" si="2"/>
        <v>46056</v>
      </c>
      <c r="G45" s="145">
        <v>46116.0</v>
      </c>
      <c r="H45" s="146">
        <v>7.909692139049E12</v>
      </c>
      <c r="I45" s="135" t="s">
        <v>1528</v>
      </c>
    </row>
    <row r="46">
      <c r="A46" s="142" t="s">
        <v>1581</v>
      </c>
      <c r="B46" s="149" t="s">
        <v>1585</v>
      </c>
      <c r="C46" s="133" t="s">
        <v>1587</v>
      </c>
      <c r="D46" s="135">
        <v>92.0</v>
      </c>
      <c r="E46" s="145">
        <v>45387.0</v>
      </c>
      <c r="F46" s="151">
        <f t="shared" si="2"/>
        <v>46056</v>
      </c>
      <c r="G46" s="145">
        <v>46116.0</v>
      </c>
      <c r="H46" s="146" t="s">
        <v>2149</v>
      </c>
      <c r="I46" s="135" t="s">
        <v>1528</v>
      </c>
    </row>
    <row r="47">
      <c r="A47" s="142" t="s">
        <v>1581</v>
      </c>
      <c r="B47" s="149" t="s">
        <v>1589</v>
      </c>
      <c r="C47" s="133" t="s">
        <v>1590</v>
      </c>
      <c r="D47" s="135">
        <v>9.0</v>
      </c>
      <c r="E47" s="145">
        <v>45387.0</v>
      </c>
      <c r="F47" s="151">
        <f t="shared" si="2"/>
        <v>46056</v>
      </c>
      <c r="G47" s="145">
        <v>46116.0</v>
      </c>
      <c r="H47" s="146" t="s">
        <v>2150</v>
      </c>
      <c r="I47" s="135" t="s">
        <v>1528</v>
      </c>
    </row>
    <row r="48">
      <c r="A48" s="142" t="s">
        <v>1013</v>
      </c>
      <c r="B48" s="143" t="s">
        <v>1009</v>
      </c>
      <c r="C48" s="133" t="s">
        <v>2151</v>
      </c>
      <c r="D48" s="135">
        <v>176.0</v>
      </c>
      <c r="E48" s="145">
        <v>45393.0</v>
      </c>
      <c r="F48" s="151">
        <f t="shared" si="2"/>
        <v>46061</v>
      </c>
      <c r="G48" s="145">
        <v>46121.0</v>
      </c>
      <c r="H48" s="146">
        <v>7.898458235951E12</v>
      </c>
      <c r="I48" s="135" t="s">
        <v>231</v>
      </c>
    </row>
    <row r="49">
      <c r="A49" s="142" t="s">
        <v>1595</v>
      </c>
      <c r="B49" s="149" t="s">
        <v>1598</v>
      </c>
      <c r="C49" s="133" t="s">
        <v>1599</v>
      </c>
      <c r="D49" s="135">
        <v>96.0</v>
      </c>
      <c r="E49" s="145">
        <v>45495.0</v>
      </c>
      <c r="F49" s="151">
        <f t="shared" si="2"/>
        <v>46160</v>
      </c>
      <c r="G49" s="145">
        <v>46220.0</v>
      </c>
      <c r="H49" s="146" t="s">
        <v>2152</v>
      </c>
      <c r="I49" s="135" t="s">
        <v>1528</v>
      </c>
    </row>
    <row r="50">
      <c r="A50" s="142" t="s">
        <v>1595</v>
      </c>
      <c r="B50" s="149" t="s">
        <v>1612</v>
      </c>
      <c r="C50" s="133" t="s">
        <v>1613</v>
      </c>
      <c r="D50" s="135">
        <v>0.0</v>
      </c>
      <c r="E50" s="145">
        <v>45495.0</v>
      </c>
      <c r="F50" s="151">
        <f t="shared" si="2"/>
        <v>46160</v>
      </c>
      <c r="G50" s="145">
        <v>46220.0</v>
      </c>
      <c r="H50" s="146" t="s">
        <v>2153</v>
      </c>
      <c r="I50" s="135" t="s">
        <v>1528</v>
      </c>
    </row>
    <row r="51">
      <c r="A51" s="142" t="s">
        <v>1595</v>
      </c>
      <c r="B51" s="149" t="s">
        <v>1604</v>
      </c>
      <c r="C51" s="133" t="s">
        <v>1605</v>
      </c>
      <c r="D51" s="135">
        <v>124.0</v>
      </c>
      <c r="E51" s="145">
        <v>45495.0</v>
      </c>
      <c r="F51" s="151">
        <f t="shared" si="2"/>
        <v>46160</v>
      </c>
      <c r="G51" s="145">
        <v>46220.0</v>
      </c>
      <c r="H51" s="146" t="s">
        <v>2154</v>
      </c>
      <c r="I51" s="135" t="s">
        <v>1528</v>
      </c>
    </row>
    <row r="52">
      <c r="A52" s="142" t="s">
        <v>1595</v>
      </c>
      <c r="B52" s="149" t="s">
        <v>1609</v>
      </c>
      <c r="C52" s="133" t="s">
        <v>1610</v>
      </c>
      <c r="D52" s="135">
        <v>77.0</v>
      </c>
      <c r="E52" s="145">
        <v>45495.0</v>
      </c>
      <c r="F52" s="151">
        <f t="shared" si="2"/>
        <v>46160</v>
      </c>
      <c r="G52" s="145">
        <v>46220.0</v>
      </c>
      <c r="H52" s="146" t="s">
        <v>2155</v>
      </c>
      <c r="I52" s="135" t="s">
        <v>1528</v>
      </c>
    </row>
    <row r="53">
      <c r="A53" s="142" t="s">
        <v>1595</v>
      </c>
      <c r="B53" s="143" t="s">
        <v>1615</v>
      </c>
      <c r="C53" s="133" t="s">
        <v>2156</v>
      </c>
      <c r="D53" s="135">
        <v>0.0</v>
      </c>
      <c r="E53" s="145">
        <v>45495.0</v>
      </c>
      <c r="F53" s="151">
        <f t="shared" si="2"/>
        <v>46160</v>
      </c>
      <c r="G53" s="145">
        <v>46220.0</v>
      </c>
      <c r="H53" s="146" t="s">
        <v>2157</v>
      </c>
      <c r="I53" s="135" t="s">
        <v>1528</v>
      </c>
    </row>
    <row r="54">
      <c r="A54" s="142" t="s">
        <v>1595</v>
      </c>
      <c r="B54" s="143" t="s">
        <v>1617</v>
      </c>
      <c r="C54" s="133" t="s">
        <v>1640</v>
      </c>
      <c r="D54" s="135">
        <v>3.0</v>
      </c>
      <c r="E54" s="145">
        <v>45495.0</v>
      </c>
      <c r="F54" s="151">
        <f t="shared" si="2"/>
        <v>46160</v>
      </c>
      <c r="G54" s="145">
        <v>46220.0</v>
      </c>
      <c r="H54" s="146" t="s">
        <v>2158</v>
      </c>
      <c r="I54" s="135" t="s">
        <v>1528</v>
      </c>
    </row>
    <row r="55">
      <c r="A55" s="142" t="s">
        <v>1595</v>
      </c>
      <c r="B55" s="143" t="s">
        <v>1619</v>
      </c>
      <c r="C55" s="133" t="s">
        <v>2159</v>
      </c>
      <c r="D55" s="135">
        <v>2.0</v>
      </c>
      <c r="E55" s="145">
        <v>45495.0</v>
      </c>
      <c r="F55" s="151">
        <f t="shared" si="2"/>
        <v>46160</v>
      </c>
      <c r="G55" s="145">
        <v>46220.0</v>
      </c>
      <c r="H55" s="146" t="s">
        <v>2160</v>
      </c>
      <c r="I55" s="135" t="s">
        <v>1528</v>
      </c>
    </row>
    <row r="56">
      <c r="A56" s="142" t="s">
        <v>1595</v>
      </c>
      <c r="B56" s="143" t="s">
        <v>1621</v>
      </c>
      <c r="C56" s="133" t="s">
        <v>1622</v>
      </c>
      <c r="D56" s="135">
        <v>0.0</v>
      </c>
      <c r="E56" s="145">
        <v>45495.0</v>
      </c>
      <c r="F56" s="151">
        <f t="shared" si="2"/>
        <v>46160</v>
      </c>
      <c r="G56" s="145">
        <v>46220.0</v>
      </c>
      <c r="H56" s="146" t="s">
        <v>2161</v>
      </c>
      <c r="I56" s="135" t="s">
        <v>1528</v>
      </c>
    </row>
    <row r="57">
      <c r="A57" s="142" t="s">
        <v>1595</v>
      </c>
      <c r="B57" s="143" t="s">
        <v>1624</v>
      </c>
      <c r="C57" s="133" t="s">
        <v>1593</v>
      </c>
      <c r="D57" s="135">
        <v>46.0</v>
      </c>
      <c r="E57" s="145">
        <v>45495.0</v>
      </c>
      <c r="F57" s="151">
        <f t="shared" si="2"/>
        <v>46160</v>
      </c>
      <c r="G57" s="145">
        <v>46220.0</v>
      </c>
      <c r="H57" s="146" t="s">
        <v>2162</v>
      </c>
      <c r="I57" s="135" t="s">
        <v>1528</v>
      </c>
    </row>
    <row r="58">
      <c r="A58" s="142" t="s">
        <v>1595</v>
      </c>
      <c r="B58" s="143" t="s">
        <v>1626</v>
      </c>
      <c r="C58" s="133" t="s">
        <v>1627</v>
      </c>
      <c r="D58" s="135">
        <v>18.0</v>
      </c>
      <c r="E58" s="145">
        <v>45495.0</v>
      </c>
      <c r="F58" s="151">
        <f t="shared" si="2"/>
        <v>46160</v>
      </c>
      <c r="G58" s="145">
        <v>46220.0</v>
      </c>
      <c r="H58" s="146" t="s">
        <v>2163</v>
      </c>
      <c r="I58" s="135" t="s">
        <v>1528</v>
      </c>
    </row>
    <row r="59">
      <c r="A59" s="142" t="s">
        <v>1595</v>
      </c>
      <c r="B59" s="143" t="s">
        <v>1629</v>
      </c>
      <c r="C59" s="133" t="s">
        <v>1602</v>
      </c>
      <c r="D59" s="135">
        <v>5.0</v>
      </c>
      <c r="E59" s="145">
        <v>45495.0</v>
      </c>
      <c r="F59" s="151">
        <f t="shared" si="2"/>
        <v>46160</v>
      </c>
      <c r="G59" s="145">
        <v>46220.0</v>
      </c>
      <c r="H59" s="146" t="s">
        <v>2164</v>
      </c>
      <c r="I59" s="135" t="s">
        <v>1528</v>
      </c>
    </row>
    <row r="60">
      <c r="A60" s="142" t="s">
        <v>1595</v>
      </c>
      <c r="B60" s="143" t="s">
        <v>1637</v>
      </c>
      <c r="C60" s="133" t="s">
        <v>1613</v>
      </c>
      <c r="D60" s="135">
        <v>25.0</v>
      </c>
      <c r="E60" s="145">
        <v>45495.0</v>
      </c>
      <c r="F60" s="151">
        <f t="shared" si="2"/>
        <v>46160</v>
      </c>
      <c r="G60" s="145">
        <v>46220.0</v>
      </c>
      <c r="H60" s="135">
        <v>7.909692209162E12</v>
      </c>
      <c r="I60" s="135" t="s">
        <v>1528</v>
      </c>
    </row>
    <row r="61">
      <c r="A61" s="142" t="s">
        <v>1595</v>
      </c>
      <c r="B61" s="143" t="s">
        <v>1639</v>
      </c>
      <c r="C61" s="133" t="s">
        <v>1640</v>
      </c>
      <c r="D61" s="135">
        <v>7.0</v>
      </c>
      <c r="E61" s="145">
        <v>45495.0</v>
      </c>
      <c r="F61" s="151">
        <f t="shared" si="2"/>
        <v>46160</v>
      </c>
      <c r="G61" s="145">
        <v>46220.0</v>
      </c>
      <c r="H61" s="135">
        <v>7.909692209179E12</v>
      </c>
      <c r="I61" s="135" t="s">
        <v>1528</v>
      </c>
    </row>
    <row r="62">
      <c r="A62" s="142" t="s">
        <v>1595</v>
      </c>
      <c r="B62" s="143" t="s">
        <v>1663</v>
      </c>
      <c r="C62" s="133" t="s">
        <v>1306</v>
      </c>
      <c r="D62" s="135">
        <v>12.0</v>
      </c>
      <c r="E62" s="145">
        <v>45495.0</v>
      </c>
      <c r="F62" s="151">
        <f t="shared" si="2"/>
        <v>46160</v>
      </c>
      <c r="G62" s="145">
        <v>46220.0</v>
      </c>
      <c r="H62" s="135">
        <v>7.909692209186E12</v>
      </c>
      <c r="I62" s="135" t="s">
        <v>1528</v>
      </c>
    </row>
    <row r="63">
      <c r="A63" s="142" t="s">
        <v>1595</v>
      </c>
      <c r="B63" s="143" t="s">
        <v>1665</v>
      </c>
      <c r="C63" s="133" t="s">
        <v>1602</v>
      </c>
      <c r="D63" s="135">
        <v>2.0</v>
      </c>
      <c r="E63" s="145">
        <v>45495.0</v>
      </c>
      <c r="F63" s="151">
        <f t="shared" si="2"/>
        <v>46160</v>
      </c>
      <c r="G63" s="145">
        <v>46220.0</v>
      </c>
      <c r="H63" s="135">
        <v>7.909692209209E12</v>
      </c>
      <c r="I63" s="135" t="s">
        <v>1528</v>
      </c>
    </row>
    <row r="64">
      <c r="A64" s="142" t="s">
        <v>1153</v>
      </c>
      <c r="B64" s="143" t="s">
        <v>1150</v>
      </c>
      <c r="C64" s="133" t="s">
        <v>1151</v>
      </c>
      <c r="D64" s="135">
        <v>75.0</v>
      </c>
      <c r="E64" s="145">
        <v>45516.0</v>
      </c>
      <c r="F64" s="151">
        <f t="shared" si="2"/>
        <v>46186</v>
      </c>
      <c r="G64" s="145">
        <v>46246.0</v>
      </c>
      <c r="H64" s="146">
        <v>7.898458237832E12</v>
      </c>
      <c r="I64" s="135" t="s">
        <v>231</v>
      </c>
    </row>
    <row r="65">
      <c r="A65" s="142" t="s">
        <v>1153</v>
      </c>
      <c r="B65" s="143" t="s">
        <v>1156</v>
      </c>
      <c r="C65" s="133" t="s">
        <v>2165</v>
      </c>
      <c r="D65" s="135">
        <v>954.0</v>
      </c>
      <c r="E65" s="145">
        <v>45516.0</v>
      </c>
      <c r="F65" s="151">
        <f t="shared" si="2"/>
        <v>46186</v>
      </c>
      <c r="G65" s="145">
        <v>46246.0</v>
      </c>
      <c r="H65" s="146">
        <v>7.898458239454E12</v>
      </c>
      <c r="I65" s="135" t="s">
        <v>231</v>
      </c>
    </row>
    <row r="66">
      <c r="A66" s="142" t="s">
        <v>2166</v>
      </c>
      <c r="B66" s="149" t="s">
        <v>2167</v>
      </c>
      <c r="C66" s="133" t="s">
        <v>2168</v>
      </c>
      <c r="D66" s="135">
        <v>63.0</v>
      </c>
      <c r="E66" s="152">
        <v>45608.0</v>
      </c>
      <c r="F66" s="151">
        <f t="shared" si="2"/>
        <v>46195</v>
      </c>
      <c r="G66" s="145">
        <v>46255.0</v>
      </c>
      <c r="H66" s="146">
        <v>7.891276794686E12</v>
      </c>
      <c r="I66" s="135" t="s">
        <v>1528</v>
      </c>
    </row>
    <row r="67">
      <c r="A67" s="142" t="s">
        <v>2166</v>
      </c>
      <c r="B67" s="149" t="s">
        <v>2169</v>
      </c>
      <c r="C67" s="133" t="s">
        <v>2170</v>
      </c>
      <c r="D67" s="135">
        <v>0.0</v>
      </c>
      <c r="E67" s="152">
        <v>45608.0</v>
      </c>
      <c r="F67" s="151">
        <f t="shared" si="2"/>
        <v>46195</v>
      </c>
      <c r="G67" s="145">
        <v>46255.0</v>
      </c>
      <c r="H67" s="146">
        <v>7.909692029418E12</v>
      </c>
      <c r="I67" s="135" t="s">
        <v>1528</v>
      </c>
    </row>
    <row r="68">
      <c r="A68" s="142" t="s">
        <v>2166</v>
      </c>
      <c r="B68" s="149" t="s">
        <v>2171</v>
      </c>
      <c r="C68" s="133" t="s">
        <v>2172</v>
      </c>
      <c r="D68" s="135">
        <v>0.0</v>
      </c>
      <c r="E68" s="152">
        <v>45608.0</v>
      </c>
      <c r="F68" s="151">
        <f t="shared" si="2"/>
        <v>46195</v>
      </c>
      <c r="G68" s="145">
        <v>46255.0</v>
      </c>
      <c r="H68" s="146">
        <v>7.909692029685E12</v>
      </c>
      <c r="I68" s="135" t="s">
        <v>1528</v>
      </c>
    </row>
    <row r="69">
      <c r="A69" s="142" t="s">
        <v>2166</v>
      </c>
      <c r="B69" s="149" t="s">
        <v>2173</v>
      </c>
      <c r="C69" s="133" t="s">
        <v>2174</v>
      </c>
      <c r="D69" s="135">
        <v>1.0</v>
      </c>
      <c r="E69" s="152">
        <v>45608.0</v>
      </c>
      <c r="F69" s="151">
        <f t="shared" si="2"/>
        <v>46195</v>
      </c>
      <c r="G69" s="145">
        <v>46255.0</v>
      </c>
      <c r="H69" s="146">
        <v>7.909692029166E12</v>
      </c>
      <c r="I69" s="135" t="s">
        <v>1528</v>
      </c>
    </row>
    <row r="70">
      <c r="A70" s="142" t="s">
        <v>2166</v>
      </c>
      <c r="B70" s="149" t="s">
        <v>2175</v>
      </c>
      <c r="C70" s="133" t="s">
        <v>1939</v>
      </c>
      <c r="D70" s="135">
        <v>70.0</v>
      </c>
      <c r="E70" s="152">
        <v>45608.0</v>
      </c>
      <c r="F70" s="151">
        <f t="shared" si="2"/>
        <v>46195</v>
      </c>
      <c r="G70" s="145">
        <v>46255.0</v>
      </c>
      <c r="H70" s="146">
        <v>7.90969206316E12</v>
      </c>
      <c r="I70" s="135" t="s">
        <v>1528</v>
      </c>
    </row>
    <row r="71">
      <c r="A71" s="142" t="s">
        <v>2166</v>
      </c>
      <c r="B71" s="149" t="s">
        <v>2176</v>
      </c>
      <c r="C71" s="133" t="s">
        <v>2177</v>
      </c>
      <c r="D71" s="135">
        <v>0.0</v>
      </c>
      <c r="E71" s="152">
        <v>45608.0</v>
      </c>
      <c r="F71" s="151">
        <f t="shared" si="2"/>
        <v>46195</v>
      </c>
      <c r="G71" s="145">
        <v>46255.0</v>
      </c>
      <c r="H71" s="146" t="s">
        <v>2178</v>
      </c>
      <c r="I71" s="135" t="s">
        <v>1528</v>
      </c>
    </row>
    <row r="72">
      <c r="A72" s="142" t="s">
        <v>2166</v>
      </c>
      <c r="B72" s="149" t="s">
        <v>2179</v>
      </c>
      <c r="C72" s="133" t="s">
        <v>2180</v>
      </c>
      <c r="D72" s="135">
        <v>0.0</v>
      </c>
      <c r="E72" s="152">
        <v>45608.0</v>
      </c>
      <c r="F72" s="151">
        <f t="shared" si="2"/>
        <v>46195</v>
      </c>
      <c r="G72" s="145">
        <v>46255.0</v>
      </c>
      <c r="H72" s="146" t="s">
        <v>2181</v>
      </c>
      <c r="I72" s="135" t="s">
        <v>1528</v>
      </c>
    </row>
    <row r="73">
      <c r="A73" s="142" t="s">
        <v>2166</v>
      </c>
      <c r="B73" s="149" t="s">
        <v>2182</v>
      </c>
      <c r="C73" s="133" t="s">
        <v>2183</v>
      </c>
      <c r="D73" s="135">
        <v>0.0</v>
      </c>
      <c r="E73" s="152">
        <v>45608.0</v>
      </c>
      <c r="F73" s="151">
        <f t="shared" si="2"/>
        <v>46195</v>
      </c>
      <c r="G73" s="145">
        <v>46255.0</v>
      </c>
      <c r="H73" s="146" t="s">
        <v>2184</v>
      </c>
      <c r="I73" s="135" t="s">
        <v>1528</v>
      </c>
    </row>
    <row r="74">
      <c r="A74" s="142" t="s">
        <v>2166</v>
      </c>
      <c r="B74" s="149" t="s">
        <v>2185</v>
      </c>
      <c r="C74" s="133" t="s">
        <v>2186</v>
      </c>
      <c r="D74" s="135">
        <v>0.0</v>
      </c>
      <c r="E74" s="152">
        <v>45608.0</v>
      </c>
      <c r="F74" s="151">
        <f t="shared" si="2"/>
        <v>46195</v>
      </c>
      <c r="G74" s="145">
        <v>46255.0</v>
      </c>
      <c r="H74" s="146" t="s">
        <v>2187</v>
      </c>
      <c r="I74" s="135" t="s">
        <v>1528</v>
      </c>
    </row>
    <row r="75">
      <c r="A75" s="142" t="s">
        <v>2166</v>
      </c>
      <c r="B75" s="149" t="s">
        <v>2188</v>
      </c>
      <c r="C75" s="133" t="s">
        <v>2189</v>
      </c>
      <c r="D75" s="135">
        <v>2.0</v>
      </c>
      <c r="E75" s="152">
        <v>45608.0</v>
      </c>
      <c r="F75" s="151">
        <f t="shared" si="2"/>
        <v>46195</v>
      </c>
      <c r="G75" s="145">
        <v>46255.0</v>
      </c>
      <c r="H75" s="146" t="s">
        <v>2190</v>
      </c>
      <c r="I75" s="135" t="s">
        <v>1528</v>
      </c>
    </row>
    <row r="76">
      <c r="A76" s="142" t="s">
        <v>2166</v>
      </c>
      <c r="B76" s="149" t="s">
        <v>2191</v>
      </c>
      <c r="C76" s="133" t="s">
        <v>2192</v>
      </c>
      <c r="D76" s="135">
        <v>0.0</v>
      </c>
      <c r="E76" s="152">
        <v>45608.0</v>
      </c>
      <c r="F76" s="151">
        <f t="shared" si="2"/>
        <v>46195</v>
      </c>
      <c r="G76" s="145">
        <v>46255.0</v>
      </c>
      <c r="H76" s="146" t="s">
        <v>2193</v>
      </c>
      <c r="I76" s="135" t="s">
        <v>1528</v>
      </c>
    </row>
    <row r="77">
      <c r="A77" s="142" t="s">
        <v>2166</v>
      </c>
      <c r="B77" s="149" t="s">
        <v>2194</v>
      </c>
      <c r="C77" s="133" t="s">
        <v>2195</v>
      </c>
      <c r="D77" s="135">
        <v>14.0</v>
      </c>
      <c r="E77" s="152">
        <v>45608.0</v>
      </c>
      <c r="F77" s="151">
        <f t="shared" si="2"/>
        <v>46195</v>
      </c>
      <c r="G77" s="145">
        <v>46255.0</v>
      </c>
      <c r="H77" s="146" t="s">
        <v>2196</v>
      </c>
      <c r="I77" s="135" t="s">
        <v>1528</v>
      </c>
    </row>
    <row r="78">
      <c r="A78" s="142" t="s">
        <v>2166</v>
      </c>
      <c r="B78" s="149" t="s">
        <v>2197</v>
      </c>
      <c r="C78" s="133" t="s">
        <v>2198</v>
      </c>
      <c r="D78" s="135">
        <v>0.0</v>
      </c>
      <c r="E78" s="152">
        <v>45608.0</v>
      </c>
      <c r="F78" s="151">
        <f t="shared" si="2"/>
        <v>46195</v>
      </c>
      <c r="G78" s="145">
        <v>46255.0</v>
      </c>
      <c r="H78" s="146" t="s">
        <v>2199</v>
      </c>
      <c r="I78" s="135" t="s">
        <v>1528</v>
      </c>
    </row>
    <row r="79">
      <c r="A79" s="142" t="s">
        <v>2166</v>
      </c>
      <c r="B79" s="149" t="s">
        <v>2200</v>
      </c>
      <c r="C79" s="133" t="s">
        <v>2189</v>
      </c>
      <c r="D79" s="135">
        <v>31.0</v>
      </c>
      <c r="E79" s="152">
        <v>45608.0</v>
      </c>
      <c r="F79" s="151">
        <f t="shared" si="2"/>
        <v>46195</v>
      </c>
      <c r="G79" s="145">
        <v>46255.0</v>
      </c>
      <c r="H79" s="146" t="s">
        <v>2201</v>
      </c>
      <c r="I79" s="135" t="s">
        <v>1528</v>
      </c>
    </row>
    <row r="80">
      <c r="A80" s="142" t="s">
        <v>2166</v>
      </c>
      <c r="B80" s="149" t="s">
        <v>2202</v>
      </c>
      <c r="C80" s="133" t="s">
        <v>2203</v>
      </c>
      <c r="D80" s="135">
        <v>39.0</v>
      </c>
      <c r="E80" s="152">
        <v>45608.0</v>
      </c>
      <c r="F80" s="151">
        <f t="shared" si="2"/>
        <v>46195</v>
      </c>
      <c r="G80" s="145">
        <v>46255.0</v>
      </c>
      <c r="H80" s="146" t="s">
        <v>2204</v>
      </c>
      <c r="I80" s="135" t="s">
        <v>1528</v>
      </c>
    </row>
    <row r="81">
      <c r="A81" s="142" t="s">
        <v>2166</v>
      </c>
      <c r="B81" s="149" t="s">
        <v>2205</v>
      </c>
      <c r="C81" s="133" t="s">
        <v>2206</v>
      </c>
      <c r="D81" s="135">
        <v>20.0</v>
      </c>
      <c r="E81" s="152">
        <v>45608.0</v>
      </c>
      <c r="F81" s="151">
        <f t="shared" si="2"/>
        <v>46195</v>
      </c>
      <c r="G81" s="145">
        <v>46255.0</v>
      </c>
      <c r="H81" s="146" t="s">
        <v>2207</v>
      </c>
      <c r="I81" s="135" t="s">
        <v>1528</v>
      </c>
    </row>
    <row r="82">
      <c r="A82" s="142" t="s">
        <v>2166</v>
      </c>
      <c r="B82" s="149" t="s">
        <v>2208</v>
      </c>
      <c r="C82" s="133" t="s">
        <v>2209</v>
      </c>
      <c r="D82" s="135">
        <v>176.0</v>
      </c>
      <c r="E82" s="152">
        <v>45608.0</v>
      </c>
      <c r="F82" s="151">
        <f t="shared" si="2"/>
        <v>46195</v>
      </c>
      <c r="G82" s="145">
        <v>46255.0</v>
      </c>
      <c r="H82" s="146" t="s">
        <v>2210</v>
      </c>
      <c r="I82" s="135" t="s">
        <v>1528</v>
      </c>
    </row>
    <row r="83">
      <c r="A83" s="142" t="s">
        <v>2166</v>
      </c>
      <c r="B83" s="149" t="s">
        <v>2211</v>
      </c>
      <c r="C83" s="133" t="s">
        <v>2212</v>
      </c>
      <c r="D83" s="135">
        <v>205.0</v>
      </c>
      <c r="E83" s="152">
        <v>45608.0</v>
      </c>
      <c r="F83" s="151">
        <f t="shared" si="2"/>
        <v>46195</v>
      </c>
      <c r="G83" s="145">
        <v>46255.0</v>
      </c>
      <c r="H83" s="146" t="s">
        <v>2213</v>
      </c>
      <c r="I83" s="135" t="s">
        <v>1528</v>
      </c>
    </row>
    <row r="84">
      <c r="A84" s="142" t="s">
        <v>2166</v>
      </c>
      <c r="B84" s="149" t="s">
        <v>2214</v>
      </c>
      <c r="C84" s="133" t="s">
        <v>2215</v>
      </c>
      <c r="D84" s="135">
        <v>152.0</v>
      </c>
      <c r="E84" s="152">
        <v>45608.0</v>
      </c>
      <c r="F84" s="151">
        <f t="shared" si="2"/>
        <v>46195</v>
      </c>
      <c r="G84" s="145">
        <v>46255.0</v>
      </c>
      <c r="H84" s="146" t="s">
        <v>2216</v>
      </c>
      <c r="I84" s="135" t="s">
        <v>1528</v>
      </c>
    </row>
    <row r="85">
      <c r="A85" s="142" t="s">
        <v>2166</v>
      </c>
      <c r="B85" s="149" t="s">
        <v>2217</v>
      </c>
      <c r="C85" s="133" t="s">
        <v>2218</v>
      </c>
      <c r="D85" s="135">
        <v>157.0</v>
      </c>
      <c r="E85" s="152">
        <v>45608.0</v>
      </c>
      <c r="F85" s="151">
        <f t="shared" si="2"/>
        <v>46195</v>
      </c>
      <c r="G85" s="145">
        <v>46255.0</v>
      </c>
      <c r="H85" s="146" t="s">
        <v>2219</v>
      </c>
      <c r="I85" s="135" t="s">
        <v>1528</v>
      </c>
    </row>
    <row r="86">
      <c r="A86" s="142" t="s">
        <v>2166</v>
      </c>
      <c r="B86" s="149" t="s">
        <v>2220</v>
      </c>
      <c r="C86" s="133" t="s">
        <v>2221</v>
      </c>
      <c r="D86" s="135">
        <v>232.0</v>
      </c>
      <c r="E86" s="152">
        <v>45608.0</v>
      </c>
      <c r="F86" s="151">
        <f t="shared" si="2"/>
        <v>46195</v>
      </c>
      <c r="G86" s="145">
        <v>46255.0</v>
      </c>
      <c r="H86" s="146" t="s">
        <v>2222</v>
      </c>
      <c r="I86" s="135" t="s">
        <v>1528</v>
      </c>
    </row>
    <row r="87">
      <c r="A87" s="142" t="s">
        <v>2166</v>
      </c>
      <c r="B87" s="149" t="s">
        <v>2223</v>
      </c>
      <c r="C87" s="133" t="s">
        <v>2224</v>
      </c>
      <c r="D87" s="135">
        <v>139.0</v>
      </c>
      <c r="E87" s="152">
        <v>45608.0</v>
      </c>
      <c r="F87" s="151">
        <f t="shared" si="2"/>
        <v>46195</v>
      </c>
      <c r="G87" s="145">
        <v>46255.0</v>
      </c>
      <c r="H87" s="146" t="s">
        <v>2225</v>
      </c>
      <c r="I87" s="135" t="s">
        <v>1528</v>
      </c>
    </row>
    <row r="88">
      <c r="A88" s="142" t="s">
        <v>2166</v>
      </c>
      <c r="B88" s="149" t="s">
        <v>2054</v>
      </c>
      <c r="C88" s="133" t="s">
        <v>2055</v>
      </c>
      <c r="D88" s="135">
        <v>1.0</v>
      </c>
      <c r="E88" s="152">
        <v>45608.0</v>
      </c>
      <c r="F88" s="151">
        <f t="shared" si="2"/>
        <v>46195</v>
      </c>
      <c r="G88" s="145">
        <v>46255.0</v>
      </c>
      <c r="H88" s="146" t="s">
        <v>2226</v>
      </c>
      <c r="I88" s="135" t="s">
        <v>1528</v>
      </c>
    </row>
    <row r="89">
      <c r="A89" s="142" t="s">
        <v>2166</v>
      </c>
      <c r="B89" s="149" t="s">
        <v>2227</v>
      </c>
      <c r="C89" s="133" t="s">
        <v>2228</v>
      </c>
      <c r="D89" s="135">
        <v>6.0</v>
      </c>
      <c r="E89" s="152">
        <v>45608.0</v>
      </c>
      <c r="F89" s="151">
        <f t="shared" si="2"/>
        <v>46195</v>
      </c>
      <c r="G89" s="145">
        <v>46255.0</v>
      </c>
      <c r="H89" s="146" t="s">
        <v>2229</v>
      </c>
      <c r="I89" s="135" t="s">
        <v>1528</v>
      </c>
    </row>
    <row r="90">
      <c r="A90" s="142" t="s">
        <v>2166</v>
      </c>
      <c r="B90" s="149" t="s">
        <v>2230</v>
      </c>
      <c r="C90" s="133" t="s">
        <v>2231</v>
      </c>
      <c r="D90" s="135">
        <v>236.0</v>
      </c>
      <c r="E90" s="152">
        <v>45608.0</v>
      </c>
      <c r="F90" s="151">
        <f t="shared" si="2"/>
        <v>46195</v>
      </c>
      <c r="G90" s="145">
        <v>46255.0</v>
      </c>
      <c r="H90" s="146" t="s">
        <v>2232</v>
      </c>
      <c r="I90" s="135" t="s">
        <v>1528</v>
      </c>
    </row>
    <row r="91">
      <c r="A91" s="142" t="s">
        <v>2166</v>
      </c>
      <c r="B91" s="149" t="s">
        <v>2233</v>
      </c>
      <c r="C91" s="133" t="s">
        <v>2234</v>
      </c>
      <c r="D91" s="135">
        <v>0.0</v>
      </c>
      <c r="E91" s="152">
        <v>45608.0</v>
      </c>
      <c r="F91" s="151">
        <f t="shared" si="2"/>
        <v>46195</v>
      </c>
      <c r="G91" s="145">
        <v>46255.0</v>
      </c>
      <c r="H91" s="146" t="s">
        <v>2235</v>
      </c>
      <c r="I91" s="135" t="s">
        <v>1528</v>
      </c>
    </row>
    <row r="92">
      <c r="A92" s="142" t="s">
        <v>2166</v>
      </c>
      <c r="B92" s="149" t="s">
        <v>2236</v>
      </c>
      <c r="C92" s="133" t="s">
        <v>2237</v>
      </c>
      <c r="D92" s="135">
        <v>228.0</v>
      </c>
      <c r="E92" s="152">
        <v>45608.0</v>
      </c>
      <c r="F92" s="151">
        <f t="shared" si="2"/>
        <v>46195</v>
      </c>
      <c r="G92" s="145">
        <v>46255.0</v>
      </c>
      <c r="H92" s="146" t="s">
        <v>2238</v>
      </c>
      <c r="I92" s="135" t="s">
        <v>1528</v>
      </c>
    </row>
    <row r="93">
      <c r="A93" s="142" t="s">
        <v>2166</v>
      </c>
      <c r="B93" s="149" t="s">
        <v>2239</v>
      </c>
      <c r="C93" s="133" t="s">
        <v>2240</v>
      </c>
      <c r="D93" s="135">
        <v>10.0</v>
      </c>
      <c r="E93" s="152">
        <v>45608.0</v>
      </c>
      <c r="F93" s="151">
        <f t="shared" si="2"/>
        <v>46195</v>
      </c>
      <c r="G93" s="145">
        <v>46255.0</v>
      </c>
      <c r="H93" s="146" t="s">
        <v>2241</v>
      </c>
      <c r="I93" s="135" t="s">
        <v>1528</v>
      </c>
    </row>
    <row r="94">
      <c r="A94" s="142" t="s">
        <v>2166</v>
      </c>
      <c r="B94" s="149" t="s">
        <v>2242</v>
      </c>
      <c r="C94" s="133" t="s">
        <v>2243</v>
      </c>
      <c r="D94" s="135">
        <v>389.0</v>
      </c>
      <c r="E94" s="152">
        <v>45608.0</v>
      </c>
      <c r="F94" s="151">
        <f t="shared" si="2"/>
        <v>46195</v>
      </c>
      <c r="G94" s="145">
        <v>46255.0</v>
      </c>
      <c r="H94" s="146" t="s">
        <v>2244</v>
      </c>
      <c r="I94" s="135" t="s">
        <v>1528</v>
      </c>
    </row>
    <row r="95">
      <c r="A95" s="142" t="s">
        <v>2166</v>
      </c>
      <c r="B95" s="149" t="s">
        <v>2245</v>
      </c>
      <c r="C95" s="133" t="s">
        <v>2246</v>
      </c>
      <c r="D95" s="135">
        <v>670.0</v>
      </c>
      <c r="E95" s="152">
        <v>45608.0</v>
      </c>
      <c r="F95" s="151">
        <f t="shared" si="2"/>
        <v>46195</v>
      </c>
      <c r="G95" s="145">
        <v>46255.0</v>
      </c>
      <c r="H95" s="146" t="s">
        <v>2247</v>
      </c>
      <c r="I95" s="135" t="s">
        <v>1528</v>
      </c>
    </row>
    <row r="96">
      <c r="A96" s="142" t="s">
        <v>2166</v>
      </c>
      <c r="B96" s="149" t="s">
        <v>2248</v>
      </c>
      <c r="C96" s="133" t="s">
        <v>1972</v>
      </c>
      <c r="D96" s="135">
        <v>84.0</v>
      </c>
      <c r="E96" s="152">
        <v>45608.0</v>
      </c>
      <c r="F96" s="151">
        <f t="shared" si="2"/>
        <v>46195</v>
      </c>
      <c r="G96" s="145">
        <v>46255.0</v>
      </c>
      <c r="H96" s="146" t="s">
        <v>2249</v>
      </c>
      <c r="I96" s="135" t="s">
        <v>1528</v>
      </c>
    </row>
    <row r="97">
      <c r="A97" s="142" t="s">
        <v>2166</v>
      </c>
      <c r="B97" s="149" t="s">
        <v>2250</v>
      </c>
      <c r="C97" s="133" t="s">
        <v>1926</v>
      </c>
      <c r="D97" s="135">
        <v>402.0</v>
      </c>
      <c r="E97" s="152">
        <v>45608.0</v>
      </c>
      <c r="F97" s="151">
        <f t="shared" si="2"/>
        <v>46195</v>
      </c>
      <c r="G97" s="145">
        <v>46255.0</v>
      </c>
      <c r="H97" s="146" t="s">
        <v>2251</v>
      </c>
      <c r="I97" s="135" t="s">
        <v>1528</v>
      </c>
    </row>
    <row r="98">
      <c r="A98" s="142" t="s">
        <v>2166</v>
      </c>
      <c r="B98" s="149" t="s">
        <v>2252</v>
      </c>
      <c r="C98" s="133" t="s">
        <v>2253</v>
      </c>
      <c r="D98" s="135">
        <v>1.0</v>
      </c>
      <c r="E98" s="152">
        <v>45608.0</v>
      </c>
      <c r="F98" s="151">
        <f t="shared" si="2"/>
        <v>46195</v>
      </c>
      <c r="G98" s="145">
        <v>46255.0</v>
      </c>
      <c r="H98" s="146">
        <v>7.909692083809E12</v>
      </c>
      <c r="I98" s="135" t="s">
        <v>1528</v>
      </c>
    </row>
    <row r="99">
      <c r="A99" s="142" t="s">
        <v>2166</v>
      </c>
      <c r="B99" s="149" t="s">
        <v>2254</v>
      </c>
      <c r="C99" s="133" t="s">
        <v>2255</v>
      </c>
      <c r="D99" s="135">
        <v>0.0</v>
      </c>
      <c r="E99" s="152">
        <v>45608.0</v>
      </c>
      <c r="F99" s="151">
        <f t="shared" si="2"/>
        <v>46195</v>
      </c>
      <c r="G99" s="145">
        <v>46255.0</v>
      </c>
      <c r="H99" s="146" t="s">
        <v>2256</v>
      </c>
      <c r="I99" s="135" t="s">
        <v>1528</v>
      </c>
    </row>
    <row r="100">
      <c r="A100" s="142" t="s">
        <v>2166</v>
      </c>
      <c r="B100" s="149" t="s">
        <v>2257</v>
      </c>
      <c r="C100" s="133" t="s">
        <v>2258</v>
      </c>
      <c r="D100" s="135">
        <v>0.0</v>
      </c>
      <c r="E100" s="152">
        <v>45608.0</v>
      </c>
      <c r="F100" s="151">
        <f t="shared" si="2"/>
        <v>46195</v>
      </c>
      <c r="G100" s="145">
        <v>46255.0</v>
      </c>
      <c r="H100" s="146" t="s">
        <v>2259</v>
      </c>
      <c r="I100" s="135" t="s">
        <v>1528</v>
      </c>
    </row>
    <row r="101">
      <c r="A101" s="142" t="s">
        <v>2166</v>
      </c>
      <c r="B101" s="149" t="s">
        <v>2260</v>
      </c>
      <c r="C101" s="133" t="s">
        <v>2261</v>
      </c>
      <c r="D101" s="135">
        <v>0.0</v>
      </c>
      <c r="E101" s="152">
        <v>45608.0</v>
      </c>
      <c r="F101" s="151">
        <f t="shared" si="2"/>
        <v>46195</v>
      </c>
      <c r="G101" s="145">
        <v>46255.0</v>
      </c>
      <c r="H101" s="146" t="s">
        <v>2262</v>
      </c>
      <c r="I101" s="135" t="s">
        <v>1528</v>
      </c>
    </row>
    <row r="102">
      <c r="A102" s="142" t="s">
        <v>2166</v>
      </c>
      <c r="B102" s="149" t="s">
        <v>2263</v>
      </c>
      <c r="C102" s="133" t="s">
        <v>2264</v>
      </c>
      <c r="D102" s="135">
        <v>0.0</v>
      </c>
      <c r="E102" s="152">
        <v>45608.0</v>
      </c>
      <c r="F102" s="151">
        <f t="shared" si="2"/>
        <v>46195</v>
      </c>
      <c r="G102" s="145">
        <v>46255.0</v>
      </c>
      <c r="H102" s="146" t="s">
        <v>2265</v>
      </c>
      <c r="I102" s="135" t="s">
        <v>1528</v>
      </c>
    </row>
    <row r="103">
      <c r="A103" s="142" t="s">
        <v>2166</v>
      </c>
      <c r="B103" s="149" t="s">
        <v>2266</v>
      </c>
      <c r="C103" s="133" t="s">
        <v>2267</v>
      </c>
      <c r="D103" s="135">
        <v>84.0</v>
      </c>
      <c r="E103" s="152">
        <v>45608.0</v>
      </c>
      <c r="F103" s="151">
        <f t="shared" si="2"/>
        <v>46195</v>
      </c>
      <c r="G103" s="145">
        <v>46255.0</v>
      </c>
      <c r="H103" s="146" t="s">
        <v>2268</v>
      </c>
      <c r="I103" s="135" t="s">
        <v>1528</v>
      </c>
    </row>
    <row r="104">
      <c r="A104" s="142" t="s">
        <v>2166</v>
      </c>
      <c r="B104" s="149" t="s">
        <v>2269</v>
      </c>
      <c r="C104" s="133" t="s">
        <v>2270</v>
      </c>
      <c r="D104" s="135">
        <v>118.0</v>
      </c>
      <c r="E104" s="152">
        <v>45608.0</v>
      </c>
      <c r="F104" s="151">
        <f t="shared" si="2"/>
        <v>46195</v>
      </c>
      <c r="G104" s="145">
        <v>46255.0</v>
      </c>
      <c r="H104" s="146" t="s">
        <v>2271</v>
      </c>
      <c r="I104" s="135" t="s">
        <v>1528</v>
      </c>
    </row>
    <row r="105">
      <c r="A105" s="142" t="s">
        <v>2166</v>
      </c>
      <c r="B105" s="149" t="s">
        <v>2272</v>
      </c>
      <c r="C105" s="133" t="s">
        <v>2273</v>
      </c>
      <c r="D105" s="135">
        <v>124.0</v>
      </c>
      <c r="E105" s="152">
        <v>45608.0</v>
      </c>
      <c r="F105" s="151">
        <f t="shared" si="2"/>
        <v>46195</v>
      </c>
      <c r="G105" s="145">
        <v>46255.0</v>
      </c>
      <c r="H105" s="146" t="s">
        <v>2274</v>
      </c>
      <c r="I105" s="135" t="s">
        <v>1528</v>
      </c>
    </row>
    <row r="106">
      <c r="A106" s="142" t="s">
        <v>2166</v>
      </c>
      <c r="B106" s="149" t="s">
        <v>2275</v>
      </c>
      <c r="C106" s="133" t="s">
        <v>2276</v>
      </c>
      <c r="D106" s="135">
        <v>74.0</v>
      </c>
      <c r="E106" s="152">
        <v>45608.0</v>
      </c>
      <c r="F106" s="151">
        <f t="shared" si="2"/>
        <v>46195</v>
      </c>
      <c r="G106" s="145">
        <v>46255.0</v>
      </c>
      <c r="H106" s="146" t="s">
        <v>2277</v>
      </c>
      <c r="I106" s="135" t="s">
        <v>1528</v>
      </c>
    </row>
    <row r="107">
      <c r="A107" s="142" t="s">
        <v>2166</v>
      </c>
      <c r="B107" s="149" t="s">
        <v>2278</v>
      </c>
      <c r="C107" s="133" t="s">
        <v>2279</v>
      </c>
      <c r="D107" s="135">
        <v>66.0</v>
      </c>
      <c r="E107" s="152">
        <v>45608.0</v>
      </c>
      <c r="F107" s="151">
        <f t="shared" si="2"/>
        <v>46195</v>
      </c>
      <c r="G107" s="145">
        <v>46255.0</v>
      </c>
      <c r="H107" s="146" t="s">
        <v>2280</v>
      </c>
      <c r="I107" s="135" t="s">
        <v>1528</v>
      </c>
    </row>
    <row r="108">
      <c r="A108" s="142" t="s">
        <v>2166</v>
      </c>
      <c r="B108" s="149" t="s">
        <v>2281</v>
      </c>
      <c r="C108" s="133" t="s">
        <v>2282</v>
      </c>
      <c r="D108" s="135">
        <v>149.0</v>
      </c>
      <c r="E108" s="152">
        <v>45608.0</v>
      </c>
      <c r="F108" s="151">
        <f t="shared" si="2"/>
        <v>46195</v>
      </c>
      <c r="G108" s="145">
        <v>46255.0</v>
      </c>
      <c r="H108" s="146" t="s">
        <v>2283</v>
      </c>
      <c r="I108" s="135" t="s">
        <v>1528</v>
      </c>
    </row>
    <row r="109">
      <c r="A109" s="142" t="s">
        <v>2166</v>
      </c>
      <c r="B109" s="149" t="s">
        <v>2284</v>
      </c>
      <c r="C109" s="133" t="s">
        <v>2285</v>
      </c>
      <c r="D109" s="135">
        <v>0.0</v>
      </c>
      <c r="E109" s="152">
        <v>45608.0</v>
      </c>
      <c r="F109" s="151">
        <f t="shared" si="2"/>
        <v>46195</v>
      </c>
      <c r="G109" s="145">
        <v>46255.0</v>
      </c>
      <c r="H109" s="146" t="s">
        <v>2286</v>
      </c>
      <c r="I109" s="135" t="s">
        <v>1528</v>
      </c>
    </row>
    <row r="110">
      <c r="A110" s="142" t="s">
        <v>2166</v>
      </c>
      <c r="B110" s="149" t="s">
        <v>2287</v>
      </c>
      <c r="C110" s="133" t="s">
        <v>2288</v>
      </c>
      <c r="D110" s="135">
        <v>0.0</v>
      </c>
      <c r="E110" s="152">
        <v>45608.0</v>
      </c>
      <c r="F110" s="151">
        <f t="shared" si="2"/>
        <v>46195</v>
      </c>
      <c r="G110" s="145">
        <v>46255.0</v>
      </c>
      <c r="H110" s="146" t="s">
        <v>2289</v>
      </c>
      <c r="I110" s="135" t="s">
        <v>1528</v>
      </c>
    </row>
    <row r="111">
      <c r="A111" s="142" t="s">
        <v>2166</v>
      </c>
      <c r="B111" s="149" t="s">
        <v>2290</v>
      </c>
      <c r="C111" s="133" t="s">
        <v>2291</v>
      </c>
      <c r="D111" s="135">
        <v>0.0</v>
      </c>
      <c r="E111" s="152">
        <v>45608.0</v>
      </c>
      <c r="F111" s="151">
        <f t="shared" si="2"/>
        <v>46195</v>
      </c>
      <c r="G111" s="145">
        <v>46255.0</v>
      </c>
      <c r="H111" s="146" t="s">
        <v>2292</v>
      </c>
      <c r="I111" s="135" t="s">
        <v>1528</v>
      </c>
    </row>
    <row r="112">
      <c r="A112" s="142" t="s">
        <v>2293</v>
      </c>
      <c r="B112" s="149" t="s">
        <v>2294</v>
      </c>
      <c r="C112" s="133" t="s">
        <v>2295</v>
      </c>
      <c r="D112" s="135">
        <v>2.0</v>
      </c>
      <c r="E112" s="152">
        <v>45608.0</v>
      </c>
      <c r="F112" s="151">
        <f t="shared" si="2"/>
        <v>46195</v>
      </c>
      <c r="G112" s="145">
        <v>46255.0</v>
      </c>
      <c r="H112" s="146">
        <v>7.909692029159E12</v>
      </c>
      <c r="I112" s="135" t="s">
        <v>1528</v>
      </c>
    </row>
    <row r="113">
      <c r="A113" s="142" t="s">
        <v>2293</v>
      </c>
      <c r="B113" s="149" t="s">
        <v>2296</v>
      </c>
      <c r="C113" s="133" t="s">
        <v>2297</v>
      </c>
      <c r="D113" s="135">
        <v>0.0</v>
      </c>
      <c r="E113" s="152">
        <v>45608.0</v>
      </c>
      <c r="F113" s="151">
        <f t="shared" si="2"/>
        <v>46195</v>
      </c>
      <c r="G113" s="145">
        <v>46255.0</v>
      </c>
      <c r="H113" s="146">
        <v>7.909692029715E12</v>
      </c>
      <c r="I113" s="135" t="s">
        <v>1528</v>
      </c>
    </row>
    <row r="114">
      <c r="A114" s="142" t="s">
        <v>2293</v>
      </c>
      <c r="B114" s="149" t="s">
        <v>2298</v>
      </c>
      <c r="C114" s="133" t="s">
        <v>2299</v>
      </c>
      <c r="D114" s="135">
        <v>0.0</v>
      </c>
      <c r="E114" s="152">
        <v>45608.0</v>
      </c>
      <c r="F114" s="151">
        <f t="shared" si="2"/>
        <v>46195</v>
      </c>
      <c r="G114" s="145">
        <v>46255.0</v>
      </c>
      <c r="H114" s="146" t="s">
        <v>2300</v>
      </c>
      <c r="I114" s="135" t="s">
        <v>1528</v>
      </c>
    </row>
    <row r="115">
      <c r="A115" s="142" t="s">
        <v>2293</v>
      </c>
      <c r="B115" s="149" t="s">
        <v>2301</v>
      </c>
      <c r="C115" s="133" t="s">
        <v>2302</v>
      </c>
      <c r="D115" s="135">
        <v>2.0</v>
      </c>
      <c r="E115" s="152">
        <v>45608.0</v>
      </c>
      <c r="F115" s="151">
        <f t="shared" si="2"/>
        <v>46195</v>
      </c>
      <c r="G115" s="145">
        <v>46255.0</v>
      </c>
      <c r="H115" s="146" t="s">
        <v>2303</v>
      </c>
      <c r="I115" s="135" t="s">
        <v>1528</v>
      </c>
    </row>
    <row r="116">
      <c r="A116" s="142" t="s">
        <v>2293</v>
      </c>
      <c r="B116" s="149" t="s">
        <v>2304</v>
      </c>
      <c r="C116" s="133" t="s">
        <v>2305</v>
      </c>
      <c r="D116" s="135">
        <v>0.0</v>
      </c>
      <c r="E116" s="152">
        <v>45608.0</v>
      </c>
      <c r="F116" s="151">
        <f t="shared" si="2"/>
        <v>46195</v>
      </c>
      <c r="G116" s="145">
        <v>46255.0</v>
      </c>
      <c r="H116" s="146" t="s">
        <v>2306</v>
      </c>
      <c r="I116" s="135" t="s">
        <v>1528</v>
      </c>
    </row>
    <row r="117">
      <c r="A117" s="142" t="s">
        <v>2293</v>
      </c>
      <c r="B117" s="149" t="s">
        <v>2307</v>
      </c>
      <c r="C117" s="133" t="s">
        <v>2308</v>
      </c>
      <c r="D117" s="135">
        <v>0.0</v>
      </c>
      <c r="E117" s="152">
        <v>45608.0</v>
      </c>
      <c r="F117" s="151">
        <f t="shared" si="2"/>
        <v>46195</v>
      </c>
      <c r="G117" s="145">
        <v>46255.0</v>
      </c>
      <c r="H117" s="146" t="s">
        <v>2309</v>
      </c>
      <c r="I117" s="135" t="s">
        <v>1528</v>
      </c>
    </row>
    <row r="118">
      <c r="A118" s="142" t="s">
        <v>2293</v>
      </c>
      <c r="B118" s="149" t="s">
        <v>2310</v>
      </c>
      <c r="C118" s="133" t="s">
        <v>2311</v>
      </c>
      <c r="D118" s="135">
        <v>0.0</v>
      </c>
      <c r="E118" s="152">
        <v>45608.0</v>
      </c>
      <c r="F118" s="151">
        <f t="shared" si="2"/>
        <v>46195</v>
      </c>
      <c r="G118" s="145">
        <v>46255.0</v>
      </c>
      <c r="H118" s="146" t="s">
        <v>2312</v>
      </c>
      <c r="I118" s="135" t="s">
        <v>1528</v>
      </c>
    </row>
    <row r="119">
      <c r="A119" s="142" t="s">
        <v>2293</v>
      </c>
      <c r="B119" s="149" t="s">
        <v>2313</v>
      </c>
      <c r="C119" s="133" t="s">
        <v>2314</v>
      </c>
      <c r="D119" s="135">
        <v>0.0</v>
      </c>
      <c r="E119" s="152">
        <v>45608.0</v>
      </c>
      <c r="F119" s="151">
        <f t="shared" si="2"/>
        <v>46195</v>
      </c>
      <c r="G119" s="145">
        <v>46255.0</v>
      </c>
      <c r="H119" s="146" t="s">
        <v>2315</v>
      </c>
      <c r="I119" s="135" t="s">
        <v>1528</v>
      </c>
    </row>
    <row r="120">
      <c r="A120" s="142" t="s">
        <v>2293</v>
      </c>
      <c r="B120" s="149" t="s">
        <v>2316</v>
      </c>
      <c r="C120" s="133" t="s">
        <v>2317</v>
      </c>
      <c r="D120" s="135">
        <v>0.0</v>
      </c>
      <c r="E120" s="152">
        <v>45608.0</v>
      </c>
      <c r="F120" s="151">
        <f t="shared" si="2"/>
        <v>46195</v>
      </c>
      <c r="G120" s="145">
        <v>46255.0</v>
      </c>
      <c r="H120" s="146" t="s">
        <v>2318</v>
      </c>
      <c r="I120" s="135" t="s">
        <v>1528</v>
      </c>
    </row>
    <row r="121">
      <c r="A121" s="142" t="s">
        <v>2293</v>
      </c>
      <c r="B121" s="149" t="s">
        <v>2319</v>
      </c>
      <c r="C121" s="133" t="s">
        <v>2320</v>
      </c>
      <c r="D121" s="135">
        <v>5.0</v>
      </c>
      <c r="E121" s="152">
        <v>45608.0</v>
      </c>
      <c r="F121" s="151">
        <f t="shared" si="2"/>
        <v>46195</v>
      </c>
      <c r="G121" s="145">
        <v>46255.0</v>
      </c>
      <c r="H121" s="146" t="s">
        <v>2321</v>
      </c>
      <c r="I121" s="135" t="s">
        <v>1528</v>
      </c>
    </row>
    <row r="122">
      <c r="A122" s="142" t="s">
        <v>2293</v>
      </c>
      <c r="B122" s="149" t="s">
        <v>2322</v>
      </c>
      <c r="C122" s="133" t="s">
        <v>2323</v>
      </c>
      <c r="D122" s="135">
        <v>21.0</v>
      </c>
      <c r="E122" s="152">
        <v>45608.0</v>
      </c>
      <c r="F122" s="151">
        <f t="shared" si="2"/>
        <v>46195</v>
      </c>
      <c r="G122" s="145">
        <v>46255.0</v>
      </c>
      <c r="H122" s="146" t="s">
        <v>2324</v>
      </c>
      <c r="I122" s="135" t="s">
        <v>1528</v>
      </c>
    </row>
    <row r="123">
      <c r="A123" s="142" t="s">
        <v>2293</v>
      </c>
      <c r="B123" s="149" t="s">
        <v>2325</v>
      </c>
      <c r="C123" s="133" t="s">
        <v>2326</v>
      </c>
      <c r="D123" s="135">
        <v>21.0</v>
      </c>
      <c r="E123" s="152">
        <v>45608.0</v>
      </c>
      <c r="F123" s="151">
        <f t="shared" si="2"/>
        <v>46195</v>
      </c>
      <c r="G123" s="145">
        <v>46255.0</v>
      </c>
      <c r="H123" s="146" t="s">
        <v>2327</v>
      </c>
      <c r="I123" s="135" t="s">
        <v>1528</v>
      </c>
    </row>
    <row r="124">
      <c r="A124" s="142" t="s">
        <v>2293</v>
      </c>
      <c r="B124" s="149" t="s">
        <v>2328</v>
      </c>
      <c r="C124" s="133" t="s">
        <v>2329</v>
      </c>
      <c r="D124" s="135">
        <v>466.0</v>
      </c>
      <c r="E124" s="152">
        <v>45608.0</v>
      </c>
      <c r="F124" s="151">
        <f t="shared" si="2"/>
        <v>46195</v>
      </c>
      <c r="G124" s="145">
        <v>46255.0</v>
      </c>
      <c r="H124" s="146" t="s">
        <v>2330</v>
      </c>
      <c r="I124" s="135" t="s">
        <v>1528</v>
      </c>
    </row>
    <row r="125">
      <c r="A125" s="142" t="s">
        <v>2293</v>
      </c>
      <c r="B125" s="149" t="s">
        <v>2331</v>
      </c>
      <c r="C125" s="133" t="s">
        <v>2017</v>
      </c>
      <c r="D125" s="135">
        <v>236.0</v>
      </c>
      <c r="E125" s="152">
        <v>45608.0</v>
      </c>
      <c r="F125" s="151">
        <f t="shared" si="2"/>
        <v>46195</v>
      </c>
      <c r="G125" s="145">
        <v>46255.0</v>
      </c>
      <c r="H125" s="146" t="s">
        <v>2332</v>
      </c>
      <c r="I125" s="135" t="s">
        <v>1528</v>
      </c>
    </row>
    <row r="126">
      <c r="A126" s="142" t="s">
        <v>2293</v>
      </c>
      <c r="B126" s="149" t="s">
        <v>2333</v>
      </c>
      <c r="C126" s="133" t="s">
        <v>2308</v>
      </c>
      <c r="D126" s="135">
        <v>158.0</v>
      </c>
      <c r="E126" s="152">
        <v>45608.0</v>
      </c>
      <c r="F126" s="151">
        <f t="shared" si="2"/>
        <v>46195</v>
      </c>
      <c r="G126" s="145">
        <v>46255.0</v>
      </c>
      <c r="H126" s="146" t="s">
        <v>2334</v>
      </c>
      <c r="I126" s="135" t="s">
        <v>1528</v>
      </c>
    </row>
    <row r="127">
      <c r="A127" s="142" t="s">
        <v>2293</v>
      </c>
      <c r="B127" s="149" t="s">
        <v>2335</v>
      </c>
      <c r="C127" s="133" t="s">
        <v>2336</v>
      </c>
      <c r="D127" s="135">
        <v>142.0</v>
      </c>
      <c r="E127" s="152">
        <v>45608.0</v>
      </c>
      <c r="F127" s="151">
        <f t="shared" si="2"/>
        <v>46195</v>
      </c>
      <c r="G127" s="145">
        <v>46255.0</v>
      </c>
      <c r="H127" s="146" t="s">
        <v>2337</v>
      </c>
      <c r="I127" s="135" t="s">
        <v>1528</v>
      </c>
    </row>
    <row r="128">
      <c r="A128" s="142" t="s">
        <v>2293</v>
      </c>
      <c r="B128" s="149" t="s">
        <v>2338</v>
      </c>
      <c r="C128" s="133" t="s">
        <v>2339</v>
      </c>
      <c r="D128" s="135">
        <v>186.0</v>
      </c>
      <c r="E128" s="152">
        <v>45608.0</v>
      </c>
      <c r="F128" s="151">
        <f t="shared" si="2"/>
        <v>46195</v>
      </c>
      <c r="G128" s="145">
        <v>46255.0</v>
      </c>
      <c r="H128" s="146" t="s">
        <v>2340</v>
      </c>
      <c r="I128" s="135" t="s">
        <v>1528</v>
      </c>
    </row>
    <row r="129">
      <c r="A129" s="142" t="s">
        <v>2293</v>
      </c>
      <c r="B129" s="149" t="s">
        <v>2341</v>
      </c>
      <c r="C129" s="133" t="s">
        <v>2342</v>
      </c>
      <c r="D129" s="135">
        <v>110.0</v>
      </c>
      <c r="E129" s="152">
        <v>45608.0</v>
      </c>
      <c r="F129" s="151">
        <f t="shared" si="2"/>
        <v>46195</v>
      </c>
      <c r="G129" s="145">
        <v>46255.0</v>
      </c>
      <c r="H129" s="146" t="s">
        <v>2343</v>
      </c>
      <c r="I129" s="135" t="s">
        <v>1528</v>
      </c>
    </row>
    <row r="130">
      <c r="A130" s="142" t="s">
        <v>2293</v>
      </c>
      <c r="B130" s="149" t="s">
        <v>2344</v>
      </c>
      <c r="C130" s="133" t="s">
        <v>2345</v>
      </c>
      <c r="D130" s="135">
        <v>552.0</v>
      </c>
      <c r="E130" s="152">
        <v>45608.0</v>
      </c>
      <c r="F130" s="151">
        <f t="shared" si="2"/>
        <v>46195</v>
      </c>
      <c r="G130" s="145">
        <v>46255.0</v>
      </c>
      <c r="H130" s="146" t="s">
        <v>2346</v>
      </c>
      <c r="I130" s="135" t="s">
        <v>1528</v>
      </c>
    </row>
    <row r="131">
      <c r="A131" s="142" t="s">
        <v>2293</v>
      </c>
      <c r="B131" s="149" t="s">
        <v>2347</v>
      </c>
      <c r="C131" s="133" t="s">
        <v>2348</v>
      </c>
      <c r="D131" s="135">
        <v>358.0</v>
      </c>
      <c r="E131" s="152">
        <v>45608.0</v>
      </c>
      <c r="F131" s="151">
        <f t="shared" si="2"/>
        <v>46195</v>
      </c>
      <c r="G131" s="145">
        <v>46255.0</v>
      </c>
      <c r="H131" s="146" t="s">
        <v>2349</v>
      </c>
      <c r="I131" s="135" t="s">
        <v>1528</v>
      </c>
    </row>
    <row r="132">
      <c r="A132" s="142" t="s">
        <v>2293</v>
      </c>
      <c r="B132" s="149" t="s">
        <v>2350</v>
      </c>
      <c r="C132" s="133" t="s">
        <v>2351</v>
      </c>
      <c r="D132" s="135">
        <v>737.0</v>
      </c>
      <c r="E132" s="152">
        <v>45608.0</v>
      </c>
      <c r="F132" s="151">
        <f t="shared" si="2"/>
        <v>46195</v>
      </c>
      <c r="G132" s="145">
        <v>46255.0</v>
      </c>
      <c r="H132" s="146" t="s">
        <v>2352</v>
      </c>
      <c r="I132" s="135" t="s">
        <v>1528</v>
      </c>
    </row>
    <row r="133">
      <c r="A133" s="142" t="s">
        <v>2293</v>
      </c>
      <c r="B133" s="149" t="s">
        <v>2353</v>
      </c>
      <c r="C133" s="133" t="s">
        <v>2354</v>
      </c>
      <c r="D133" s="135">
        <v>180.0</v>
      </c>
      <c r="E133" s="152">
        <v>45608.0</v>
      </c>
      <c r="F133" s="151">
        <f t="shared" si="2"/>
        <v>46195</v>
      </c>
      <c r="G133" s="145">
        <v>46255.0</v>
      </c>
      <c r="H133" s="146" t="s">
        <v>2355</v>
      </c>
      <c r="I133" s="135" t="s">
        <v>1528</v>
      </c>
    </row>
    <row r="134">
      <c r="A134" s="142" t="s">
        <v>2293</v>
      </c>
      <c r="B134" s="149" t="s">
        <v>2356</v>
      </c>
      <c r="C134" s="133" t="s">
        <v>2357</v>
      </c>
      <c r="D134" s="135">
        <v>9.0</v>
      </c>
      <c r="E134" s="152">
        <v>45608.0</v>
      </c>
      <c r="F134" s="151">
        <f t="shared" si="2"/>
        <v>46195</v>
      </c>
      <c r="G134" s="145">
        <v>46255.0</v>
      </c>
      <c r="H134" s="146" t="s">
        <v>2358</v>
      </c>
      <c r="I134" s="135" t="s">
        <v>1528</v>
      </c>
    </row>
    <row r="135">
      <c r="A135" s="142" t="s">
        <v>2293</v>
      </c>
      <c r="B135" s="149" t="s">
        <v>2359</v>
      </c>
      <c r="C135" s="133" t="s">
        <v>2351</v>
      </c>
      <c r="D135" s="135">
        <v>177.0</v>
      </c>
      <c r="E135" s="152">
        <v>45608.0</v>
      </c>
      <c r="F135" s="151">
        <f t="shared" si="2"/>
        <v>46195</v>
      </c>
      <c r="G135" s="145">
        <v>46255.0</v>
      </c>
      <c r="H135" s="146" t="s">
        <v>2360</v>
      </c>
      <c r="I135" s="135" t="s">
        <v>1528</v>
      </c>
    </row>
    <row r="136">
      <c r="A136" s="142" t="s">
        <v>2293</v>
      </c>
      <c r="B136" s="149" t="s">
        <v>2361</v>
      </c>
      <c r="C136" s="133" t="s">
        <v>2362</v>
      </c>
      <c r="D136" s="135">
        <v>602.0</v>
      </c>
      <c r="E136" s="152">
        <v>45608.0</v>
      </c>
      <c r="F136" s="151">
        <f t="shared" si="2"/>
        <v>46195</v>
      </c>
      <c r="G136" s="145">
        <v>46255.0</v>
      </c>
      <c r="H136" s="146" t="s">
        <v>2363</v>
      </c>
      <c r="I136" s="135" t="s">
        <v>1528</v>
      </c>
    </row>
    <row r="137">
      <c r="A137" s="142" t="s">
        <v>2293</v>
      </c>
      <c r="B137" s="149" t="s">
        <v>2364</v>
      </c>
      <c r="C137" s="133" t="s">
        <v>2365</v>
      </c>
      <c r="D137" s="135">
        <v>1.0</v>
      </c>
      <c r="E137" s="152">
        <v>45608.0</v>
      </c>
      <c r="F137" s="151">
        <f t="shared" si="2"/>
        <v>46195</v>
      </c>
      <c r="G137" s="145">
        <v>46255.0</v>
      </c>
      <c r="H137" s="146" t="s">
        <v>2366</v>
      </c>
      <c r="I137" s="135" t="s">
        <v>1528</v>
      </c>
    </row>
    <row r="138">
      <c r="A138" s="142" t="s">
        <v>2293</v>
      </c>
      <c r="B138" s="149" t="s">
        <v>2367</v>
      </c>
      <c r="C138" s="133" t="s">
        <v>1943</v>
      </c>
      <c r="D138" s="135">
        <v>277.0</v>
      </c>
      <c r="E138" s="152">
        <v>45608.0</v>
      </c>
      <c r="F138" s="151">
        <f t="shared" si="2"/>
        <v>46195</v>
      </c>
      <c r="G138" s="145">
        <v>46255.0</v>
      </c>
      <c r="H138" s="146" t="s">
        <v>2368</v>
      </c>
      <c r="I138" s="135" t="s">
        <v>1528</v>
      </c>
    </row>
    <row r="139">
      <c r="A139" s="142" t="s">
        <v>2293</v>
      </c>
      <c r="B139" s="149" t="s">
        <v>2369</v>
      </c>
      <c r="C139" s="133" t="s">
        <v>2354</v>
      </c>
      <c r="D139" s="135">
        <v>241.0</v>
      </c>
      <c r="E139" s="152">
        <v>45608.0</v>
      </c>
      <c r="F139" s="151">
        <f t="shared" si="2"/>
        <v>46195</v>
      </c>
      <c r="G139" s="145">
        <v>46255.0</v>
      </c>
      <c r="H139" s="146" t="s">
        <v>2370</v>
      </c>
      <c r="I139" s="135" t="s">
        <v>1528</v>
      </c>
    </row>
    <row r="140">
      <c r="A140" s="142" t="s">
        <v>2293</v>
      </c>
      <c r="B140" s="149" t="s">
        <v>2371</v>
      </c>
      <c r="C140" s="133" t="s">
        <v>2357</v>
      </c>
      <c r="D140" s="135">
        <v>593.0</v>
      </c>
      <c r="E140" s="152">
        <v>45608.0</v>
      </c>
      <c r="F140" s="151">
        <f t="shared" si="2"/>
        <v>46195</v>
      </c>
      <c r="G140" s="145">
        <v>46255.0</v>
      </c>
      <c r="H140" s="146" t="s">
        <v>2372</v>
      </c>
      <c r="I140" s="135" t="s">
        <v>1528</v>
      </c>
    </row>
    <row r="141">
      <c r="A141" s="142" t="s">
        <v>2293</v>
      </c>
      <c r="B141" s="149" t="s">
        <v>2373</v>
      </c>
      <c r="C141" s="133" t="s">
        <v>1924</v>
      </c>
      <c r="D141" s="135">
        <v>2.0</v>
      </c>
      <c r="E141" s="152">
        <v>45608.0</v>
      </c>
      <c r="F141" s="151">
        <f t="shared" si="2"/>
        <v>46195</v>
      </c>
      <c r="G141" s="145">
        <v>46255.0</v>
      </c>
      <c r="H141" s="146" t="s">
        <v>2374</v>
      </c>
      <c r="I141" s="135" t="s">
        <v>1528</v>
      </c>
    </row>
    <row r="142">
      <c r="A142" s="142" t="s">
        <v>2293</v>
      </c>
      <c r="B142" s="149" t="s">
        <v>2375</v>
      </c>
      <c r="C142" s="133" t="s">
        <v>2317</v>
      </c>
      <c r="D142" s="135">
        <v>0.0</v>
      </c>
      <c r="E142" s="152">
        <v>45608.0</v>
      </c>
      <c r="F142" s="151">
        <f t="shared" si="2"/>
        <v>46195</v>
      </c>
      <c r="G142" s="145">
        <v>46255.0</v>
      </c>
      <c r="H142" s="146" t="s">
        <v>2376</v>
      </c>
      <c r="I142" s="135" t="s">
        <v>1528</v>
      </c>
    </row>
    <row r="143">
      <c r="A143" s="142" t="s">
        <v>2293</v>
      </c>
      <c r="B143" s="149" t="s">
        <v>2377</v>
      </c>
      <c r="C143" s="133" t="s">
        <v>2378</v>
      </c>
      <c r="D143" s="135">
        <v>0.0</v>
      </c>
      <c r="E143" s="152">
        <v>45608.0</v>
      </c>
      <c r="F143" s="151">
        <f t="shared" si="2"/>
        <v>46195</v>
      </c>
      <c r="G143" s="145">
        <v>46255.0</v>
      </c>
      <c r="H143" s="146" t="s">
        <v>2379</v>
      </c>
      <c r="I143" s="135" t="s">
        <v>1528</v>
      </c>
    </row>
    <row r="144">
      <c r="A144" s="142" t="s">
        <v>2293</v>
      </c>
      <c r="B144" s="149" t="s">
        <v>2380</v>
      </c>
      <c r="C144" s="133" t="s">
        <v>2381</v>
      </c>
      <c r="D144" s="135">
        <v>0.0</v>
      </c>
      <c r="E144" s="152">
        <v>45608.0</v>
      </c>
      <c r="F144" s="151">
        <f t="shared" si="2"/>
        <v>46195</v>
      </c>
      <c r="G144" s="145">
        <v>46255.0</v>
      </c>
      <c r="H144" s="146">
        <v>7.909692083823E12</v>
      </c>
      <c r="I144" s="135" t="s">
        <v>1528</v>
      </c>
    </row>
    <row r="145">
      <c r="A145" s="142" t="s">
        <v>2293</v>
      </c>
      <c r="B145" s="149" t="s">
        <v>2382</v>
      </c>
      <c r="C145" s="133" t="s">
        <v>2383</v>
      </c>
      <c r="D145" s="135">
        <v>0.0</v>
      </c>
      <c r="E145" s="152">
        <v>45608.0</v>
      </c>
      <c r="F145" s="151">
        <f t="shared" si="2"/>
        <v>46195</v>
      </c>
      <c r="G145" s="145">
        <v>46255.0</v>
      </c>
      <c r="H145" s="146" t="s">
        <v>2384</v>
      </c>
      <c r="I145" s="135" t="s">
        <v>1528</v>
      </c>
    </row>
    <row r="146">
      <c r="A146" s="142" t="s">
        <v>2293</v>
      </c>
      <c r="B146" s="149" t="s">
        <v>2385</v>
      </c>
      <c r="C146" s="133" t="s">
        <v>2386</v>
      </c>
      <c r="D146" s="135">
        <v>177.0</v>
      </c>
      <c r="E146" s="152">
        <v>45608.0</v>
      </c>
      <c r="F146" s="151">
        <f t="shared" si="2"/>
        <v>46195</v>
      </c>
      <c r="G146" s="145">
        <v>46255.0</v>
      </c>
      <c r="H146" s="146" t="s">
        <v>2387</v>
      </c>
      <c r="I146" s="135" t="s">
        <v>1528</v>
      </c>
    </row>
    <row r="147">
      <c r="A147" s="142" t="s">
        <v>2293</v>
      </c>
      <c r="B147" s="149" t="s">
        <v>2388</v>
      </c>
      <c r="C147" s="133" t="s">
        <v>2389</v>
      </c>
      <c r="D147" s="135">
        <v>10.0</v>
      </c>
      <c r="E147" s="152">
        <v>45608.0</v>
      </c>
      <c r="F147" s="151">
        <f t="shared" si="2"/>
        <v>46195</v>
      </c>
      <c r="G147" s="145">
        <v>46255.0</v>
      </c>
      <c r="H147" s="146" t="s">
        <v>2390</v>
      </c>
      <c r="I147" s="135" t="s">
        <v>1528</v>
      </c>
    </row>
    <row r="148">
      <c r="A148" s="142" t="s">
        <v>2293</v>
      </c>
      <c r="B148" s="149" t="s">
        <v>2391</v>
      </c>
      <c r="C148" s="133" t="s">
        <v>2392</v>
      </c>
      <c r="D148" s="135">
        <v>133.0</v>
      </c>
      <c r="E148" s="152">
        <v>45608.0</v>
      </c>
      <c r="F148" s="151">
        <f t="shared" si="2"/>
        <v>46195</v>
      </c>
      <c r="G148" s="145">
        <v>46255.0</v>
      </c>
      <c r="H148" s="146" t="s">
        <v>2393</v>
      </c>
      <c r="I148" s="135" t="s">
        <v>1528</v>
      </c>
    </row>
    <row r="149">
      <c r="A149" s="142" t="s">
        <v>2293</v>
      </c>
      <c r="B149" s="149" t="s">
        <v>2394</v>
      </c>
      <c r="C149" s="133" t="s">
        <v>2395</v>
      </c>
      <c r="D149" s="135">
        <v>162.0</v>
      </c>
      <c r="E149" s="152">
        <v>45608.0</v>
      </c>
      <c r="F149" s="151">
        <f t="shared" si="2"/>
        <v>46195</v>
      </c>
      <c r="G149" s="145">
        <v>46255.0</v>
      </c>
      <c r="H149" s="146" t="s">
        <v>2396</v>
      </c>
      <c r="I149" s="135" t="s">
        <v>1528</v>
      </c>
    </row>
    <row r="150">
      <c r="A150" s="142" t="s">
        <v>2293</v>
      </c>
      <c r="B150" s="149" t="s">
        <v>2397</v>
      </c>
      <c r="C150" s="133" t="s">
        <v>2398</v>
      </c>
      <c r="D150" s="135">
        <v>112.0</v>
      </c>
      <c r="E150" s="152">
        <v>45608.0</v>
      </c>
      <c r="F150" s="151">
        <f t="shared" si="2"/>
        <v>46195</v>
      </c>
      <c r="G150" s="145">
        <v>46255.0</v>
      </c>
      <c r="H150" s="146" t="s">
        <v>2399</v>
      </c>
      <c r="I150" s="135" t="s">
        <v>1528</v>
      </c>
    </row>
    <row r="151">
      <c r="A151" s="142" t="s">
        <v>2293</v>
      </c>
      <c r="B151" s="149" t="s">
        <v>2400</v>
      </c>
      <c r="C151" s="133" t="s">
        <v>2401</v>
      </c>
      <c r="D151" s="135">
        <v>65.0</v>
      </c>
      <c r="E151" s="152">
        <v>45608.0</v>
      </c>
      <c r="F151" s="151">
        <f t="shared" si="2"/>
        <v>46195</v>
      </c>
      <c r="G151" s="145">
        <v>46255.0</v>
      </c>
      <c r="H151" s="146" t="s">
        <v>2402</v>
      </c>
      <c r="I151" s="135" t="s">
        <v>1528</v>
      </c>
    </row>
    <row r="152">
      <c r="A152" s="142" t="s">
        <v>2293</v>
      </c>
      <c r="B152" s="149" t="s">
        <v>2403</v>
      </c>
      <c r="C152" s="133" t="s">
        <v>2404</v>
      </c>
      <c r="D152" s="135">
        <v>170.0</v>
      </c>
      <c r="E152" s="152">
        <v>45608.0</v>
      </c>
      <c r="F152" s="151">
        <f t="shared" si="2"/>
        <v>46195</v>
      </c>
      <c r="G152" s="145">
        <v>46255.0</v>
      </c>
      <c r="H152" s="146" t="s">
        <v>2405</v>
      </c>
      <c r="I152" s="135" t="s">
        <v>1528</v>
      </c>
    </row>
    <row r="153">
      <c r="A153" s="142" t="s">
        <v>2293</v>
      </c>
      <c r="B153" s="149" t="s">
        <v>2406</v>
      </c>
      <c r="C153" s="133" t="s">
        <v>2407</v>
      </c>
      <c r="D153" s="135">
        <v>177.0</v>
      </c>
      <c r="E153" s="152">
        <v>45608.0</v>
      </c>
      <c r="F153" s="151">
        <f t="shared" si="2"/>
        <v>46195</v>
      </c>
      <c r="G153" s="145">
        <v>46255.0</v>
      </c>
      <c r="H153" s="146" t="s">
        <v>2408</v>
      </c>
      <c r="I153" s="135" t="s">
        <v>1528</v>
      </c>
    </row>
    <row r="154">
      <c r="A154" s="142" t="s">
        <v>2293</v>
      </c>
      <c r="B154" s="149" t="s">
        <v>2409</v>
      </c>
      <c r="C154" s="133" t="s">
        <v>2410</v>
      </c>
      <c r="D154" s="135">
        <v>0.0</v>
      </c>
      <c r="E154" s="152">
        <v>45608.0</v>
      </c>
      <c r="F154" s="151">
        <f t="shared" si="2"/>
        <v>46195</v>
      </c>
      <c r="G154" s="145">
        <v>46255.0</v>
      </c>
      <c r="H154" s="146" t="s">
        <v>2411</v>
      </c>
      <c r="I154" s="135" t="s">
        <v>1528</v>
      </c>
    </row>
    <row r="155">
      <c r="A155" s="142" t="s">
        <v>2293</v>
      </c>
      <c r="B155" s="149" t="s">
        <v>2412</v>
      </c>
      <c r="C155" s="133" t="s">
        <v>2413</v>
      </c>
      <c r="D155" s="135">
        <v>0.0</v>
      </c>
      <c r="E155" s="152">
        <v>45608.0</v>
      </c>
      <c r="F155" s="151">
        <f t="shared" si="2"/>
        <v>46195</v>
      </c>
      <c r="G155" s="145">
        <v>46255.0</v>
      </c>
      <c r="H155" s="146" t="s">
        <v>2414</v>
      </c>
      <c r="I155" s="135" t="s">
        <v>1528</v>
      </c>
    </row>
    <row r="156">
      <c r="A156" s="142" t="s">
        <v>2293</v>
      </c>
      <c r="B156" s="149" t="s">
        <v>2415</v>
      </c>
      <c r="C156" s="133" t="s">
        <v>2416</v>
      </c>
      <c r="D156" s="135">
        <v>0.0</v>
      </c>
      <c r="E156" s="152">
        <v>45608.0</v>
      </c>
      <c r="F156" s="151">
        <f t="shared" si="2"/>
        <v>46195</v>
      </c>
      <c r="G156" s="145">
        <v>46255.0</v>
      </c>
      <c r="H156" s="146" t="s">
        <v>2417</v>
      </c>
      <c r="I156" s="135" t="s">
        <v>1528</v>
      </c>
    </row>
    <row r="157">
      <c r="A157" s="142" t="s">
        <v>1670</v>
      </c>
      <c r="B157" s="149" t="s">
        <v>1667</v>
      </c>
      <c r="C157" s="133" t="s">
        <v>1668</v>
      </c>
      <c r="D157" s="135">
        <v>164.0</v>
      </c>
      <c r="E157" s="145">
        <v>45534.0</v>
      </c>
      <c r="F157" s="151">
        <f t="shared" si="2"/>
        <v>46203</v>
      </c>
      <c r="G157" s="145">
        <v>46263.0</v>
      </c>
      <c r="H157" s="146" t="s">
        <v>2418</v>
      </c>
      <c r="I157" s="135" t="s">
        <v>1528</v>
      </c>
    </row>
    <row r="158">
      <c r="A158" s="142" t="s">
        <v>1670</v>
      </c>
      <c r="B158" s="149" t="s">
        <v>1673</v>
      </c>
      <c r="C158" s="133" t="s">
        <v>1674</v>
      </c>
      <c r="D158" s="135">
        <v>153.0</v>
      </c>
      <c r="E158" s="145">
        <v>45534.0</v>
      </c>
      <c r="F158" s="151">
        <f t="shared" si="2"/>
        <v>46203</v>
      </c>
      <c r="G158" s="145">
        <v>46263.0</v>
      </c>
      <c r="H158" s="146" t="s">
        <v>2419</v>
      </c>
      <c r="I158" s="135" t="s">
        <v>1528</v>
      </c>
    </row>
    <row r="159">
      <c r="A159" s="142" t="s">
        <v>1188</v>
      </c>
      <c r="B159" s="143" t="s">
        <v>1185</v>
      </c>
      <c r="C159" s="133" t="s">
        <v>1186</v>
      </c>
      <c r="D159" s="135">
        <v>11.0</v>
      </c>
      <c r="E159" s="145">
        <v>45603.0</v>
      </c>
      <c r="F159" s="151">
        <f t="shared" si="2"/>
        <v>46264</v>
      </c>
      <c r="G159" s="152">
        <v>46324.0</v>
      </c>
      <c r="H159" s="146">
        <v>7.898458239881E12</v>
      </c>
      <c r="I159" s="135" t="s">
        <v>231</v>
      </c>
    </row>
    <row r="160">
      <c r="A160" s="142" t="s">
        <v>1188</v>
      </c>
      <c r="B160" s="143" t="s">
        <v>1191</v>
      </c>
      <c r="C160" s="133" t="s">
        <v>1192</v>
      </c>
      <c r="D160" s="135">
        <v>29.0</v>
      </c>
      <c r="E160" s="145">
        <v>45603.0</v>
      </c>
      <c r="F160" s="151">
        <f t="shared" si="2"/>
        <v>46264</v>
      </c>
      <c r="G160" s="152">
        <v>46324.0</v>
      </c>
      <c r="H160" s="146">
        <v>7.898458239898E12</v>
      </c>
      <c r="I160" s="135" t="s">
        <v>231</v>
      </c>
    </row>
    <row r="161">
      <c r="A161" s="142" t="s">
        <v>1188</v>
      </c>
      <c r="B161" s="143" t="s">
        <v>1194</v>
      </c>
      <c r="C161" s="133" t="s">
        <v>1195</v>
      </c>
      <c r="D161" s="135">
        <v>10.0</v>
      </c>
      <c r="E161" s="145">
        <v>45603.0</v>
      </c>
      <c r="F161" s="151">
        <f t="shared" si="2"/>
        <v>46264</v>
      </c>
      <c r="G161" s="152">
        <v>46324.0</v>
      </c>
      <c r="H161" s="146">
        <v>7.898458239867E12</v>
      </c>
      <c r="I161" s="135" t="s">
        <v>231</v>
      </c>
    </row>
    <row r="162">
      <c r="A162" s="142" t="s">
        <v>1188</v>
      </c>
      <c r="B162" s="143" t="s">
        <v>1197</v>
      </c>
      <c r="C162" s="133" t="s">
        <v>1198</v>
      </c>
      <c r="D162" s="135">
        <v>152.0</v>
      </c>
      <c r="E162" s="145">
        <v>45603.0</v>
      </c>
      <c r="F162" s="151">
        <f t="shared" si="2"/>
        <v>46264</v>
      </c>
      <c r="G162" s="152">
        <v>46324.0</v>
      </c>
      <c r="H162" s="146">
        <v>7.898458239874E12</v>
      </c>
      <c r="I162" s="135" t="s">
        <v>231</v>
      </c>
    </row>
    <row r="163">
      <c r="A163" s="142" t="s">
        <v>1188</v>
      </c>
      <c r="B163" s="143" t="s">
        <v>1200</v>
      </c>
      <c r="C163" s="133" t="s">
        <v>1201</v>
      </c>
      <c r="D163" s="135">
        <v>18.0</v>
      </c>
      <c r="E163" s="145">
        <v>45603.0</v>
      </c>
      <c r="F163" s="151">
        <f t="shared" si="2"/>
        <v>46264</v>
      </c>
      <c r="G163" s="152">
        <v>46324.0</v>
      </c>
      <c r="H163" s="146">
        <v>7.898458240054E12</v>
      </c>
      <c r="I163" s="135" t="s">
        <v>231</v>
      </c>
    </row>
    <row r="164">
      <c r="A164" s="142" t="s">
        <v>920</v>
      </c>
      <c r="B164" s="143" t="s">
        <v>913</v>
      </c>
      <c r="C164" s="133" t="s">
        <v>916</v>
      </c>
      <c r="D164" s="135">
        <v>154.0</v>
      </c>
      <c r="E164" s="145">
        <v>45603.0</v>
      </c>
      <c r="F164" s="151">
        <f t="shared" si="2"/>
        <v>46264</v>
      </c>
      <c r="G164" s="152">
        <v>46324.0</v>
      </c>
      <c r="H164" s="146">
        <v>7.898458233995E12</v>
      </c>
      <c r="I164" s="135" t="s">
        <v>231</v>
      </c>
    </row>
    <row r="165">
      <c r="A165" s="142" t="s">
        <v>920</v>
      </c>
      <c r="B165" s="143" t="s">
        <v>923</v>
      </c>
      <c r="C165" s="133" t="s">
        <v>924</v>
      </c>
      <c r="D165" s="135">
        <v>227.0</v>
      </c>
      <c r="E165" s="145">
        <v>45603.0</v>
      </c>
      <c r="F165" s="151">
        <f t="shared" si="2"/>
        <v>46264</v>
      </c>
      <c r="G165" s="152">
        <v>46324.0</v>
      </c>
      <c r="H165" s="146">
        <v>7.898458234107E12</v>
      </c>
      <c r="I165" s="135" t="s">
        <v>231</v>
      </c>
    </row>
    <row r="166">
      <c r="A166" s="142" t="s">
        <v>920</v>
      </c>
      <c r="B166" s="143" t="s">
        <v>931</v>
      </c>
      <c r="C166" s="133" t="s">
        <v>932</v>
      </c>
      <c r="D166" s="135">
        <v>5.0</v>
      </c>
      <c r="E166" s="145">
        <v>45603.0</v>
      </c>
      <c r="F166" s="151">
        <f t="shared" si="2"/>
        <v>46264</v>
      </c>
      <c r="G166" s="152">
        <v>46324.0</v>
      </c>
      <c r="H166" s="146">
        <v>7.898458234121E12</v>
      </c>
      <c r="I166" s="135" t="s">
        <v>231</v>
      </c>
    </row>
    <row r="167">
      <c r="A167" s="142" t="s">
        <v>920</v>
      </c>
      <c r="B167" s="143" t="s">
        <v>934</v>
      </c>
      <c r="C167" s="133" t="s">
        <v>935</v>
      </c>
      <c r="D167" s="135">
        <v>353.0</v>
      </c>
      <c r="E167" s="145">
        <v>45603.0</v>
      </c>
      <c r="F167" s="151">
        <f t="shared" si="2"/>
        <v>46264</v>
      </c>
      <c r="G167" s="152">
        <v>46324.0</v>
      </c>
      <c r="H167" s="146">
        <v>7.898458233971E12</v>
      </c>
      <c r="I167" s="135" t="s">
        <v>231</v>
      </c>
    </row>
    <row r="168">
      <c r="A168" s="142" t="s">
        <v>920</v>
      </c>
      <c r="B168" s="143" t="s">
        <v>937</v>
      </c>
      <c r="C168" s="133" t="s">
        <v>938</v>
      </c>
      <c r="D168" s="135">
        <v>224.0</v>
      </c>
      <c r="E168" s="145">
        <v>45603.0</v>
      </c>
      <c r="F168" s="151">
        <f t="shared" si="2"/>
        <v>46264</v>
      </c>
      <c r="G168" s="152">
        <v>46324.0</v>
      </c>
      <c r="H168" s="146">
        <v>7.898458234022E12</v>
      </c>
      <c r="I168" s="135" t="s">
        <v>231</v>
      </c>
    </row>
    <row r="169">
      <c r="A169" s="142" t="s">
        <v>920</v>
      </c>
      <c r="B169" s="143" t="s">
        <v>943</v>
      </c>
      <c r="C169" s="133" t="s">
        <v>944</v>
      </c>
      <c r="D169" s="135">
        <v>1260.0</v>
      </c>
      <c r="E169" s="145">
        <v>45603.0</v>
      </c>
      <c r="F169" s="151">
        <f t="shared" si="2"/>
        <v>46264</v>
      </c>
      <c r="G169" s="152">
        <v>46324.0</v>
      </c>
      <c r="H169" s="146">
        <v>7.898458233988E12</v>
      </c>
      <c r="I169" s="135" t="s">
        <v>231</v>
      </c>
    </row>
    <row r="170">
      <c r="A170" s="142" t="s">
        <v>920</v>
      </c>
      <c r="B170" s="143" t="s">
        <v>946</v>
      </c>
      <c r="C170" s="133" t="s">
        <v>947</v>
      </c>
      <c r="D170" s="135">
        <v>1451.0</v>
      </c>
      <c r="E170" s="145">
        <v>45603.0</v>
      </c>
      <c r="F170" s="151">
        <f t="shared" si="2"/>
        <v>46264</v>
      </c>
      <c r="G170" s="152">
        <v>46324.0</v>
      </c>
      <c r="H170" s="146">
        <v>7.898458234091E12</v>
      </c>
      <c r="I170" s="135" t="s">
        <v>231</v>
      </c>
    </row>
    <row r="171">
      <c r="A171" s="142" t="s">
        <v>920</v>
      </c>
      <c r="B171" s="143" t="s">
        <v>952</v>
      </c>
      <c r="C171" s="133" t="s">
        <v>953</v>
      </c>
      <c r="D171" s="135">
        <v>968.0</v>
      </c>
      <c r="E171" s="145">
        <v>45603.0</v>
      </c>
      <c r="F171" s="151">
        <f t="shared" si="2"/>
        <v>46264</v>
      </c>
      <c r="G171" s="152">
        <v>46324.0</v>
      </c>
      <c r="H171" s="146">
        <v>7.898458233964E12</v>
      </c>
      <c r="I171" s="135" t="s">
        <v>231</v>
      </c>
    </row>
    <row r="172">
      <c r="A172" s="142" t="s">
        <v>920</v>
      </c>
      <c r="B172" s="143" t="s">
        <v>955</v>
      </c>
      <c r="C172" s="133" t="s">
        <v>956</v>
      </c>
      <c r="D172" s="135">
        <v>65.0</v>
      </c>
      <c r="E172" s="145">
        <v>45603.0</v>
      </c>
      <c r="F172" s="151">
        <f t="shared" si="2"/>
        <v>46264</v>
      </c>
      <c r="G172" s="152">
        <v>46324.0</v>
      </c>
      <c r="H172" s="146">
        <v>7.898458234114E12</v>
      </c>
      <c r="I172" s="135" t="s">
        <v>231</v>
      </c>
    </row>
    <row r="173">
      <c r="A173" s="142" t="s">
        <v>920</v>
      </c>
      <c r="B173" s="143" t="s">
        <v>961</v>
      </c>
      <c r="C173" s="133" t="s">
        <v>962</v>
      </c>
      <c r="D173" s="135">
        <v>97.0</v>
      </c>
      <c r="E173" s="145">
        <v>45603.0</v>
      </c>
      <c r="F173" s="151">
        <f t="shared" si="2"/>
        <v>46264</v>
      </c>
      <c r="G173" s="152">
        <v>46324.0</v>
      </c>
      <c r="H173" s="146">
        <v>7.898458234015E12</v>
      </c>
      <c r="I173" s="135" t="s">
        <v>231</v>
      </c>
    </row>
    <row r="174">
      <c r="A174" s="142" t="s">
        <v>920</v>
      </c>
      <c r="B174" s="143" t="s">
        <v>964</v>
      </c>
      <c r="C174" s="133" t="s">
        <v>965</v>
      </c>
      <c r="D174" s="135">
        <v>929.0</v>
      </c>
      <c r="E174" s="145">
        <v>45603.0</v>
      </c>
      <c r="F174" s="151">
        <f t="shared" si="2"/>
        <v>46264</v>
      </c>
      <c r="G174" s="152">
        <v>46324.0</v>
      </c>
      <c r="H174" s="146">
        <v>7.89845823505E12</v>
      </c>
      <c r="I174" s="135" t="s">
        <v>231</v>
      </c>
    </row>
    <row r="175">
      <c r="A175" s="142" t="s">
        <v>920</v>
      </c>
      <c r="B175" s="143" t="s">
        <v>984</v>
      </c>
      <c r="C175" s="133" t="s">
        <v>985</v>
      </c>
      <c r="D175" s="135">
        <v>866.0</v>
      </c>
      <c r="E175" s="145">
        <v>45603.0</v>
      </c>
      <c r="F175" s="151">
        <f t="shared" si="2"/>
        <v>46264</v>
      </c>
      <c r="G175" s="152">
        <v>46324.0</v>
      </c>
      <c r="H175" s="146">
        <v>7.898458235043E12</v>
      </c>
      <c r="I175" s="135" t="s">
        <v>231</v>
      </c>
    </row>
    <row r="176">
      <c r="A176" s="142" t="s">
        <v>920</v>
      </c>
      <c r="B176" s="143" t="s">
        <v>991</v>
      </c>
      <c r="C176" s="133" t="s">
        <v>992</v>
      </c>
      <c r="D176" s="135">
        <v>206.0</v>
      </c>
      <c r="E176" s="145">
        <v>45603.0</v>
      </c>
      <c r="F176" s="151">
        <f t="shared" si="2"/>
        <v>46264</v>
      </c>
      <c r="G176" s="152">
        <v>46324.0</v>
      </c>
      <c r="H176" s="146">
        <v>7.898458235012E12</v>
      </c>
      <c r="I176" s="135" t="s">
        <v>231</v>
      </c>
    </row>
    <row r="177">
      <c r="A177" s="142" t="s">
        <v>920</v>
      </c>
      <c r="B177" s="143" t="s">
        <v>994</v>
      </c>
      <c r="C177" s="133" t="s">
        <v>995</v>
      </c>
      <c r="D177" s="135">
        <v>107.0</v>
      </c>
      <c r="E177" s="145">
        <v>45603.0</v>
      </c>
      <c r="F177" s="151">
        <f t="shared" si="2"/>
        <v>46264</v>
      </c>
      <c r="G177" s="152">
        <v>46324.0</v>
      </c>
      <c r="H177" s="146">
        <v>7.898458235005E12</v>
      </c>
      <c r="I177" s="135" t="s">
        <v>231</v>
      </c>
    </row>
    <row r="178">
      <c r="A178" s="142" t="s">
        <v>920</v>
      </c>
      <c r="B178" s="143" t="s">
        <v>997</v>
      </c>
      <c r="C178" s="133" t="s">
        <v>998</v>
      </c>
      <c r="D178" s="135">
        <v>635.0</v>
      </c>
      <c r="E178" s="145">
        <v>45603.0</v>
      </c>
      <c r="F178" s="151">
        <f t="shared" si="2"/>
        <v>46264</v>
      </c>
      <c r="G178" s="152">
        <v>46324.0</v>
      </c>
      <c r="H178" s="146">
        <v>7.898458235036E12</v>
      </c>
      <c r="I178" s="135" t="s">
        <v>231</v>
      </c>
    </row>
    <row r="179">
      <c r="A179" s="142" t="s">
        <v>920</v>
      </c>
      <c r="B179" s="143" t="s">
        <v>1000</v>
      </c>
      <c r="C179" s="133" t="s">
        <v>1001</v>
      </c>
      <c r="D179" s="135">
        <v>848.0</v>
      </c>
      <c r="E179" s="145">
        <v>45603.0</v>
      </c>
      <c r="F179" s="151">
        <f t="shared" si="2"/>
        <v>46264</v>
      </c>
      <c r="G179" s="152">
        <v>46324.0</v>
      </c>
      <c r="H179" s="146">
        <v>7.898458235029E12</v>
      </c>
      <c r="I179" s="135" t="s">
        <v>231</v>
      </c>
    </row>
    <row r="180">
      <c r="A180" s="142" t="s">
        <v>920</v>
      </c>
      <c r="B180" s="143" t="s">
        <v>1085</v>
      </c>
      <c r="C180" s="133" t="s">
        <v>1086</v>
      </c>
      <c r="D180" s="135">
        <v>890.0</v>
      </c>
      <c r="E180" s="145">
        <v>45603.0</v>
      </c>
      <c r="F180" s="151">
        <f t="shared" si="2"/>
        <v>46264</v>
      </c>
      <c r="G180" s="152">
        <v>46324.0</v>
      </c>
      <c r="H180" s="146">
        <v>7.898458237795E12</v>
      </c>
      <c r="I180" s="135" t="s">
        <v>231</v>
      </c>
    </row>
    <row r="181">
      <c r="A181" s="142" t="s">
        <v>920</v>
      </c>
      <c r="B181" s="143" t="s">
        <v>1088</v>
      </c>
      <c r="C181" s="133" t="s">
        <v>1089</v>
      </c>
      <c r="D181" s="135">
        <v>635.0</v>
      </c>
      <c r="E181" s="145">
        <v>45603.0</v>
      </c>
      <c r="F181" s="151">
        <f t="shared" si="2"/>
        <v>46264</v>
      </c>
      <c r="G181" s="152">
        <v>46324.0</v>
      </c>
      <c r="H181" s="146">
        <v>7.898458237788E12</v>
      </c>
      <c r="I181" s="135" t="s">
        <v>231</v>
      </c>
    </row>
    <row r="182">
      <c r="A182" s="142" t="s">
        <v>920</v>
      </c>
      <c r="B182" s="143" t="s">
        <v>1091</v>
      </c>
      <c r="C182" s="133" t="s">
        <v>1092</v>
      </c>
      <c r="D182" s="135">
        <v>715.0</v>
      </c>
      <c r="E182" s="145">
        <v>45603.0</v>
      </c>
      <c r="F182" s="151">
        <f t="shared" si="2"/>
        <v>46264</v>
      </c>
      <c r="G182" s="152">
        <v>46324.0</v>
      </c>
      <c r="H182" s="146">
        <v>7.898458237757E12</v>
      </c>
      <c r="I182" s="135" t="s">
        <v>231</v>
      </c>
    </row>
    <row r="183">
      <c r="A183" s="142" t="s">
        <v>920</v>
      </c>
      <c r="B183" s="143" t="s">
        <v>1095</v>
      </c>
      <c r="C183" s="133" t="s">
        <v>1096</v>
      </c>
      <c r="D183" s="135">
        <v>883.0</v>
      </c>
      <c r="E183" s="145">
        <v>45603.0</v>
      </c>
      <c r="F183" s="151">
        <f t="shared" si="2"/>
        <v>46264</v>
      </c>
      <c r="G183" s="152">
        <v>46324.0</v>
      </c>
      <c r="H183" s="146">
        <v>7.898458237771E12</v>
      </c>
      <c r="I183" s="135" t="s">
        <v>231</v>
      </c>
    </row>
    <row r="184">
      <c r="A184" s="142" t="s">
        <v>920</v>
      </c>
      <c r="B184" s="143" t="s">
        <v>1098</v>
      </c>
      <c r="C184" s="133" t="s">
        <v>1099</v>
      </c>
      <c r="D184" s="135">
        <v>99.0</v>
      </c>
      <c r="E184" s="145">
        <v>45603.0</v>
      </c>
      <c r="F184" s="151">
        <f t="shared" si="2"/>
        <v>46264</v>
      </c>
      <c r="G184" s="152">
        <v>46324.0</v>
      </c>
      <c r="H184" s="146">
        <v>7.898458237719E12</v>
      </c>
      <c r="I184" s="135" t="s">
        <v>231</v>
      </c>
    </row>
    <row r="185">
      <c r="A185" s="142" t="s">
        <v>920</v>
      </c>
      <c r="B185" s="143" t="s">
        <v>1101</v>
      </c>
      <c r="C185" s="133" t="s">
        <v>1102</v>
      </c>
      <c r="D185" s="135">
        <v>407.0</v>
      </c>
      <c r="E185" s="145">
        <v>45603.0</v>
      </c>
      <c r="F185" s="151">
        <f t="shared" si="2"/>
        <v>46264</v>
      </c>
      <c r="G185" s="152">
        <v>46324.0</v>
      </c>
      <c r="H185" s="146">
        <v>7.89845823774E12</v>
      </c>
      <c r="I185" s="135" t="s">
        <v>231</v>
      </c>
    </row>
    <row r="186">
      <c r="A186" s="142" t="s">
        <v>920</v>
      </c>
      <c r="B186" s="143" t="s">
        <v>1104</v>
      </c>
      <c r="C186" s="133" t="s">
        <v>1105</v>
      </c>
      <c r="D186" s="135">
        <v>532.0</v>
      </c>
      <c r="E186" s="145">
        <v>45603.0</v>
      </c>
      <c r="F186" s="151">
        <f t="shared" si="2"/>
        <v>46264</v>
      </c>
      <c r="G186" s="152">
        <v>46324.0</v>
      </c>
      <c r="H186" s="146">
        <v>7.898458237764E12</v>
      </c>
      <c r="I186" s="135" t="s">
        <v>231</v>
      </c>
    </row>
    <row r="187">
      <c r="A187" s="142" t="s">
        <v>920</v>
      </c>
      <c r="B187" s="143" t="s">
        <v>1107</v>
      </c>
      <c r="C187" s="133" t="s">
        <v>1108</v>
      </c>
      <c r="D187" s="135">
        <v>221.0</v>
      </c>
      <c r="E187" s="145">
        <v>45603.0</v>
      </c>
      <c r="F187" s="151">
        <f t="shared" si="2"/>
        <v>46264</v>
      </c>
      <c r="G187" s="152">
        <v>46324.0</v>
      </c>
      <c r="H187" s="146">
        <v>7.898458237726E12</v>
      </c>
      <c r="I187" s="135" t="s">
        <v>231</v>
      </c>
    </row>
    <row r="188">
      <c r="A188" s="142" t="s">
        <v>920</v>
      </c>
      <c r="B188" s="143" t="s">
        <v>1159</v>
      </c>
      <c r="C188" s="133" t="s">
        <v>1161</v>
      </c>
      <c r="D188" s="135">
        <v>974.0</v>
      </c>
      <c r="E188" s="145">
        <v>45603.0</v>
      </c>
      <c r="F188" s="151">
        <f t="shared" si="2"/>
        <v>46264</v>
      </c>
      <c r="G188" s="152">
        <v>46324.0</v>
      </c>
      <c r="H188" s="146">
        <v>7.898458239959E12</v>
      </c>
      <c r="I188" s="135" t="s">
        <v>231</v>
      </c>
    </row>
    <row r="189">
      <c r="A189" s="142" t="s">
        <v>920</v>
      </c>
      <c r="B189" s="143" t="s">
        <v>1164</v>
      </c>
      <c r="C189" s="133" t="s">
        <v>1165</v>
      </c>
      <c r="D189" s="135">
        <v>1007.0</v>
      </c>
      <c r="E189" s="145">
        <v>45603.0</v>
      </c>
      <c r="F189" s="151">
        <f t="shared" si="2"/>
        <v>46264</v>
      </c>
      <c r="G189" s="152">
        <v>46324.0</v>
      </c>
      <c r="H189" s="146">
        <v>7.898458239973E12</v>
      </c>
      <c r="I189" s="135" t="s">
        <v>231</v>
      </c>
    </row>
    <row r="190">
      <c r="A190" s="142" t="s">
        <v>920</v>
      </c>
      <c r="B190" s="143" t="s">
        <v>1167</v>
      </c>
      <c r="C190" s="133" t="s">
        <v>1168</v>
      </c>
      <c r="D190" s="135">
        <v>611.0</v>
      </c>
      <c r="E190" s="145">
        <v>45603.0</v>
      </c>
      <c r="F190" s="151">
        <f t="shared" si="2"/>
        <v>46264</v>
      </c>
      <c r="G190" s="152">
        <v>46324.0</v>
      </c>
      <c r="H190" s="146">
        <v>7.898458239911E12</v>
      </c>
      <c r="I190" s="135" t="s">
        <v>231</v>
      </c>
    </row>
    <row r="191">
      <c r="A191" s="142" t="s">
        <v>920</v>
      </c>
      <c r="B191" s="143" t="s">
        <v>1170</v>
      </c>
      <c r="C191" s="133" t="s">
        <v>1171</v>
      </c>
      <c r="D191" s="135">
        <v>1194.0</v>
      </c>
      <c r="E191" s="145">
        <v>45603.0</v>
      </c>
      <c r="F191" s="151">
        <f t="shared" si="2"/>
        <v>46264</v>
      </c>
      <c r="G191" s="152">
        <v>46324.0</v>
      </c>
      <c r="H191" s="146">
        <v>7.898458239935E12</v>
      </c>
      <c r="I191" s="135" t="s">
        <v>231</v>
      </c>
    </row>
    <row r="192">
      <c r="A192" s="142" t="s">
        <v>920</v>
      </c>
      <c r="B192" s="143" t="s">
        <v>1173</v>
      </c>
      <c r="C192" s="133" t="s">
        <v>1174</v>
      </c>
      <c r="D192" s="135">
        <v>520.0</v>
      </c>
      <c r="E192" s="145">
        <v>45603.0</v>
      </c>
      <c r="F192" s="151">
        <f t="shared" si="2"/>
        <v>46264</v>
      </c>
      <c r="G192" s="152">
        <v>46324.0</v>
      </c>
      <c r="H192" s="146">
        <v>7.898458239942E12</v>
      </c>
      <c r="I192" s="135" t="s">
        <v>231</v>
      </c>
    </row>
    <row r="193">
      <c r="A193" s="142" t="s">
        <v>920</v>
      </c>
      <c r="B193" s="143" t="s">
        <v>1176</v>
      </c>
      <c r="C193" s="133" t="s">
        <v>1177</v>
      </c>
      <c r="D193" s="135">
        <v>228.0</v>
      </c>
      <c r="E193" s="145">
        <v>45603.0</v>
      </c>
      <c r="F193" s="151">
        <f t="shared" si="2"/>
        <v>46264</v>
      </c>
      <c r="G193" s="152">
        <v>46324.0</v>
      </c>
      <c r="H193" s="146">
        <v>7.898458239966E12</v>
      </c>
      <c r="I193" s="135" t="s">
        <v>231</v>
      </c>
    </row>
    <row r="194">
      <c r="A194" s="142" t="s">
        <v>920</v>
      </c>
      <c r="B194" s="143" t="s">
        <v>1179</v>
      </c>
      <c r="C194" s="133" t="s">
        <v>1180</v>
      </c>
      <c r="D194" s="135">
        <v>214.0</v>
      </c>
      <c r="E194" s="145">
        <v>45603.0</v>
      </c>
      <c r="F194" s="151">
        <f t="shared" si="2"/>
        <v>46264</v>
      </c>
      <c r="G194" s="152">
        <v>46324.0</v>
      </c>
      <c r="H194" s="146">
        <v>7.898458239904E12</v>
      </c>
      <c r="I194" s="135" t="s">
        <v>231</v>
      </c>
    </row>
    <row r="195">
      <c r="A195" s="142" t="s">
        <v>920</v>
      </c>
      <c r="B195" s="143" t="s">
        <v>1182</v>
      </c>
      <c r="C195" s="133" t="s">
        <v>1183</v>
      </c>
      <c r="D195" s="135">
        <v>297.0</v>
      </c>
      <c r="E195" s="145">
        <v>45603.0</v>
      </c>
      <c r="F195" s="151">
        <f t="shared" si="2"/>
        <v>46264</v>
      </c>
      <c r="G195" s="152">
        <v>46324.0</v>
      </c>
      <c r="H195" s="146">
        <v>7.898458239928E12</v>
      </c>
      <c r="I195" s="135" t="s">
        <v>231</v>
      </c>
    </row>
    <row r="196">
      <c r="A196" s="142" t="s">
        <v>920</v>
      </c>
      <c r="B196" s="143" t="s">
        <v>1211</v>
      </c>
      <c r="C196" s="133" t="s">
        <v>1212</v>
      </c>
      <c r="D196" s="135">
        <v>553.0</v>
      </c>
      <c r="E196" s="145">
        <v>45603.0</v>
      </c>
      <c r="F196" s="151">
        <f t="shared" si="2"/>
        <v>46264</v>
      </c>
      <c r="G196" s="152">
        <v>46324.0</v>
      </c>
      <c r="H196" s="146">
        <v>7.898458240498E12</v>
      </c>
      <c r="I196" s="135" t="s">
        <v>231</v>
      </c>
    </row>
    <row r="197">
      <c r="A197" s="142" t="s">
        <v>920</v>
      </c>
      <c r="B197" s="143" t="s">
        <v>1214</v>
      </c>
      <c r="C197" s="133" t="s">
        <v>1215</v>
      </c>
      <c r="D197" s="135">
        <v>179.0</v>
      </c>
      <c r="E197" s="145">
        <v>45603.0</v>
      </c>
      <c r="F197" s="151">
        <f t="shared" si="2"/>
        <v>46264</v>
      </c>
      <c r="G197" s="152">
        <v>46324.0</v>
      </c>
      <c r="H197" s="146">
        <v>7.898458240504E12</v>
      </c>
      <c r="I197" s="135" t="s">
        <v>231</v>
      </c>
    </row>
    <row r="198">
      <c r="A198" s="142" t="s">
        <v>920</v>
      </c>
      <c r="B198" s="143" t="s">
        <v>1217</v>
      </c>
      <c r="C198" s="133" t="s">
        <v>1218</v>
      </c>
      <c r="D198" s="135">
        <v>14.0</v>
      </c>
      <c r="E198" s="145">
        <v>45603.0</v>
      </c>
      <c r="F198" s="151">
        <f t="shared" si="2"/>
        <v>46264</v>
      </c>
      <c r="G198" s="152">
        <v>46324.0</v>
      </c>
      <c r="H198" s="146">
        <v>7.898458240511E12</v>
      </c>
      <c r="I198" s="135" t="s">
        <v>231</v>
      </c>
    </row>
    <row r="199">
      <c r="A199" s="142" t="s">
        <v>920</v>
      </c>
      <c r="B199" s="143" t="s">
        <v>1220</v>
      </c>
      <c r="C199" s="133" t="s">
        <v>1221</v>
      </c>
      <c r="D199" s="135">
        <v>750.0</v>
      </c>
      <c r="E199" s="145">
        <v>45603.0</v>
      </c>
      <c r="F199" s="151">
        <f t="shared" si="2"/>
        <v>46264</v>
      </c>
      <c r="G199" s="152">
        <v>46324.0</v>
      </c>
      <c r="H199" s="146">
        <v>7.898458240474E12</v>
      </c>
      <c r="I199" s="135" t="s">
        <v>231</v>
      </c>
    </row>
    <row r="200">
      <c r="A200" s="142" t="s">
        <v>920</v>
      </c>
      <c r="B200" s="143" t="s">
        <v>1223</v>
      </c>
      <c r="C200" s="133" t="s">
        <v>1224</v>
      </c>
      <c r="D200" s="135">
        <v>644.0</v>
      </c>
      <c r="E200" s="145">
        <v>45603.0</v>
      </c>
      <c r="F200" s="151">
        <f t="shared" si="2"/>
        <v>46264</v>
      </c>
      <c r="G200" s="152">
        <v>46324.0</v>
      </c>
      <c r="H200" s="146">
        <v>7.898458240481E12</v>
      </c>
      <c r="I200" s="135" t="s">
        <v>231</v>
      </c>
    </row>
    <row r="201">
      <c r="A201" s="142" t="s">
        <v>920</v>
      </c>
      <c r="B201" s="143" t="s">
        <v>1226</v>
      </c>
      <c r="C201" s="133" t="s">
        <v>1227</v>
      </c>
      <c r="D201" s="135">
        <v>247.0</v>
      </c>
      <c r="E201" s="145">
        <v>45603.0</v>
      </c>
      <c r="F201" s="151">
        <f t="shared" si="2"/>
        <v>46264</v>
      </c>
      <c r="G201" s="152">
        <v>46324.0</v>
      </c>
      <c r="H201" s="146">
        <v>7.89845824045E12</v>
      </c>
      <c r="I201" s="135" t="s">
        <v>231</v>
      </c>
    </row>
    <row r="202">
      <c r="A202" s="142" t="s">
        <v>920</v>
      </c>
      <c r="B202" s="143" t="s">
        <v>1229</v>
      </c>
      <c r="C202" s="133" t="s">
        <v>1230</v>
      </c>
      <c r="D202" s="135">
        <v>198.0</v>
      </c>
      <c r="E202" s="145">
        <v>45603.0</v>
      </c>
      <c r="F202" s="151">
        <f t="shared" si="2"/>
        <v>46264</v>
      </c>
      <c r="G202" s="152">
        <v>46324.0</v>
      </c>
      <c r="H202" s="146">
        <v>7.898458240467E12</v>
      </c>
      <c r="I202" s="135" t="s">
        <v>231</v>
      </c>
    </row>
    <row r="203">
      <c r="A203" s="142" t="s">
        <v>920</v>
      </c>
      <c r="B203" s="143" t="s">
        <v>1003</v>
      </c>
      <c r="C203" s="133" t="s">
        <v>1004</v>
      </c>
      <c r="D203" s="135">
        <v>0.0</v>
      </c>
      <c r="E203" s="145">
        <v>45603.0</v>
      </c>
      <c r="F203" s="151">
        <f t="shared" si="2"/>
        <v>46264</v>
      </c>
      <c r="G203" s="152">
        <v>46324.0</v>
      </c>
      <c r="H203" s="146">
        <v>7.898458236149E12</v>
      </c>
      <c r="I203" s="135" t="s">
        <v>231</v>
      </c>
    </row>
    <row r="204">
      <c r="A204" s="142" t="s">
        <v>920</v>
      </c>
      <c r="B204" s="143" t="s">
        <v>968</v>
      </c>
      <c r="C204" s="133" t="s">
        <v>970</v>
      </c>
      <c r="D204" s="135">
        <v>0.0</v>
      </c>
      <c r="E204" s="145">
        <v>45603.0</v>
      </c>
      <c r="F204" s="151">
        <f t="shared" si="2"/>
        <v>46264</v>
      </c>
      <c r="G204" s="152">
        <v>46324.0</v>
      </c>
      <c r="H204" s="146">
        <v>7.898458236156E12</v>
      </c>
      <c r="I204" s="135" t="s">
        <v>231</v>
      </c>
    </row>
    <row r="205">
      <c r="A205" s="142" t="s">
        <v>1208</v>
      </c>
      <c r="B205" s="143" t="s">
        <v>1203</v>
      </c>
      <c r="C205" s="133" t="s">
        <v>1205</v>
      </c>
      <c r="D205" s="135">
        <v>180.0</v>
      </c>
      <c r="E205" s="145">
        <v>45623.0</v>
      </c>
      <c r="F205" s="151">
        <f t="shared" si="2"/>
        <v>46290</v>
      </c>
      <c r="G205" s="152">
        <v>46350.0</v>
      </c>
      <c r="H205" s="146">
        <v>7.898458240528E12</v>
      </c>
      <c r="I205" s="135" t="s">
        <v>231</v>
      </c>
    </row>
    <row r="206">
      <c r="A206" s="142" t="s">
        <v>1038</v>
      </c>
      <c r="B206" s="143" t="s">
        <v>1035</v>
      </c>
      <c r="C206" s="133" t="s">
        <v>1036</v>
      </c>
      <c r="D206" s="135">
        <v>2551.0</v>
      </c>
      <c r="E206" s="145">
        <v>45747.0</v>
      </c>
      <c r="F206" s="151">
        <f t="shared" si="2"/>
        <v>46417</v>
      </c>
      <c r="G206" s="145">
        <v>46477.0</v>
      </c>
      <c r="H206" s="146">
        <v>7.898458236606E12</v>
      </c>
      <c r="I206" s="135" t="s">
        <v>231</v>
      </c>
    </row>
    <row r="207">
      <c r="A207" s="142" t="s">
        <v>1058</v>
      </c>
      <c r="B207" s="143" t="s">
        <v>1054</v>
      </c>
      <c r="C207" s="133" t="s">
        <v>2420</v>
      </c>
      <c r="D207" s="135">
        <v>501.0</v>
      </c>
      <c r="E207" s="145">
        <v>45747.0</v>
      </c>
      <c r="F207" s="151">
        <f t="shared" si="2"/>
        <v>46417</v>
      </c>
      <c r="G207" s="145">
        <v>46477.0</v>
      </c>
      <c r="H207" s="146">
        <v>7.898458236569E12</v>
      </c>
      <c r="I207" s="135" t="s">
        <v>231</v>
      </c>
    </row>
    <row r="208">
      <c r="A208" s="142" t="s">
        <v>1576</v>
      </c>
      <c r="B208" s="149" t="s">
        <v>1572</v>
      </c>
      <c r="C208" s="133" t="s">
        <v>2421</v>
      </c>
      <c r="D208" s="135">
        <v>10743.0</v>
      </c>
      <c r="E208" s="148">
        <v>45785.0</v>
      </c>
      <c r="F208" s="151">
        <f t="shared" si="2"/>
        <v>46441</v>
      </c>
      <c r="G208" s="145">
        <v>46501.0</v>
      </c>
      <c r="H208" s="135">
        <v>7.909692185701E12</v>
      </c>
      <c r="I208" s="135" t="s">
        <v>1528</v>
      </c>
    </row>
    <row r="209">
      <c r="A209" s="142" t="s">
        <v>1691</v>
      </c>
      <c r="B209" s="143" t="s">
        <v>1687</v>
      </c>
      <c r="C209" s="133" t="s">
        <v>1613</v>
      </c>
      <c r="D209" s="135">
        <v>119.0</v>
      </c>
      <c r="E209" s="145">
        <v>45777.0</v>
      </c>
      <c r="F209" s="151">
        <f t="shared" si="2"/>
        <v>46442</v>
      </c>
      <c r="G209" s="145">
        <v>46502.0</v>
      </c>
      <c r="H209" s="146" t="s">
        <v>2422</v>
      </c>
      <c r="I209" s="135" t="s">
        <v>1528</v>
      </c>
    </row>
    <row r="210">
      <c r="A210" s="142" t="s">
        <v>1691</v>
      </c>
      <c r="B210" s="143" t="s">
        <v>1694</v>
      </c>
      <c r="C210" s="133" t="s">
        <v>1695</v>
      </c>
      <c r="D210" s="135">
        <v>25.0</v>
      </c>
      <c r="E210" s="145">
        <v>45777.0</v>
      </c>
      <c r="F210" s="151">
        <f t="shared" si="2"/>
        <v>46442</v>
      </c>
      <c r="G210" s="145">
        <v>46502.0</v>
      </c>
      <c r="H210" s="146" t="s">
        <v>2423</v>
      </c>
      <c r="I210" s="135" t="s">
        <v>1528</v>
      </c>
    </row>
    <row r="211">
      <c r="A211" s="142" t="s">
        <v>1691</v>
      </c>
      <c r="B211" s="143" t="s">
        <v>1697</v>
      </c>
      <c r="C211" s="133" t="s">
        <v>1698</v>
      </c>
      <c r="D211" s="135">
        <v>175.0</v>
      </c>
      <c r="E211" s="145">
        <v>45777.0</v>
      </c>
      <c r="F211" s="151">
        <f t="shared" si="2"/>
        <v>46442</v>
      </c>
      <c r="G211" s="145">
        <v>46502.0</v>
      </c>
      <c r="H211" s="146" t="s">
        <v>2424</v>
      </c>
      <c r="I211" s="135" t="s">
        <v>1528</v>
      </c>
    </row>
    <row r="212">
      <c r="A212" s="142" t="s">
        <v>1691</v>
      </c>
      <c r="B212" s="143" t="s">
        <v>1700</v>
      </c>
      <c r="C212" s="133" t="s">
        <v>1593</v>
      </c>
      <c r="D212" s="135">
        <v>7.0</v>
      </c>
      <c r="E212" s="145">
        <v>45777.0</v>
      </c>
      <c r="F212" s="151">
        <f t="shared" si="2"/>
        <v>46442</v>
      </c>
      <c r="G212" s="145">
        <v>46502.0</v>
      </c>
      <c r="H212" s="146" t="s">
        <v>2425</v>
      </c>
      <c r="I212" s="135" t="s">
        <v>1528</v>
      </c>
    </row>
    <row r="213">
      <c r="A213" s="142" t="s">
        <v>1691</v>
      </c>
      <c r="B213" s="143" t="s">
        <v>1702</v>
      </c>
      <c r="C213" s="133" t="s">
        <v>127</v>
      </c>
      <c r="D213" s="135">
        <v>71.0</v>
      </c>
      <c r="E213" s="145">
        <v>45777.0</v>
      </c>
      <c r="F213" s="151">
        <f t="shared" si="2"/>
        <v>46442</v>
      </c>
      <c r="G213" s="145">
        <v>46502.0</v>
      </c>
      <c r="H213" s="146" t="s">
        <v>2426</v>
      </c>
      <c r="I213" s="135" t="s">
        <v>1528</v>
      </c>
    </row>
    <row r="214">
      <c r="A214" s="142" t="s">
        <v>1691</v>
      </c>
      <c r="B214" s="143" t="s">
        <v>1704</v>
      </c>
      <c r="C214" s="133" t="s">
        <v>1602</v>
      </c>
      <c r="D214" s="135">
        <v>117.0</v>
      </c>
      <c r="E214" s="145">
        <v>45777.0</v>
      </c>
      <c r="F214" s="151">
        <f t="shared" si="2"/>
        <v>46442</v>
      </c>
      <c r="G214" s="145">
        <v>46502.0</v>
      </c>
      <c r="H214" s="146" t="s">
        <v>2427</v>
      </c>
      <c r="I214" s="135" t="s">
        <v>1528</v>
      </c>
    </row>
    <row r="215">
      <c r="A215" s="142" t="s">
        <v>1334</v>
      </c>
      <c r="B215" s="143" t="s">
        <v>1327</v>
      </c>
      <c r="C215" s="133" t="s">
        <v>1330</v>
      </c>
      <c r="D215" s="135">
        <v>398.0</v>
      </c>
      <c r="E215" s="148">
        <v>45841.0</v>
      </c>
      <c r="F215" s="151">
        <f t="shared" si="2"/>
        <v>46504</v>
      </c>
      <c r="G215" s="145">
        <v>46564.0</v>
      </c>
      <c r="H215" s="146">
        <v>7.898458244502E12</v>
      </c>
      <c r="I215" s="135" t="s">
        <v>231</v>
      </c>
    </row>
    <row r="216">
      <c r="A216" s="142" t="s">
        <v>2428</v>
      </c>
      <c r="B216" s="149" t="s">
        <v>1735</v>
      </c>
      <c r="C216" s="133" t="s">
        <v>1737</v>
      </c>
      <c r="D216" s="135">
        <v>358.0</v>
      </c>
      <c r="E216" s="148">
        <v>45855.0</v>
      </c>
      <c r="F216" s="151">
        <f t="shared" si="2"/>
        <v>46510</v>
      </c>
      <c r="G216" s="145">
        <v>46570.0</v>
      </c>
      <c r="H216" s="146" t="s">
        <v>2429</v>
      </c>
      <c r="I216" s="135" t="s">
        <v>1528</v>
      </c>
    </row>
    <row r="217">
      <c r="A217" s="142" t="s">
        <v>2428</v>
      </c>
      <c r="B217" s="149" t="s">
        <v>1743</v>
      </c>
      <c r="C217" s="133" t="s">
        <v>1744</v>
      </c>
      <c r="D217" s="135">
        <v>474.0</v>
      </c>
      <c r="E217" s="148">
        <v>45855.0</v>
      </c>
      <c r="F217" s="151">
        <f t="shared" si="2"/>
        <v>46510</v>
      </c>
      <c r="G217" s="145">
        <v>46570.0</v>
      </c>
      <c r="H217" s="146" t="s">
        <v>2430</v>
      </c>
      <c r="I217" s="135" t="s">
        <v>1528</v>
      </c>
    </row>
    <row r="218">
      <c r="A218" s="142" t="s">
        <v>1681</v>
      </c>
      <c r="B218" s="143" t="s">
        <v>1676</v>
      </c>
      <c r="C218" s="133" t="s">
        <v>1678</v>
      </c>
      <c r="D218" s="135">
        <v>10.0</v>
      </c>
      <c r="E218" s="148">
        <v>45979.0</v>
      </c>
      <c r="F218" s="151">
        <f t="shared" si="2"/>
        <v>46651</v>
      </c>
      <c r="G218" s="152">
        <v>46711.0</v>
      </c>
      <c r="H218" s="135">
        <v>7.909692197407E12</v>
      </c>
      <c r="I218" s="135" t="s">
        <v>1528</v>
      </c>
    </row>
    <row r="219">
      <c r="A219" s="153"/>
      <c r="B219" s="154"/>
      <c r="D219" s="146"/>
      <c r="E219" s="146"/>
      <c r="F219" s="146"/>
      <c r="G219" s="146"/>
      <c r="H219" s="146"/>
    </row>
    <row r="220">
      <c r="A220" s="153"/>
      <c r="B220" s="154"/>
      <c r="D220" s="146"/>
      <c r="E220" s="146"/>
      <c r="F220" s="146"/>
      <c r="G220" s="146"/>
      <c r="H220" s="146"/>
    </row>
    <row r="221">
      <c r="A221" s="153"/>
      <c r="B221" s="154"/>
      <c r="D221" s="146"/>
      <c r="E221" s="146"/>
      <c r="F221" s="146"/>
      <c r="G221" s="146"/>
      <c r="H221" s="146"/>
    </row>
    <row r="222">
      <c r="A222" s="153"/>
      <c r="B222" s="154"/>
      <c r="D222" s="146"/>
      <c r="E222" s="146"/>
      <c r="F222" s="146"/>
      <c r="G222" s="146"/>
      <c r="H222" s="146"/>
    </row>
    <row r="223">
      <c r="A223" s="153"/>
      <c r="B223" s="154"/>
      <c r="D223" s="146"/>
      <c r="E223" s="146"/>
      <c r="F223" s="146"/>
      <c r="G223" s="146"/>
      <c r="H223" s="146"/>
    </row>
    <row r="224">
      <c r="A224" s="153"/>
      <c r="B224" s="154"/>
      <c r="D224" s="146"/>
      <c r="E224" s="146"/>
      <c r="F224" s="146"/>
      <c r="G224" s="146"/>
      <c r="H224" s="146"/>
    </row>
    <row r="225">
      <c r="A225" s="153"/>
      <c r="B225" s="154"/>
      <c r="D225" s="146"/>
      <c r="E225" s="146"/>
      <c r="F225" s="146"/>
      <c r="G225" s="146"/>
      <c r="H225" s="146"/>
    </row>
    <row r="226">
      <c r="A226" s="153"/>
      <c r="B226" s="154"/>
      <c r="D226" s="146"/>
      <c r="E226" s="146"/>
      <c r="F226" s="146"/>
      <c r="G226" s="146"/>
      <c r="H226" s="146"/>
    </row>
    <row r="227">
      <c r="A227" s="153"/>
      <c r="B227" s="154"/>
      <c r="D227" s="146"/>
      <c r="E227" s="146"/>
      <c r="F227" s="146"/>
      <c r="G227" s="146"/>
      <c r="H227" s="146"/>
    </row>
    <row r="228">
      <c r="A228" s="153"/>
      <c r="B228" s="154"/>
      <c r="D228" s="146"/>
      <c r="E228" s="146"/>
      <c r="F228" s="146"/>
      <c r="G228" s="146"/>
      <c r="H228" s="146"/>
    </row>
    <row r="229">
      <c r="A229" s="153"/>
      <c r="B229" s="154"/>
      <c r="D229" s="146"/>
      <c r="E229" s="146"/>
      <c r="F229" s="146"/>
      <c r="G229" s="146"/>
      <c r="H229" s="146"/>
    </row>
    <row r="230">
      <c r="A230" s="153"/>
      <c r="B230" s="154"/>
      <c r="D230" s="146"/>
      <c r="E230" s="146"/>
      <c r="F230" s="146"/>
      <c r="G230" s="146"/>
      <c r="H230" s="146"/>
    </row>
    <row r="231">
      <c r="A231" s="153"/>
      <c r="B231" s="154"/>
      <c r="D231" s="146"/>
      <c r="E231" s="146"/>
      <c r="F231" s="146"/>
      <c r="G231" s="146"/>
      <c r="H231" s="146"/>
    </row>
    <row r="232">
      <c r="A232" s="153"/>
      <c r="B232" s="154"/>
      <c r="D232" s="146"/>
      <c r="E232" s="146"/>
      <c r="F232" s="146"/>
      <c r="G232" s="146"/>
      <c r="H232" s="146"/>
    </row>
    <row r="233">
      <c r="A233" s="153"/>
      <c r="B233" s="154"/>
      <c r="D233" s="146"/>
      <c r="E233" s="146"/>
      <c r="F233" s="146"/>
      <c r="G233" s="146"/>
      <c r="H233" s="146"/>
    </row>
    <row r="234">
      <c r="A234" s="153"/>
      <c r="B234" s="154"/>
      <c r="D234" s="146"/>
      <c r="E234" s="146"/>
      <c r="F234" s="146"/>
      <c r="G234" s="146"/>
      <c r="H234" s="146"/>
    </row>
    <row r="235">
      <c r="A235" s="153"/>
      <c r="B235" s="154"/>
      <c r="D235" s="146"/>
      <c r="E235" s="146"/>
      <c r="F235" s="146"/>
      <c r="G235" s="146"/>
      <c r="H235" s="146"/>
    </row>
    <row r="236">
      <c r="A236" s="153"/>
      <c r="B236" s="154"/>
      <c r="D236" s="146"/>
      <c r="E236" s="146"/>
      <c r="F236" s="146"/>
      <c r="G236" s="146"/>
      <c r="H236" s="146"/>
    </row>
    <row r="237">
      <c r="A237" s="153"/>
      <c r="B237" s="154"/>
      <c r="D237" s="146"/>
      <c r="E237" s="146"/>
      <c r="F237" s="146"/>
      <c r="G237" s="146"/>
      <c r="H237" s="146"/>
    </row>
    <row r="238">
      <c r="A238" s="153"/>
      <c r="B238" s="154"/>
      <c r="D238" s="146"/>
      <c r="E238" s="146"/>
      <c r="F238" s="146"/>
      <c r="G238" s="146"/>
      <c r="H238" s="146"/>
    </row>
    <row r="239">
      <c r="A239" s="153"/>
      <c r="B239" s="154"/>
      <c r="D239" s="146"/>
      <c r="E239" s="146"/>
      <c r="F239" s="146"/>
      <c r="G239" s="146"/>
      <c r="H239" s="146"/>
    </row>
    <row r="240">
      <c r="A240" s="153"/>
      <c r="B240" s="154"/>
      <c r="D240" s="146"/>
      <c r="E240" s="146"/>
      <c r="F240" s="146"/>
      <c r="G240" s="146"/>
      <c r="H240" s="146"/>
    </row>
    <row r="241">
      <c r="A241" s="153"/>
      <c r="B241" s="154"/>
      <c r="D241" s="146"/>
      <c r="E241" s="146"/>
      <c r="F241" s="146"/>
      <c r="G241" s="146"/>
      <c r="H241" s="146"/>
    </row>
    <row r="242">
      <c r="A242" s="153"/>
      <c r="B242" s="154"/>
      <c r="D242" s="146"/>
      <c r="E242" s="146"/>
      <c r="F242" s="146"/>
      <c r="G242" s="146"/>
      <c r="H242" s="146"/>
    </row>
    <row r="243">
      <c r="A243" s="153"/>
      <c r="B243" s="154"/>
      <c r="D243" s="146"/>
      <c r="E243" s="146"/>
      <c r="F243" s="146"/>
      <c r="G243" s="146"/>
      <c r="H243" s="146"/>
    </row>
    <row r="244">
      <c r="A244" s="153"/>
      <c r="B244" s="154"/>
      <c r="D244" s="146"/>
      <c r="E244" s="146"/>
      <c r="F244" s="146"/>
      <c r="G244" s="146"/>
      <c r="H244" s="146"/>
    </row>
    <row r="245">
      <c r="A245" s="153"/>
      <c r="B245" s="154"/>
      <c r="D245" s="146"/>
      <c r="E245" s="146"/>
      <c r="F245" s="146"/>
      <c r="G245" s="146"/>
      <c r="H245" s="146"/>
    </row>
    <row r="246">
      <c r="A246" s="153"/>
      <c r="B246" s="154"/>
      <c r="D246" s="146"/>
      <c r="E246" s="146"/>
      <c r="F246" s="146"/>
      <c r="G246" s="146"/>
      <c r="H246" s="146"/>
    </row>
    <row r="247">
      <c r="A247" s="153"/>
      <c r="B247" s="154"/>
      <c r="D247" s="146"/>
      <c r="E247" s="146"/>
      <c r="F247" s="146"/>
      <c r="G247" s="146"/>
      <c r="H247" s="146"/>
    </row>
    <row r="248">
      <c r="A248" s="153"/>
      <c r="B248" s="154"/>
      <c r="D248" s="146"/>
      <c r="E248" s="146"/>
      <c r="F248" s="146"/>
      <c r="G248" s="146"/>
      <c r="H248" s="146"/>
    </row>
    <row r="249">
      <c r="A249" s="153"/>
      <c r="B249" s="154"/>
      <c r="D249" s="146"/>
      <c r="E249" s="146"/>
      <c r="F249" s="146"/>
      <c r="G249" s="146"/>
      <c r="H249" s="146"/>
    </row>
    <row r="250">
      <c r="A250" s="153"/>
      <c r="B250" s="154"/>
      <c r="D250" s="146"/>
      <c r="E250" s="146"/>
      <c r="F250" s="146"/>
      <c r="G250" s="146"/>
      <c r="H250" s="146"/>
    </row>
    <row r="251">
      <c r="A251" s="153"/>
      <c r="B251" s="154"/>
      <c r="D251" s="146"/>
      <c r="E251" s="146"/>
      <c r="F251" s="146"/>
      <c r="G251" s="146"/>
      <c r="H251" s="146"/>
    </row>
    <row r="252">
      <c r="A252" s="153"/>
      <c r="B252" s="154"/>
      <c r="D252" s="146"/>
      <c r="E252" s="146"/>
      <c r="F252" s="146"/>
      <c r="G252" s="146"/>
      <c r="H252" s="146"/>
    </row>
    <row r="253">
      <c r="A253" s="153"/>
      <c r="B253" s="154"/>
      <c r="D253" s="146"/>
      <c r="E253" s="146"/>
      <c r="F253" s="146"/>
      <c r="G253" s="146"/>
      <c r="H253" s="146"/>
    </row>
    <row r="254">
      <c r="A254" s="153"/>
      <c r="B254" s="154"/>
      <c r="D254" s="146"/>
      <c r="E254" s="146"/>
      <c r="F254" s="146"/>
      <c r="G254" s="146"/>
      <c r="H254" s="146"/>
    </row>
    <row r="255">
      <c r="A255" s="153"/>
      <c r="B255" s="154"/>
      <c r="D255" s="146"/>
      <c r="E255" s="146"/>
      <c r="F255" s="146"/>
      <c r="G255" s="146"/>
      <c r="H255" s="146"/>
    </row>
    <row r="256">
      <c r="A256" s="153"/>
      <c r="B256" s="154"/>
      <c r="D256" s="146"/>
      <c r="E256" s="146"/>
      <c r="F256" s="146"/>
      <c r="G256" s="146"/>
      <c r="H256" s="146"/>
    </row>
    <row r="257">
      <c r="A257" s="153"/>
      <c r="B257" s="154"/>
      <c r="D257" s="146"/>
      <c r="E257" s="146"/>
      <c r="F257" s="146"/>
      <c r="G257" s="146"/>
      <c r="H257" s="146"/>
    </row>
    <row r="258">
      <c r="A258" s="153"/>
      <c r="B258" s="154"/>
      <c r="D258" s="146"/>
      <c r="E258" s="146"/>
      <c r="F258" s="146"/>
      <c r="G258" s="146"/>
      <c r="H258" s="146"/>
    </row>
    <row r="259">
      <c r="A259" s="153"/>
      <c r="B259" s="154"/>
      <c r="D259" s="146"/>
      <c r="E259" s="146"/>
      <c r="F259" s="146"/>
      <c r="G259" s="146"/>
      <c r="H259" s="146"/>
    </row>
    <row r="260">
      <c r="A260" s="153"/>
      <c r="B260" s="154"/>
      <c r="D260" s="146"/>
      <c r="E260" s="146"/>
      <c r="F260" s="146"/>
      <c r="G260" s="146"/>
      <c r="H260" s="146"/>
    </row>
    <row r="261">
      <c r="A261" s="153"/>
      <c r="B261" s="154"/>
      <c r="D261" s="146"/>
      <c r="E261" s="146"/>
      <c r="F261" s="146"/>
      <c r="G261" s="146"/>
      <c r="H261" s="146"/>
    </row>
    <row r="262">
      <c r="A262" s="153"/>
      <c r="B262" s="154"/>
      <c r="D262" s="146"/>
      <c r="E262" s="146"/>
      <c r="F262" s="146"/>
      <c r="G262" s="146"/>
      <c r="H262" s="146"/>
    </row>
    <row r="263">
      <c r="A263" s="153"/>
      <c r="B263" s="154"/>
      <c r="D263" s="146"/>
      <c r="E263" s="146"/>
      <c r="F263" s="146"/>
      <c r="G263" s="146"/>
      <c r="H263" s="146"/>
    </row>
    <row r="264">
      <c r="A264" s="153"/>
      <c r="B264" s="154"/>
      <c r="D264" s="146"/>
      <c r="E264" s="146"/>
      <c r="F264" s="146"/>
      <c r="G264" s="146"/>
      <c r="H264" s="146"/>
    </row>
    <row r="265">
      <c r="A265" s="153"/>
      <c r="B265" s="154"/>
      <c r="D265" s="146"/>
      <c r="E265" s="146"/>
      <c r="F265" s="146"/>
      <c r="G265" s="146"/>
      <c r="H265" s="146"/>
    </row>
    <row r="266">
      <c r="A266" s="153"/>
      <c r="B266" s="154"/>
      <c r="D266" s="146"/>
      <c r="E266" s="146"/>
      <c r="F266" s="146"/>
      <c r="G266" s="146"/>
      <c r="H266" s="146"/>
    </row>
    <row r="267">
      <c r="A267" s="153"/>
      <c r="B267" s="154"/>
      <c r="D267" s="146"/>
      <c r="E267" s="146"/>
      <c r="F267" s="146"/>
      <c r="G267" s="146"/>
      <c r="H267" s="146"/>
    </row>
    <row r="268">
      <c r="A268" s="153"/>
      <c r="B268" s="154"/>
      <c r="D268" s="146"/>
      <c r="E268" s="146"/>
      <c r="F268" s="146"/>
      <c r="G268" s="146"/>
      <c r="H268" s="146"/>
    </row>
    <row r="269">
      <c r="A269" s="153"/>
      <c r="B269" s="154"/>
      <c r="D269" s="146"/>
      <c r="E269" s="146"/>
      <c r="F269" s="146"/>
      <c r="G269" s="146"/>
      <c r="H269" s="146"/>
    </row>
    <row r="270">
      <c r="A270" s="153"/>
      <c r="B270" s="154"/>
      <c r="D270" s="146"/>
      <c r="E270" s="146"/>
      <c r="F270" s="146"/>
      <c r="G270" s="146"/>
      <c r="H270" s="146"/>
    </row>
    <row r="271">
      <c r="A271" s="153"/>
      <c r="B271" s="154"/>
      <c r="D271" s="146"/>
      <c r="E271" s="146"/>
      <c r="F271" s="146"/>
      <c r="G271" s="146"/>
      <c r="H271" s="146"/>
    </row>
    <row r="272">
      <c r="A272" s="153"/>
      <c r="B272" s="154"/>
      <c r="D272" s="146"/>
      <c r="E272" s="146"/>
      <c r="F272" s="146"/>
      <c r="G272" s="146"/>
      <c r="H272" s="146"/>
    </row>
    <row r="273">
      <c r="A273" s="153"/>
      <c r="B273" s="154"/>
      <c r="D273" s="146"/>
      <c r="E273" s="146"/>
      <c r="F273" s="146"/>
      <c r="G273" s="146"/>
      <c r="H273" s="146"/>
    </row>
    <row r="274">
      <c r="A274" s="153"/>
      <c r="B274" s="154"/>
      <c r="D274" s="146"/>
      <c r="E274" s="146"/>
      <c r="F274" s="146"/>
      <c r="G274" s="146"/>
      <c r="H274" s="146"/>
    </row>
    <row r="275">
      <c r="A275" s="153"/>
      <c r="B275" s="154"/>
      <c r="D275" s="146"/>
      <c r="E275" s="146"/>
      <c r="F275" s="146"/>
      <c r="G275" s="146"/>
      <c r="H275" s="146"/>
    </row>
    <row r="276">
      <c r="A276" s="153"/>
      <c r="B276" s="154"/>
      <c r="D276" s="146"/>
      <c r="E276" s="146"/>
      <c r="F276" s="146"/>
      <c r="G276" s="146"/>
      <c r="H276" s="146"/>
    </row>
    <row r="277">
      <c r="A277" s="153"/>
      <c r="B277" s="154"/>
      <c r="D277" s="146"/>
      <c r="E277" s="146"/>
      <c r="F277" s="146"/>
      <c r="G277" s="146"/>
      <c r="H277" s="146"/>
    </row>
    <row r="278">
      <c r="A278" s="153"/>
      <c r="B278" s="154"/>
      <c r="D278" s="146"/>
      <c r="E278" s="146"/>
      <c r="F278" s="146"/>
      <c r="G278" s="146"/>
      <c r="H278" s="146"/>
    </row>
    <row r="279">
      <c r="A279" s="153"/>
      <c r="B279" s="154"/>
      <c r="D279" s="146"/>
      <c r="E279" s="146"/>
      <c r="F279" s="146"/>
      <c r="G279" s="146"/>
      <c r="H279" s="146"/>
    </row>
    <row r="280">
      <c r="A280" s="153"/>
      <c r="B280" s="154"/>
      <c r="D280" s="146"/>
      <c r="E280" s="146"/>
      <c r="F280" s="146"/>
      <c r="G280" s="146"/>
      <c r="H280" s="146"/>
    </row>
    <row r="281">
      <c r="A281" s="153"/>
      <c r="B281" s="154"/>
      <c r="D281" s="146"/>
      <c r="E281" s="146"/>
      <c r="F281" s="146"/>
      <c r="G281" s="146"/>
      <c r="H281" s="146"/>
    </row>
    <row r="282">
      <c r="A282" s="153"/>
      <c r="B282" s="154"/>
      <c r="D282" s="146"/>
      <c r="E282" s="146"/>
      <c r="F282" s="146"/>
      <c r="G282" s="146"/>
      <c r="H282" s="146"/>
    </row>
    <row r="283">
      <c r="A283" s="153"/>
      <c r="B283" s="154"/>
      <c r="D283" s="146"/>
      <c r="E283" s="146"/>
      <c r="F283" s="146"/>
      <c r="G283" s="146"/>
      <c r="H283" s="146"/>
    </row>
    <row r="284">
      <c r="A284" s="153"/>
      <c r="B284" s="154"/>
      <c r="D284" s="146"/>
      <c r="E284" s="146"/>
      <c r="F284" s="146"/>
      <c r="G284" s="146"/>
      <c r="H284" s="146"/>
    </row>
    <row r="285">
      <c r="A285" s="153"/>
      <c r="B285" s="154"/>
      <c r="D285" s="146"/>
      <c r="E285" s="146"/>
      <c r="F285" s="146"/>
      <c r="G285" s="146"/>
      <c r="H285" s="146"/>
    </row>
    <row r="286">
      <c r="A286" s="153"/>
      <c r="B286" s="154"/>
      <c r="D286" s="146"/>
      <c r="E286" s="146"/>
      <c r="F286" s="146"/>
      <c r="G286" s="146"/>
      <c r="H286" s="146"/>
    </row>
    <row r="287">
      <c r="A287" s="153"/>
      <c r="B287" s="154"/>
      <c r="D287" s="146"/>
      <c r="E287" s="146"/>
      <c r="F287" s="146"/>
      <c r="G287" s="146"/>
      <c r="H287" s="146"/>
    </row>
    <row r="288">
      <c r="A288" s="153"/>
      <c r="B288" s="154"/>
      <c r="D288" s="146"/>
      <c r="E288" s="146"/>
      <c r="F288" s="146"/>
      <c r="G288" s="146"/>
      <c r="H288" s="146"/>
    </row>
    <row r="289">
      <c r="A289" s="153"/>
      <c r="B289" s="154"/>
      <c r="D289" s="146"/>
      <c r="E289" s="146"/>
      <c r="F289" s="146"/>
      <c r="G289" s="146"/>
      <c r="H289" s="146"/>
    </row>
    <row r="290">
      <c r="A290" s="153"/>
      <c r="B290" s="154"/>
      <c r="D290" s="146"/>
      <c r="E290" s="146"/>
      <c r="F290" s="146"/>
      <c r="G290" s="146"/>
      <c r="H290" s="146"/>
    </row>
    <row r="291">
      <c r="A291" s="153"/>
      <c r="B291" s="154"/>
      <c r="D291" s="146"/>
      <c r="E291" s="146"/>
      <c r="F291" s="146"/>
      <c r="G291" s="146"/>
      <c r="H291" s="146"/>
    </row>
    <row r="292">
      <c r="A292" s="153"/>
      <c r="B292" s="154"/>
      <c r="D292" s="146"/>
      <c r="E292" s="146"/>
      <c r="F292" s="146"/>
      <c r="G292" s="146"/>
      <c r="H292" s="146"/>
    </row>
    <row r="293">
      <c r="A293" s="153"/>
      <c r="B293" s="154"/>
      <c r="D293" s="146"/>
      <c r="E293" s="146"/>
      <c r="F293" s="146"/>
      <c r="G293" s="146"/>
      <c r="H293" s="146"/>
    </row>
    <row r="294">
      <c r="A294" s="153"/>
      <c r="B294" s="154"/>
      <c r="D294" s="146"/>
      <c r="E294" s="146"/>
      <c r="F294" s="146"/>
      <c r="G294" s="146"/>
      <c r="H294" s="146"/>
    </row>
    <row r="295">
      <c r="A295" s="153"/>
      <c r="B295" s="154"/>
      <c r="D295" s="146"/>
      <c r="E295" s="146"/>
      <c r="F295" s="146"/>
      <c r="G295" s="146"/>
      <c r="H295" s="146"/>
    </row>
    <row r="296">
      <c r="A296" s="153"/>
      <c r="B296" s="154"/>
      <c r="D296" s="146"/>
      <c r="E296" s="146"/>
      <c r="F296" s="146"/>
      <c r="G296" s="146"/>
      <c r="H296" s="146"/>
    </row>
    <row r="297">
      <c r="A297" s="153"/>
      <c r="B297" s="154"/>
      <c r="D297" s="146"/>
      <c r="E297" s="146"/>
      <c r="F297" s="146"/>
      <c r="G297" s="146"/>
      <c r="H297" s="146"/>
    </row>
    <row r="298">
      <c r="A298" s="153"/>
      <c r="B298" s="154"/>
      <c r="D298" s="146"/>
      <c r="E298" s="146"/>
      <c r="F298" s="146"/>
      <c r="G298" s="146"/>
      <c r="H298" s="146"/>
    </row>
    <row r="299">
      <c r="A299" s="153"/>
      <c r="B299" s="154"/>
      <c r="D299" s="146"/>
      <c r="E299" s="146"/>
      <c r="F299" s="146"/>
      <c r="G299" s="146"/>
      <c r="H299" s="146"/>
    </row>
    <row r="300">
      <c r="A300" s="153"/>
      <c r="B300" s="154"/>
      <c r="D300" s="146"/>
      <c r="E300" s="146"/>
      <c r="F300" s="146"/>
      <c r="G300" s="146"/>
      <c r="H300" s="146"/>
    </row>
    <row r="301">
      <c r="A301" s="153"/>
      <c r="B301" s="154"/>
      <c r="D301" s="146"/>
      <c r="E301" s="146"/>
      <c r="F301" s="146"/>
      <c r="G301" s="146"/>
      <c r="H301" s="146"/>
    </row>
    <row r="302">
      <c r="A302" s="153"/>
      <c r="B302" s="154"/>
      <c r="D302" s="146"/>
      <c r="E302" s="146"/>
      <c r="F302" s="146"/>
      <c r="G302" s="146"/>
      <c r="H302" s="146"/>
    </row>
    <row r="303">
      <c r="A303" s="153"/>
      <c r="B303" s="154"/>
      <c r="D303" s="146"/>
      <c r="E303" s="146"/>
      <c r="F303" s="146"/>
      <c r="G303" s="146"/>
      <c r="H303" s="146"/>
    </row>
    <row r="304">
      <c r="A304" s="153"/>
      <c r="B304" s="154"/>
      <c r="D304" s="146"/>
      <c r="E304" s="146"/>
      <c r="F304" s="146"/>
      <c r="G304" s="146"/>
      <c r="H304" s="146"/>
    </row>
    <row r="305">
      <c r="A305" s="153"/>
      <c r="B305" s="154"/>
      <c r="D305" s="146"/>
      <c r="E305" s="146"/>
      <c r="F305" s="146"/>
      <c r="G305" s="146"/>
      <c r="H305" s="146"/>
    </row>
    <row r="306">
      <c r="A306" s="153"/>
      <c r="B306" s="154"/>
      <c r="D306" s="146"/>
      <c r="E306" s="146"/>
      <c r="F306" s="146"/>
      <c r="G306" s="146"/>
      <c r="H306" s="146"/>
    </row>
    <row r="307">
      <c r="A307" s="153"/>
      <c r="B307" s="154"/>
      <c r="D307" s="146"/>
      <c r="E307" s="146"/>
      <c r="F307" s="146"/>
      <c r="G307" s="146"/>
      <c r="H307" s="146"/>
    </row>
    <row r="308">
      <c r="A308" s="153"/>
      <c r="B308" s="154"/>
      <c r="D308" s="146"/>
      <c r="E308" s="146"/>
      <c r="F308" s="146"/>
      <c r="G308" s="146"/>
      <c r="H308" s="146"/>
    </row>
    <row r="309">
      <c r="A309" s="153"/>
      <c r="B309" s="154"/>
      <c r="D309" s="146"/>
      <c r="E309" s="146"/>
      <c r="F309" s="146"/>
      <c r="G309" s="146"/>
      <c r="H309" s="146"/>
    </row>
    <row r="310">
      <c r="A310" s="153"/>
      <c r="B310" s="154"/>
      <c r="D310" s="146"/>
      <c r="E310" s="146"/>
      <c r="F310" s="146"/>
      <c r="G310" s="146"/>
      <c r="H310" s="146"/>
    </row>
    <row r="311">
      <c r="A311" s="153"/>
      <c r="B311" s="154"/>
      <c r="D311" s="146"/>
      <c r="E311" s="146"/>
      <c r="F311" s="146"/>
      <c r="G311" s="146"/>
      <c r="H311" s="146"/>
    </row>
    <row r="312">
      <c r="A312" s="153"/>
      <c r="B312" s="154"/>
      <c r="D312" s="146"/>
      <c r="E312" s="146"/>
      <c r="F312" s="146"/>
      <c r="G312" s="146"/>
      <c r="H312" s="146"/>
    </row>
    <row r="313">
      <c r="A313" s="153"/>
      <c r="B313" s="154"/>
      <c r="D313" s="146"/>
      <c r="E313" s="146"/>
      <c r="F313" s="146"/>
      <c r="G313" s="146"/>
      <c r="H313" s="146"/>
    </row>
    <row r="314">
      <c r="A314" s="153"/>
      <c r="B314" s="154"/>
      <c r="D314" s="146"/>
      <c r="E314" s="146"/>
      <c r="F314" s="146"/>
      <c r="G314" s="146"/>
      <c r="H314" s="146"/>
    </row>
    <row r="315">
      <c r="A315" s="153"/>
      <c r="B315" s="154"/>
      <c r="D315" s="146"/>
      <c r="E315" s="146"/>
      <c r="F315" s="146"/>
      <c r="G315" s="146"/>
      <c r="H315" s="146"/>
    </row>
    <row r="316">
      <c r="A316" s="153"/>
      <c r="B316" s="154"/>
      <c r="D316" s="146"/>
      <c r="E316" s="146"/>
      <c r="F316" s="146"/>
      <c r="G316" s="146"/>
      <c r="H316" s="146"/>
    </row>
    <row r="317">
      <c r="A317" s="153"/>
      <c r="B317" s="154"/>
      <c r="D317" s="146"/>
      <c r="E317" s="146"/>
      <c r="F317" s="146"/>
      <c r="G317" s="146"/>
      <c r="H317" s="146"/>
    </row>
    <row r="318">
      <c r="A318" s="153"/>
      <c r="B318" s="154"/>
      <c r="D318" s="146"/>
      <c r="E318" s="146"/>
      <c r="F318" s="146"/>
      <c r="G318" s="146"/>
      <c r="H318" s="146"/>
    </row>
    <row r="319">
      <c r="A319" s="153"/>
      <c r="B319" s="154"/>
      <c r="D319" s="146"/>
      <c r="E319" s="146"/>
      <c r="F319" s="146"/>
      <c r="G319" s="146"/>
      <c r="H319" s="146"/>
    </row>
    <row r="320">
      <c r="A320" s="153"/>
      <c r="B320" s="154"/>
      <c r="D320" s="146"/>
      <c r="E320" s="146"/>
      <c r="F320" s="146"/>
      <c r="G320" s="146"/>
      <c r="H320" s="146"/>
    </row>
    <row r="321">
      <c r="A321" s="153"/>
      <c r="B321" s="154"/>
      <c r="D321" s="146"/>
      <c r="E321" s="146"/>
      <c r="F321" s="146"/>
      <c r="G321" s="146"/>
      <c r="H321" s="146"/>
    </row>
    <row r="322">
      <c r="A322" s="153"/>
      <c r="B322" s="154"/>
      <c r="D322" s="146"/>
      <c r="E322" s="146"/>
      <c r="F322" s="146"/>
      <c r="G322" s="146"/>
      <c r="H322" s="146"/>
    </row>
    <row r="323">
      <c r="A323" s="153"/>
      <c r="B323" s="154"/>
      <c r="D323" s="146"/>
      <c r="E323" s="146"/>
      <c r="F323" s="146"/>
      <c r="G323" s="146"/>
      <c r="H323" s="146"/>
    </row>
    <row r="324">
      <c r="A324" s="153"/>
      <c r="B324" s="154"/>
      <c r="D324" s="146"/>
      <c r="E324" s="146"/>
      <c r="F324" s="146"/>
      <c r="G324" s="146"/>
      <c r="H324" s="146"/>
    </row>
    <row r="325">
      <c r="A325" s="153"/>
      <c r="B325" s="154"/>
      <c r="D325" s="146"/>
      <c r="E325" s="146"/>
      <c r="F325" s="146"/>
      <c r="G325" s="146"/>
      <c r="H325" s="146"/>
    </row>
    <row r="326">
      <c r="A326" s="153"/>
      <c r="B326" s="154"/>
      <c r="D326" s="146"/>
      <c r="E326" s="146"/>
      <c r="F326" s="146"/>
      <c r="G326" s="146"/>
      <c r="H326" s="146"/>
    </row>
    <row r="327">
      <c r="A327" s="153"/>
      <c r="B327" s="154"/>
      <c r="D327" s="146"/>
      <c r="E327" s="146"/>
      <c r="F327" s="146"/>
      <c r="G327" s="146"/>
      <c r="H327" s="146"/>
    </row>
    <row r="328">
      <c r="A328" s="153"/>
      <c r="B328" s="154"/>
      <c r="D328" s="146"/>
      <c r="E328" s="146"/>
      <c r="F328" s="146"/>
      <c r="G328" s="146"/>
      <c r="H328" s="146"/>
    </row>
    <row r="329">
      <c r="A329" s="153"/>
      <c r="B329" s="154"/>
      <c r="D329" s="146"/>
      <c r="E329" s="146"/>
      <c r="F329" s="146"/>
      <c r="G329" s="146"/>
      <c r="H329" s="146"/>
    </row>
    <row r="330">
      <c r="A330" s="153"/>
      <c r="B330" s="154"/>
      <c r="D330" s="146"/>
      <c r="E330" s="146"/>
      <c r="F330" s="146"/>
      <c r="G330" s="146"/>
      <c r="H330" s="146"/>
    </row>
    <row r="331">
      <c r="A331" s="153"/>
      <c r="B331" s="154"/>
      <c r="D331" s="146"/>
      <c r="E331" s="146"/>
      <c r="F331" s="146"/>
      <c r="G331" s="146"/>
      <c r="H331" s="146"/>
    </row>
    <row r="332">
      <c r="A332" s="153"/>
      <c r="B332" s="154"/>
      <c r="D332" s="146"/>
      <c r="E332" s="146"/>
      <c r="F332" s="146"/>
      <c r="G332" s="146"/>
      <c r="H332" s="146"/>
    </row>
    <row r="333">
      <c r="A333" s="153"/>
      <c r="B333" s="154"/>
      <c r="D333" s="146"/>
      <c r="E333" s="146"/>
      <c r="F333" s="146"/>
      <c r="G333" s="146"/>
      <c r="H333" s="146"/>
    </row>
    <row r="334">
      <c r="A334" s="153"/>
      <c r="B334" s="154"/>
      <c r="D334" s="146"/>
      <c r="E334" s="146"/>
      <c r="F334" s="146"/>
      <c r="G334" s="146"/>
      <c r="H334" s="146"/>
    </row>
    <row r="335">
      <c r="A335" s="153"/>
      <c r="B335" s="154"/>
      <c r="D335" s="146"/>
      <c r="E335" s="146"/>
      <c r="F335" s="146"/>
      <c r="G335" s="146"/>
      <c r="H335" s="146"/>
    </row>
    <row r="336">
      <c r="A336" s="153"/>
      <c r="B336" s="154"/>
      <c r="D336" s="146"/>
      <c r="E336" s="146"/>
      <c r="F336" s="146"/>
      <c r="G336" s="146"/>
      <c r="H336" s="146"/>
    </row>
    <row r="337">
      <c r="A337" s="153"/>
      <c r="B337" s="154"/>
      <c r="D337" s="146"/>
      <c r="E337" s="146"/>
      <c r="F337" s="146"/>
      <c r="G337" s="146"/>
      <c r="H337" s="146"/>
    </row>
    <row r="338">
      <c r="A338" s="153"/>
      <c r="B338" s="154"/>
      <c r="D338" s="146"/>
      <c r="E338" s="146"/>
      <c r="F338" s="146"/>
      <c r="G338" s="146"/>
      <c r="H338" s="146"/>
    </row>
    <row r="339">
      <c r="A339" s="153"/>
      <c r="B339" s="154"/>
      <c r="D339" s="146"/>
      <c r="E339" s="146"/>
      <c r="F339" s="146"/>
      <c r="G339" s="146"/>
      <c r="H339" s="146"/>
    </row>
    <row r="340">
      <c r="A340" s="153"/>
      <c r="B340" s="154"/>
      <c r="D340" s="146"/>
      <c r="E340" s="146"/>
      <c r="F340" s="146"/>
      <c r="G340" s="146"/>
      <c r="H340" s="146"/>
    </row>
    <row r="341">
      <c r="A341" s="153"/>
      <c r="B341" s="154"/>
      <c r="D341" s="146"/>
      <c r="E341" s="146"/>
      <c r="F341" s="146"/>
      <c r="G341" s="146"/>
      <c r="H341" s="146"/>
    </row>
    <row r="342">
      <c r="A342" s="153"/>
      <c r="B342" s="154"/>
      <c r="D342" s="146"/>
      <c r="E342" s="146"/>
      <c r="F342" s="146"/>
      <c r="G342" s="146"/>
      <c r="H342" s="146"/>
    </row>
    <row r="343">
      <c r="A343" s="153"/>
      <c r="B343" s="154"/>
      <c r="D343" s="146"/>
      <c r="E343" s="146"/>
      <c r="F343" s="146"/>
      <c r="G343" s="146"/>
      <c r="H343" s="146"/>
    </row>
    <row r="344">
      <c r="A344" s="153"/>
      <c r="B344" s="154"/>
      <c r="D344" s="146"/>
      <c r="E344" s="146"/>
      <c r="F344" s="146"/>
      <c r="G344" s="146"/>
      <c r="H344" s="146"/>
    </row>
    <row r="345">
      <c r="A345" s="153"/>
      <c r="B345" s="154"/>
      <c r="D345" s="146"/>
      <c r="E345" s="146"/>
      <c r="F345" s="146"/>
      <c r="G345" s="146"/>
      <c r="H345" s="146"/>
    </row>
    <row r="346">
      <c r="A346" s="153"/>
      <c r="B346" s="154"/>
      <c r="D346" s="146"/>
      <c r="E346" s="146"/>
      <c r="F346" s="146"/>
      <c r="G346" s="146"/>
      <c r="H346" s="146"/>
    </row>
    <row r="347">
      <c r="A347" s="153"/>
      <c r="B347" s="154"/>
      <c r="D347" s="146"/>
      <c r="E347" s="146"/>
      <c r="F347" s="146"/>
      <c r="G347" s="146"/>
      <c r="H347" s="146"/>
    </row>
    <row r="348">
      <c r="A348" s="153"/>
      <c r="B348" s="154"/>
      <c r="D348" s="146"/>
      <c r="E348" s="146"/>
      <c r="F348" s="146"/>
      <c r="G348" s="146"/>
      <c r="H348" s="146"/>
    </row>
    <row r="349">
      <c r="A349" s="153"/>
      <c r="B349" s="154"/>
      <c r="D349" s="146"/>
      <c r="E349" s="146"/>
      <c r="F349" s="146"/>
      <c r="G349" s="146"/>
      <c r="H349" s="146"/>
    </row>
    <row r="350">
      <c r="A350" s="153"/>
      <c r="B350" s="154"/>
      <c r="D350" s="146"/>
      <c r="E350" s="146"/>
      <c r="F350" s="146"/>
      <c r="G350" s="146"/>
      <c r="H350" s="146"/>
    </row>
    <row r="351">
      <c r="A351" s="153"/>
      <c r="B351" s="154"/>
      <c r="D351" s="146"/>
      <c r="E351" s="146"/>
      <c r="F351" s="146"/>
      <c r="G351" s="146"/>
      <c r="H351" s="146"/>
    </row>
    <row r="352">
      <c r="A352" s="153"/>
      <c r="B352" s="154"/>
      <c r="D352" s="146"/>
      <c r="E352" s="146"/>
      <c r="F352" s="146"/>
      <c r="G352" s="146"/>
      <c r="H352" s="146"/>
    </row>
    <row r="353">
      <c r="A353" s="153"/>
      <c r="B353" s="154"/>
      <c r="D353" s="146"/>
      <c r="E353" s="146"/>
      <c r="F353" s="146"/>
      <c r="G353" s="146"/>
      <c r="H353" s="146"/>
    </row>
    <row r="354">
      <c r="A354" s="153"/>
      <c r="B354" s="154"/>
      <c r="D354" s="146"/>
      <c r="E354" s="146"/>
      <c r="F354" s="146"/>
      <c r="G354" s="146"/>
      <c r="H354" s="146"/>
    </row>
    <row r="355">
      <c r="A355" s="153"/>
      <c r="B355" s="154"/>
      <c r="D355" s="146"/>
      <c r="E355" s="146"/>
      <c r="F355" s="146"/>
      <c r="G355" s="146"/>
      <c r="H355" s="146"/>
    </row>
    <row r="356">
      <c r="A356" s="153"/>
      <c r="B356" s="154"/>
      <c r="D356" s="146"/>
      <c r="E356" s="146"/>
      <c r="F356" s="146"/>
      <c r="G356" s="146"/>
      <c r="H356" s="146"/>
    </row>
    <row r="357">
      <c r="A357" s="153"/>
      <c r="B357" s="154"/>
      <c r="D357" s="146"/>
      <c r="E357" s="146"/>
      <c r="F357" s="146"/>
      <c r="G357" s="146"/>
      <c r="H357" s="146"/>
    </row>
    <row r="358">
      <c r="A358" s="153"/>
      <c r="B358" s="154"/>
      <c r="D358" s="146"/>
      <c r="E358" s="146"/>
      <c r="F358" s="146"/>
      <c r="G358" s="146"/>
      <c r="H358" s="146"/>
    </row>
    <row r="359">
      <c r="A359" s="153"/>
      <c r="B359" s="154"/>
      <c r="D359" s="146"/>
      <c r="E359" s="146"/>
      <c r="F359" s="146"/>
      <c r="G359" s="146"/>
      <c r="H359" s="146"/>
    </row>
    <row r="360">
      <c r="A360" s="153"/>
      <c r="B360" s="154"/>
      <c r="D360" s="146"/>
      <c r="E360" s="146"/>
      <c r="F360" s="146"/>
      <c r="G360" s="146"/>
      <c r="H360" s="146"/>
    </row>
    <row r="361">
      <c r="A361" s="153"/>
      <c r="B361" s="154"/>
      <c r="D361" s="146"/>
      <c r="E361" s="146"/>
      <c r="F361" s="146"/>
      <c r="G361" s="146"/>
      <c r="H361" s="146"/>
    </row>
    <row r="362">
      <c r="A362" s="153"/>
      <c r="B362" s="154"/>
      <c r="D362" s="146"/>
      <c r="E362" s="146"/>
      <c r="F362" s="146"/>
      <c r="G362" s="146"/>
      <c r="H362" s="146"/>
    </row>
    <row r="363">
      <c r="A363" s="153"/>
      <c r="B363" s="154"/>
      <c r="D363" s="146"/>
      <c r="E363" s="146"/>
      <c r="F363" s="146"/>
      <c r="G363" s="146"/>
      <c r="H363" s="146"/>
    </row>
    <row r="364">
      <c r="A364" s="153"/>
      <c r="B364" s="154"/>
      <c r="D364" s="146"/>
      <c r="E364" s="146"/>
      <c r="F364" s="146"/>
      <c r="G364" s="146"/>
      <c r="H364" s="146"/>
    </row>
    <row r="365">
      <c r="A365" s="153"/>
      <c r="B365" s="154"/>
      <c r="D365" s="146"/>
      <c r="E365" s="146"/>
      <c r="F365" s="146"/>
      <c r="G365" s="146"/>
      <c r="H365" s="146"/>
    </row>
    <row r="366">
      <c r="A366" s="153"/>
      <c r="B366" s="154"/>
      <c r="D366" s="146"/>
      <c r="E366" s="146"/>
      <c r="F366" s="146"/>
      <c r="G366" s="146"/>
      <c r="H366" s="146"/>
    </row>
    <row r="367">
      <c r="A367" s="153"/>
      <c r="B367" s="154"/>
      <c r="D367" s="146"/>
      <c r="E367" s="146"/>
      <c r="F367" s="146"/>
      <c r="G367" s="146"/>
      <c r="H367" s="146"/>
    </row>
    <row r="368">
      <c r="A368" s="153"/>
      <c r="B368" s="154"/>
      <c r="D368" s="146"/>
      <c r="E368" s="146"/>
      <c r="F368" s="146"/>
      <c r="G368" s="146"/>
      <c r="H368" s="146"/>
    </row>
    <row r="369">
      <c r="A369" s="153"/>
      <c r="B369" s="154"/>
      <c r="D369" s="146"/>
      <c r="E369" s="146"/>
      <c r="F369" s="146"/>
      <c r="G369" s="146"/>
      <c r="H369" s="146"/>
    </row>
    <row r="370">
      <c r="A370" s="153"/>
      <c r="B370" s="154"/>
      <c r="D370" s="146"/>
      <c r="E370" s="146"/>
      <c r="F370" s="146"/>
      <c r="G370" s="146"/>
      <c r="H370" s="146"/>
    </row>
    <row r="371">
      <c r="A371" s="153"/>
      <c r="B371" s="154"/>
      <c r="D371" s="146"/>
      <c r="E371" s="146"/>
      <c r="F371" s="146"/>
      <c r="G371" s="146"/>
      <c r="H371" s="146"/>
    </row>
    <row r="372">
      <c r="A372" s="153"/>
      <c r="B372" s="154"/>
      <c r="D372" s="146"/>
      <c r="E372" s="146"/>
      <c r="F372" s="146"/>
      <c r="G372" s="146"/>
      <c r="H372" s="146"/>
    </row>
    <row r="373">
      <c r="A373" s="153"/>
      <c r="B373" s="154"/>
      <c r="D373" s="146"/>
      <c r="E373" s="146"/>
      <c r="F373" s="146"/>
      <c r="G373" s="146"/>
      <c r="H373" s="146"/>
    </row>
    <row r="374">
      <c r="A374" s="153"/>
      <c r="B374" s="154"/>
      <c r="D374" s="146"/>
      <c r="E374" s="146"/>
      <c r="F374" s="146"/>
      <c r="G374" s="146"/>
      <c r="H374" s="146"/>
    </row>
    <row r="375">
      <c r="A375" s="153"/>
      <c r="B375" s="154"/>
      <c r="D375" s="146"/>
      <c r="E375" s="146"/>
      <c r="F375" s="146"/>
      <c r="G375" s="146"/>
      <c r="H375" s="146"/>
    </row>
    <row r="376">
      <c r="A376" s="153"/>
      <c r="B376" s="154"/>
      <c r="D376" s="146"/>
      <c r="E376" s="146"/>
      <c r="F376" s="146"/>
      <c r="G376" s="146"/>
      <c r="H376" s="146"/>
    </row>
    <row r="377">
      <c r="A377" s="153"/>
      <c r="B377" s="154"/>
      <c r="D377" s="146"/>
      <c r="E377" s="146"/>
      <c r="F377" s="146"/>
      <c r="G377" s="146"/>
      <c r="H377" s="146"/>
    </row>
    <row r="378">
      <c r="A378" s="153"/>
      <c r="B378" s="154"/>
      <c r="D378" s="146"/>
      <c r="E378" s="146"/>
      <c r="F378" s="146"/>
      <c r="G378" s="146"/>
      <c r="H378" s="146"/>
    </row>
    <row r="379">
      <c r="A379" s="153"/>
      <c r="B379" s="154"/>
      <c r="D379" s="146"/>
      <c r="E379" s="146"/>
      <c r="F379" s="146"/>
      <c r="G379" s="146"/>
      <c r="H379" s="146"/>
    </row>
    <row r="380">
      <c r="A380" s="153"/>
      <c r="B380" s="154"/>
      <c r="D380" s="146"/>
      <c r="E380" s="146"/>
      <c r="F380" s="146"/>
      <c r="G380" s="146"/>
      <c r="H380" s="146"/>
    </row>
    <row r="381">
      <c r="A381" s="153"/>
      <c r="B381" s="154"/>
      <c r="D381" s="146"/>
      <c r="E381" s="146"/>
      <c r="F381" s="146"/>
      <c r="G381" s="146"/>
      <c r="H381" s="146"/>
    </row>
    <row r="382">
      <c r="A382" s="153"/>
      <c r="B382" s="154"/>
      <c r="D382" s="146"/>
      <c r="E382" s="146"/>
      <c r="F382" s="146"/>
      <c r="G382" s="146"/>
      <c r="H382" s="146"/>
    </row>
    <row r="383">
      <c r="A383" s="153"/>
      <c r="B383" s="154"/>
      <c r="D383" s="146"/>
      <c r="E383" s="146"/>
      <c r="F383" s="146"/>
      <c r="G383" s="146"/>
      <c r="H383" s="146"/>
    </row>
    <row r="384">
      <c r="A384" s="153"/>
      <c r="B384" s="154"/>
      <c r="D384" s="146"/>
      <c r="E384" s="146"/>
      <c r="F384" s="146"/>
      <c r="G384" s="146"/>
      <c r="H384" s="146"/>
    </row>
    <row r="385">
      <c r="A385" s="153"/>
      <c r="B385" s="154"/>
      <c r="D385" s="146"/>
      <c r="E385" s="146"/>
      <c r="F385" s="146"/>
      <c r="G385" s="146"/>
      <c r="H385" s="146"/>
    </row>
    <row r="386">
      <c r="A386" s="153"/>
      <c r="B386" s="154"/>
      <c r="D386" s="146"/>
      <c r="E386" s="146"/>
      <c r="F386" s="146"/>
      <c r="G386" s="146"/>
      <c r="H386" s="146"/>
    </row>
    <row r="387">
      <c r="A387" s="153"/>
      <c r="B387" s="154"/>
      <c r="D387" s="146"/>
      <c r="E387" s="146"/>
      <c r="F387" s="146"/>
      <c r="G387" s="146"/>
      <c r="H387" s="146"/>
    </row>
    <row r="388">
      <c r="A388" s="153"/>
      <c r="B388" s="154"/>
      <c r="D388" s="146"/>
      <c r="E388" s="146"/>
      <c r="F388" s="146"/>
      <c r="G388" s="146"/>
      <c r="H388" s="146"/>
    </row>
    <row r="389">
      <c r="A389" s="153"/>
      <c r="B389" s="154"/>
      <c r="D389" s="146"/>
      <c r="E389" s="146"/>
      <c r="F389" s="146"/>
      <c r="G389" s="146"/>
      <c r="H389" s="146"/>
    </row>
    <row r="390">
      <c r="A390" s="153"/>
      <c r="B390" s="154"/>
      <c r="D390" s="146"/>
      <c r="E390" s="146"/>
      <c r="F390" s="146"/>
      <c r="G390" s="146"/>
      <c r="H390" s="146"/>
    </row>
    <row r="391">
      <c r="A391" s="153"/>
      <c r="B391" s="154"/>
      <c r="D391" s="146"/>
      <c r="E391" s="146"/>
      <c r="F391" s="146"/>
      <c r="G391" s="146"/>
      <c r="H391" s="146"/>
    </row>
    <row r="392">
      <c r="A392" s="153"/>
      <c r="B392" s="154"/>
      <c r="D392" s="146"/>
      <c r="E392" s="146"/>
      <c r="F392" s="146"/>
      <c r="G392" s="146"/>
      <c r="H392" s="146"/>
    </row>
    <row r="393">
      <c r="A393" s="153"/>
      <c r="B393" s="154"/>
      <c r="D393" s="146"/>
      <c r="E393" s="146"/>
      <c r="F393" s="146"/>
      <c r="G393" s="146"/>
      <c r="H393" s="146"/>
    </row>
    <row r="394">
      <c r="A394" s="153"/>
      <c r="B394" s="154"/>
      <c r="D394" s="146"/>
      <c r="E394" s="146"/>
      <c r="F394" s="146"/>
      <c r="G394" s="146"/>
      <c r="H394" s="146"/>
    </row>
    <row r="395">
      <c r="A395" s="153"/>
      <c r="B395" s="154"/>
      <c r="D395" s="146"/>
      <c r="E395" s="146"/>
      <c r="F395" s="146"/>
      <c r="G395" s="146"/>
      <c r="H395" s="146"/>
    </row>
    <row r="396">
      <c r="A396" s="153"/>
      <c r="B396" s="154"/>
      <c r="D396" s="146"/>
      <c r="E396" s="146"/>
      <c r="F396" s="146"/>
      <c r="G396" s="146"/>
      <c r="H396" s="146"/>
    </row>
    <row r="397">
      <c r="A397" s="153"/>
      <c r="B397" s="154"/>
      <c r="D397" s="146"/>
      <c r="E397" s="146"/>
      <c r="F397" s="146"/>
      <c r="G397" s="146"/>
      <c r="H397" s="146"/>
    </row>
    <row r="398">
      <c r="A398" s="153"/>
      <c r="B398" s="154"/>
      <c r="D398" s="146"/>
      <c r="E398" s="146"/>
      <c r="F398" s="146"/>
      <c r="G398" s="146"/>
      <c r="H398" s="146"/>
    </row>
    <row r="399">
      <c r="A399" s="153"/>
      <c r="B399" s="154"/>
      <c r="D399" s="146"/>
      <c r="E399" s="146"/>
      <c r="F399" s="146"/>
      <c r="G399" s="146"/>
      <c r="H399" s="146"/>
    </row>
    <row r="400">
      <c r="A400" s="153"/>
      <c r="B400" s="154"/>
      <c r="D400" s="146"/>
      <c r="E400" s="146"/>
      <c r="F400" s="146"/>
      <c r="G400" s="146"/>
      <c r="H400" s="146"/>
    </row>
    <row r="401">
      <c r="A401" s="153"/>
      <c r="B401" s="154"/>
      <c r="D401" s="146"/>
      <c r="E401" s="146"/>
      <c r="F401" s="146"/>
      <c r="G401" s="146"/>
      <c r="H401" s="146"/>
    </row>
    <row r="402">
      <c r="A402" s="153"/>
      <c r="B402" s="154"/>
      <c r="D402" s="146"/>
      <c r="E402" s="146"/>
      <c r="F402" s="146"/>
      <c r="G402" s="146"/>
      <c r="H402" s="146"/>
    </row>
    <row r="403">
      <c r="A403" s="153"/>
      <c r="B403" s="154"/>
      <c r="D403" s="146"/>
      <c r="E403" s="146"/>
      <c r="F403" s="146"/>
      <c r="G403" s="146"/>
      <c r="H403" s="146"/>
    </row>
    <row r="404">
      <c r="A404" s="153"/>
      <c r="B404" s="154"/>
      <c r="D404" s="146"/>
      <c r="E404" s="146"/>
      <c r="F404" s="146"/>
      <c r="G404" s="146"/>
      <c r="H404" s="146"/>
    </row>
    <row r="405">
      <c r="A405" s="153"/>
      <c r="B405" s="154"/>
      <c r="D405" s="146"/>
      <c r="E405" s="146"/>
      <c r="F405" s="146"/>
      <c r="G405" s="146"/>
      <c r="H405" s="146"/>
    </row>
    <row r="406">
      <c r="A406" s="153"/>
      <c r="B406" s="154"/>
      <c r="D406" s="146"/>
      <c r="E406" s="146"/>
      <c r="F406" s="146"/>
      <c r="G406" s="146"/>
      <c r="H406" s="146"/>
    </row>
    <row r="407">
      <c r="A407" s="153"/>
      <c r="B407" s="154"/>
      <c r="D407" s="146"/>
      <c r="E407" s="146"/>
      <c r="F407" s="146"/>
      <c r="G407" s="146"/>
      <c r="H407" s="146"/>
    </row>
    <row r="408">
      <c r="A408" s="153"/>
      <c r="B408" s="154"/>
      <c r="D408" s="146"/>
      <c r="E408" s="146"/>
      <c r="F408" s="146"/>
      <c r="G408" s="146"/>
      <c r="H408" s="146"/>
    </row>
    <row r="409">
      <c r="A409" s="153"/>
      <c r="B409" s="154"/>
      <c r="D409" s="146"/>
      <c r="E409" s="146"/>
      <c r="F409" s="146"/>
      <c r="G409" s="146"/>
      <c r="H409" s="146"/>
    </row>
    <row r="410">
      <c r="A410" s="153"/>
      <c r="B410" s="154"/>
      <c r="D410" s="146"/>
      <c r="E410" s="146"/>
      <c r="F410" s="146"/>
      <c r="G410" s="146"/>
      <c r="H410" s="146"/>
    </row>
    <row r="411">
      <c r="A411" s="153"/>
      <c r="B411" s="154"/>
      <c r="D411" s="146"/>
      <c r="E411" s="146"/>
      <c r="F411" s="146"/>
      <c r="G411" s="146"/>
      <c r="H411" s="146"/>
    </row>
    <row r="412">
      <c r="A412" s="153"/>
      <c r="B412" s="154"/>
      <c r="D412" s="146"/>
      <c r="E412" s="146"/>
      <c r="F412" s="146"/>
      <c r="G412" s="146"/>
      <c r="H412" s="146"/>
    </row>
    <row r="413">
      <c r="A413" s="153"/>
      <c r="B413" s="154"/>
      <c r="D413" s="146"/>
      <c r="E413" s="146"/>
      <c r="F413" s="146"/>
      <c r="G413" s="146"/>
      <c r="H413" s="146"/>
    </row>
    <row r="414">
      <c r="A414" s="153"/>
      <c r="B414" s="154"/>
      <c r="D414" s="146"/>
      <c r="E414" s="146"/>
      <c r="F414" s="146"/>
      <c r="G414" s="146"/>
      <c r="H414" s="146"/>
    </row>
    <row r="415">
      <c r="A415" s="153"/>
      <c r="B415" s="154"/>
      <c r="D415" s="146"/>
      <c r="E415" s="146"/>
      <c r="F415" s="146"/>
      <c r="G415" s="146"/>
      <c r="H415" s="146"/>
    </row>
    <row r="416">
      <c r="A416" s="153"/>
      <c r="B416" s="154"/>
      <c r="D416" s="146"/>
      <c r="E416" s="146"/>
      <c r="F416" s="146"/>
      <c r="G416" s="146"/>
      <c r="H416" s="146"/>
    </row>
    <row r="417">
      <c r="A417" s="153"/>
      <c r="B417" s="154"/>
      <c r="D417" s="146"/>
      <c r="E417" s="146"/>
      <c r="F417" s="146"/>
      <c r="G417" s="146"/>
      <c r="H417" s="146"/>
    </row>
    <row r="418">
      <c r="A418" s="153"/>
      <c r="B418" s="154"/>
      <c r="D418" s="146"/>
      <c r="E418" s="146"/>
      <c r="F418" s="146"/>
      <c r="G418" s="146"/>
      <c r="H418" s="146"/>
    </row>
    <row r="419">
      <c r="A419" s="153"/>
      <c r="B419" s="154"/>
      <c r="D419" s="146"/>
      <c r="E419" s="146"/>
      <c r="F419" s="146"/>
      <c r="G419" s="146"/>
      <c r="H419" s="146"/>
    </row>
    <row r="420">
      <c r="A420" s="153"/>
      <c r="B420" s="154"/>
      <c r="D420" s="146"/>
      <c r="E420" s="146"/>
      <c r="F420" s="146"/>
      <c r="G420" s="146"/>
      <c r="H420" s="146"/>
    </row>
    <row r="421">
      <c r="A421" s="153"/>
      <c r="B421" s="154"/>
      <c r="D421" s="146"/>
      <c r="E421" s="146"/>
      <c r="F421" s="146"/>
      <c r="G421" s="146"/>
      <c r="H421" s="146"/>
    </row>
    <row r="422">
      <c r="A422" s="153"/>
      <c r="B422" s="154"/>
      <c r="D422" s="146"/>
      <c r="E422" s="146"/>
      <c r="F422" s="146"/>
      <c r="G422" s="146"/>
      <c r="H422" s="146"/>
    </row>
    <row r="423">
      <c r="A423" s="153"/>
      <c r="B423" s="154"/>
      <c r="D423" s="146"/>
      <c r="E423" s="146"/>
      <c r="F423" s="146"/>
      <c r="G423" s="146"/>
      <c r="H423" s="146"/>
    </row>
    <row r="424">
      <c r="A424" s="153"/>
      <c r="B424" s="154"/>
      <c r="D424" s="146"/>
      <c r="E424" s="146"/>
      <c r="F424" s="146"/>
      <c r="G424" s="146"/>
      <c r="H424" s="146"/>
    </row>
    <row r="425">
      <c r="A425" s="153"/>
      <c r="B425" s="154"/>
      <c r="D425" s="146"/>
      <c r="E425" s="146"/>
      <c r="F425" s="146"/>
      <c r="G425" s="146"/>
      <c r="H425" s="146"/>
    </row>
    <row r="426">
      <c r="A426" s="153"/>
      <c r="B426" s="154"/>
      <c r="D426" s="146"/>
      <c r="E426" s="146"/>
      <c r="F426" s="146"/>
      <c r="G426" s="146"/>
      <c r="H426" s="146"/>
    </row>
    <row r="427">
      <c r="A427" s="153"/>
      <c r="B427" s="154"/>
      <c r="D427" s="146"/>
      <c r="E427" s="146"/>
      <c r="F427" s="146"/>
      <c r="G427" s="146"/>
      <c r="H427" s="146"/>
    </row>
    <row r="428">
      <c r="A428" s="153"/>
      <c r="B428" s="154"/>
      <c r="D428" s="146"/>
      <c r="E428" s="146"/>
      <c r="F428" s="146"/>
      <c r="G428" s="146"/>
      <c r="H428" s="146"/>
    </row>
    <row r="429">
      <c r="A429" s="153"/>
      <c r="B429" s="154"/>
      <c r="D429" s="146"/>
      <c r="E429" s="146"/>
      <c r="F429" s="146"/>
      <c r="G429" s="146"/>
      <c r="H429" s="146"/>
    </row>
    <row r="430">
      <c r="A430" s="153"/>
      <c r="B430" s="154"/>
      <c r="D430" s="146"/>
      <c r="E430" s="146"/>
      <c r="F430" s="146"/>
      <c r="G430" s="146"/>
      <c r="H430" s="146"/>
    </row>
    <row r="431">
      <c r="A431" s="153"/>
      <c r="B431" s="154"/>
      <c r="D431" s="146"/>
      <c r="E431" s="146"/>
      <c r="F431" s="146"/>
      <c r="G431" s="146"/>
      <c r="H431" s="146"/>
    </row>
    <row r="432">
      <c r="A432" s="153"/>
      <c r="B432" s="154"/>
      <c r="D432" s="146"/>
      <c r="E432" s="146"/>
      <c r="F432" s="146"/>
      <c r="G432" s="146"/>
      <c r="H432" s="146"/>
    </row>
    <row r="433">
      <c r="A433" s="153"/>
      <c r="B433" s="154"/>
      <c r="D433" s="146"/>
      <c r="E433" s="146"/>
      <c r="F433" s="146"/>
      <c r="G433" s="146"/>
      <c r="H433" s="146"/>
    </row>
    <row r="434">
      <c r="A434" s="153"/>
      <c r="B434" s="154"/>
      <c r="D434" s="146"/>
      <c r="E434" s="146"/>
      <c r="F434" s="146"/>
      <c r="G434" s="146"/>
      <c r="H434" s="146"/>
    </row>
    <row r="435">
      <c r="A435" s="153"/>
      <c r="B435" s="154"/>
      <c r="D435" s="146"/>
      <c r="E435" s="146"/>
      <c r="F435" s="146"/>
      <c r="G435" s="146"/>
      <c r="H435" s="146"/>
    </row>
    <row r="436">
      <c r="A436" s="153"/>
      <c r="B436" s="154"/>
      <c r="D436" s="146"/>
      <c r="E436" s="146"/>
      <c r="F436" s="146"/>
      <c r="G436" s="146"/>
      <c r="H436" s="146"/>
    </row>
    <row r="437">
      <c r="A437" s="153"/>
      <c r="B437" s="154"/>
      <c r="D437" s="146"/>
      <c r="E437" s="146"/>
      <c r="F437" s="146"/>
      <c r="G437" s="146"/>
      <c r="H437" s="146"/>
    </row>
    <row r="438">
      <c r="A438" s="153"/>
      <c r="B438" s="154"/>
      <c r="D438" s="146"/>
      <c r="E438" s="146"/>
      <c r="F438" s="146"/>
      <c r="G438" s="146"/>
      <c r="H438" s="146"/>
    </row>
    <row r="439">
      <c r="A439" s="153"/>
      <c r="B439" s="154"/>
      <c r="D439" s="146"/>
      <c r="E439" s="146"/>
      <c r="F439" s="146"/>
      <c r="G439" s="146"/>
      <c r="H439" s="146"/>
    </row>
    <row r="440">
      <c r="A440" s="153"/>
      <c r="B440" s="154"/>
      <c r="D440" s="146"/>
      <c r="E440" s="146"/>
      <c r="F440" s="146"/>
      <c r="G440" s="146"/>
      <c r="H440" s="146"/>
    </row>
    <row r="441">
      <c r="A441" s="153"/>
      <c r="B441" s="154"/>
      <c r="D441" s="146"/>
      <c r="E441" s="146"/>
      <c r="F441" s="146"/>
      <c r="G441" s="146"/>
      <c r="H441" s="146"/>
    </row>
    <row r="442">
      <c r="A442" s="153"/>
      <c r="B442" s="154"/>
      <c r="D442" s="146"/>
      <c r="E442" s="146"/>
      <c r="F442" s="146"/>
      <c r="G442" s="146"/>
      <c r="H442" s="146"/>
    </row>
    <row r="443">
      <c r="A443" s="153"/>
      <c r="B443" s="154"/>
      <c r="D443" s="146"/>
      <c r="E443" s="146"/>
      <c r="F443" s="146"/>
      <c r="G443" s="146"/>
      <c r="H443" s="146"/>
    </row>
    <row r="444">
      <c r="A444" s="153"/>
      <c r="B444" s="154"/>
      <c r="D444" s="146"/>
      <c r="E444" s="146"/>
      <c r="F444" s="146"/>
      <c r="G444" s="146"/>
      <c r="H444" s="146"/>
    </row>
    <row r="445">
      <c r="A445" s="153"/>
      <c r="B445" s="154"/>
      <c r="D445" s="146"/>
      <c r="E445" s="146"/>
      <c r="F445" s="146"/>
      <c r="G445" s="146"/>
      <c r="H445" s="146"/>
    </row>
    <row r="446">
      <c r="A446" s="153"/>
      <c r="B446" s="154"/>
      <c r="D446" s="146"/>
      <c r="E446" s="146"/>
      <c r="F446" s="146"/>
      <c r="G446" s="146"/>
      <c r="H446" s="146"/>
    </row>
    <row r="447">
      <c r="A447" s="153"/>
      <c r="B447" s="154"/>
      <c r="D447" s="146"/>
      <c r="E447" s="146"/>
      <c r="F447" s="146"/>
      <c r="G447" s="146"/>
      <c r="H447" s="146"/>
    </row>
    <row r="448">
      <c r="A448" s="153"/>
      <c r="B448" s="154"/>
      <c r="D448" s="146"/>
      <c r="E448" s="146"/>
      <c r="F448" s="146"/>
      <c r="G448" s="146"/>
      <c r="H448" s="146"/>
    </row>
    <row r="449">
      <c r="A449" s="153"/>
      <c r="B449" s="154"/>
      <c r="D449" s="146"/>
      <c r="E449" s="146"/>
      <c r="F449" s="146"/>
      <c r="G449" s="146"/>
      <c r="H449" s="146"/>
    </row>
    <row r="450">
      <c r="A450" s="153"/>
      <c r="B450" s="154"/>
      <c r="D450" s="146"/>
      <c r="E450" s="146"/>
      <c r="F450" s="146"/>
      <c r="G450" s="146"/>
      <c r="H450" s="146"/>
    </row>
    <row r="451">
      <c r="A451" s="153"/>
      <c r="B451" s="154"/>
      <c r="D451" s="146"/>
      <c r="E451" s="146"/>
      <c r="F451" s="146"/>
      <c r="G451" s="146"/>
      <c r="H451" s="146"/>
    </row>
    <row r="452">
      <c r="A452" s="153"/>
      <c r="B452" s="154"/>
      <c r="D452" s="146"/>
      <c r="E452" s="146"/>
      <c r="F452" s="146"/>
      <c r="G452" s="146"/>
      <c r="H452" s="146"/>
    </row>
    <row r="453">
      <c r="A453" s="153"/>
      <c r="B453" s="154"/>
      <c r="D453" s="146"/>
      <c r="E453" s="146"/>
      <c r="F453" s="146"/>
      <c r="G453" s="146"/>
      <c r="H453" s="146"/>
    </row>
    <row r="454">
      <c r="A454" s="153"/>
      <c r="B454" s="154"/>
      <c r="D454" s="146"/>
      <c r="E454" s="146"/>
      <c r="F454" s="146"/>
      <c r="G454" s="146"/>
      <c r="H454" s="146"/>
    </row>
    <row r="455">
      <c r="A455" s="153"/>
      <c r="B455" s="154"/>
      <c r="D455" s="146"/>
      <c r="E455" s="146"/>
      <c r="F455" s="146"/>
      <c r="G455" s="146"/>
      <c r="H455" s="146"/>
    </row>
    <row r="456">
      <c r="A456" s="153"/>
      <c r="B456" s="154"/>
      <c r="D456" s="146"/>
      <c r="E456" s="146"/>
      <c r="F456" s="146"/>
      <c r="G456" s="146"/>
      <c r="H456" s="146"/>
    </row>
    <row r="457">
      <c r="A457" s="153"/>
      <c r="B457" s="154"/>
      <c r="D457" s="146"/>
      <c r="E457" s="146"/>
      <c r="F457" s="146"/>
      <c r="G457" s="146"/>
      <c r="H457" s="146"/>
    </row>
    <row r="458">
      <c r="A458" s="153"/>
      <c r="B458" s="154"/>
      <c r="D458" s="146"/>
      <c r="E458" s="146"/>
      <c r="F458" s="146"/>
      <c r="G458" s="146"/>
      <c r="H458" s="146"/>
    </row>
    <row r="459">
      <c r="A459" s="153"/>
      <c r="B459" s="154"/>
      <c r="D459" s="146"/>
      <c r="E459" s="146"/>
      <c r="F459" s="146"/>
      <c r="G459" s="146"/>
      <c r="H459" s="146"/>
    </row>
    <row r="460">
      <c r="A460" s="153"/>
      <c r="B460" s="154"/>
      <c r="D460" s="146"/>
      <c r="E460" s="146"/>
      <c r="F460" s="146"/>
      <c r="G460" s="146"/>
      <c r="H460" s="146"/>
    </row>
    <row r="461">
      <c r="A461" s="153"/>
      <c r="B461" s="154"/>
      <c r="D461" s="146"/>
      <c r="E461" s="146"/>
      <c r="F461" s="146"/>
      <c r="G461" s="146"/>
      <c r="H461" s="146"/>
    </row>
    <row r="462">
      <c r="A462" s="153"/>
      <c r="B462" s="154"/>
      <c r="D462" s="146"/>
      <c r="E462" s="146"/>
      <c r="F462" s="146"/>
      <c r="G462" s="146"/>
      <c r="H462" s="146"/>
    </row>
    <row r="463">
      <c r="A463" s="153"/>
      <c r="B463" s="154"/>
      <c r="D463" s="146"/>
      <c r="E463" s="146"/>
      <c r="F463" s="146"/>
      <c r="G463" s="146"/>
      <c r="H463" s="146"/>
    </row>
    <row r="464">
      <c r="A464" s="153"/>
      <c r="B464" s="154"/>
      <c r="D464" s="146"/>
      <c r="E464" s="146"/>
      <c r="F464" s="146"/>
      <c r="G464" s="146"/>
      <c r="H464" s="146"/>
    </row>
    <row r="465">
      <c r="A465" s="153"/>
      <c r="B465" s="154"/>
      <c r="D465" s="146"/>
      <c r="E465" s="146"/>
      <c r="F465" s="146"/>
      <c r="G465" s="146"/>
      <c r="H465" s="146"/>
    </row>
    <row r="466">
      <c r="A466" s="153"/>
      <c r="B466" s="154"/>
      <c r="D466" s="146"/>
      <c r="E466" s="146"/>
      <c r="F466" s="146"/>
      <c r="G466" s="146"/>
      <c r="H466" s="146"/>
    </row>
    <row r="467">
      <c r="A467" s="153"/>
      <c r="B467" s="154"/>
      <c r="D467" s="146"/>
      <c r="E467" s="146"/>
      <c r="F467" s="146"/>
      <c r="G467" s="146"/>
      <c r="H467" s="146"/>
    </row>
    <row r="468">
      <c r="A468" s="153"/>
      <c r="B468" s="154"/>
      <c r="D468" s="146"/>
      <c r="E468" s="146"/>
      <c r="F468" s="146"/>
      <c r="G468" s="146"/>
      <c r="H468" s="146"/>
    </row>
    <row r="469">
      <c r="A469" s="153"/>
      <c r="B469" s="154"/>
      <c r="D469" s="146"/>
      <c r="E469" s="146"/>
      <c r="F469" s="146"/>
      <c r="G469" s="146"/>
      <c r="H469" s="146"/>
    </row>
    <row r="470">
      <c r="A470" s="153"/>
      <c r="B470" s="154"/>
      <c r="D470" s="146"/>
      <c r="E470" s="146"/>
      <c r="F470" s="146"/>
      <c r="G470" s="146"/>
      <c r="H470" s="146"/>
    </row>
    <row r="471">
      <c r="A471" s="153"/>
      <c r="B471" s="154"/>
      <c r="D471" s="146"/>
      <c r="E471" s="146"/>
      <c r="F471" s="146"/>
      <c r="G471" s="146"/>
      <c r="H471" s="146"/>
    </row>
    <row r="472">
      <c r="A472" s="153"/>
      <c r="B472" s="154"/>
      <c r="D472" s="146"/>
      <c r="E472" s="146"/>
      <c r="F472" s="146"/>
      <c r="G472" s="146"/>
      <c r="H472" s="146"/>
    </row>
    <row r="473">
      <c r="A473" s="153"/>
      <c r="B473" s="154"/>
      <c r="D473" s="146"/>
      <c r="E473" s="146"/>
      <c r="F473" s="146"/>
      <c r="G473" s="146"/>
      <c r="H473" s="146"/>
    </row>
    <row r="474">
      <c r="A474" s="153"/>
      <c r="B474" s="154"/>
      <c r="D474" s="146"/>
      <c r="E474" s="146"/>
      <c r="F474" s="146"/>
      <c r="G474" s="146"/>
      <c r="H474" s="146"/>
    </row>
    <row r="475">
      <c r="A475" s="153"/>
      <c r="B475" s="154"/>
      <c r="D475" s="146"/>
      <c r="E475" s="146"/>
      <c r="F475" s="146"/>
      <c r="G475" s="146"/>
      <c r="H475" s="146"/>
    </row>
    <row r="476">
      <c r="A476" s="153"/>
      <c r="B476" s="154"/>
      <c r="D476" s="146"/>
      <c r="E476" s="146"/>
      <c r="F476" s="146"/>
      <c r="G476" s="146"/>
      <c r="H476" s="146"/>
    </row>
    <row r="477">
      <c r="A477" s="153"/>
      <c r="B477" s="154"/>
      <c r="D477" s="146"/>
      <c r="E477" s="146"/>
      <c r="F477" s="146"/>
      <c r="G477" s="146"/>
      <c r="H477" s="146"/>
    </row>
    <row r="478">
      <c r="A478" s="153"/>
      <c r="B478" s="154"/>
      <c r="D478" s="146"/>
      <c r="E478" s="146"/>
      <c r="F478" s="146"/>
      <c r="G478" s="146"/>
      <c r="H478" s="146"/>
    </row>
    <row r="479">
      <c r="A479" s="153"/>
      <c r="B479" s="154"/>
      <c r="D479" s="146"/>
      <c r="E479" s="146"/>
      <c r="F479" s="146"/>
      <c r="G479" s="146"/>
      <c r="H479" s="146"/>
    </row>
    <row r="480">
      <c r="A480" s="153"/>
      <c r="B480" s="154"/>
      <c r="D480" s="146"/>
      <c r="E480" s="146"/>
      <c r="F480" s="146"/>
      <c r="G480" s="146"/>
      <c r="H480" s="146"/>
    </row>
    <row r="481">
      <c r="A481" s="153"/>
      <c r="B481" s="154"/>
      <c r="D481" s="146"/>
      <c r="E481" s="146"/>
      <c r="F481" s="146"/>
      <c r="G481" s="146"/>
      <c r="H481" s="146"/>
    </row>
    <row r="482">
      <c r="A482" s="153"/>
      <c r="B482" s="154"/>
      <c r="D482" s="146"/>
      <c r="E482" s="146"/>
      <c r="F482" s="146"/>
      <c r="G482" s="146"/>
      <c r="H482" s="146"/>
    </row>
    <row r="483">
      <c r="A483" s="153"/>
      <c r="B483" s="154"/>
      <c r="D483" s="146"/>
      <c r="E483" s="146"/>
      <c r="F483" s="146"/>
      <c r="G483" s="146"/>
      <c r="H483" s="146"/>
    </row>
    <row r="484">
      <c r="A484" s="153"/>
      <c r="B484" s="154"/>
      <c r="D484" s="146"/>
      <c r="E484" s="146"/>
      <c r="F484" s="146"/>
      <c r="G484" s="146"/>
      <c r="H484" s="146"/>
    </row>
    <row r="485">
      <c r="A485" s="153"/>
      <c r="B485" s="154"/>
      <c r="D485" s="146"/>
      <c r="E485" s="146"/>
      <c r="F485" s="146"/>
      <c r="G485" s="146"/>
      <c r="H485" s="146"/>
    </row>
    <row r="486">
      <c r="A486" s="153"/>
      <c r="B486" s="154"/>
      <c r="D486" s="146"/>
      <c r="E486" s="146"/>
      <c r="F486" s="146"/>
      <c r="G486" s="146"/>
      <c r="H486" s="146"/>
    </row>
    <row r="487">
      <c r="A487" s="153"/>
      <c r="B487" s="154"/>
      <c r="D487" s="146"/>
      <c r="E487" s="146"/>
      <c r="F487" s="146"/>
      <c r="G487" s="146"/>
      <c r="H487" s="146"/>
    </row>
    <row r="488">
      <c r="A488" s="153"/>
      <c r="B488" s="154"/>
      <c r="D488" s="146"/>
      <c r="E488" s="146"/>
      <c r="F488" s="146"/>
      <c r="G488" s="146"/>
      <c r="H488" s="146"/>
    </row>
    <row r="489">
      <c r="A489" s="153"/>
      <c r="B489" s="154"/>
      <c r="D489" s="146"/>
      <c r="E489" s="146"/>
      <c r="F489" s="146"/>
      <c r="G489" s="146"/>
      <c r="H489" s="146"/>
    </row>
    <row r="490">
      <c r="A490" s="153"/>
      <c r="B490" s="154"/>
      <c r="D490" s="146"/>
      <c r="E490" s="146"/>
      <c r="F490" s="146"/>
      <c r="G490" s="146"/>
      <c r="H490" s="146"/>
    </row>
    <row r="491">
      <c r="A491" s="153"/>
      <c r="B491" s="154"/>
      <c r="D491" s="146"/>
      <c r="E491" s="146"/>
      <c r="F491" s="146"/>
      <c r="G491" s="146"/>
      <c r="H491" s="146"/>
    </row>
    <row r="492">
      <c r="A492" s="153"/>
      <c r="B492" s="154"/>
      <c r="D492" s="146"/>
      <c r="E492" s="146"/>
      <c r="F492" s="146"/>
      <c r="G492" s="146"/>
      <c r="H492" s="146"/>
    </row>
    <row r="493">
      <c r="A493" s="153"/>
      <c r="B493" s="154"/>
      <c r="D493" s="146"/>
      <c r="E493" s="146"/>
      <c r="F493" s="146"/>
      <c r="G493" s="146"/>
      <c r="H493" s="146"/>
    </row>
    <row r="494">
      <c r="A494" s="153"/>
      <c r="B494" s="154"/>
      <c r="D494" s="146"/>
      <c r="E494" s="146"/>
      <c r="F494" s="146"/>
      <c r="G494" s="146"/>
      <c r="H494" s="146"/>
    </row>
    <row r="495">
      <c r="A495" s="153"/>
      <c r="B495" s="154"/>
      <c r="D495" s="146"/>
      <c r="E495" s="146"/>
      <c r="F495" s="146"/>
      <c r="G495" s="146"/>
      <c r="H495" s="146"/>
    </row>
    <row r="496">
      <c r="A496" s="153"/>
      <c r="B496" s="154"/>
      <c r="D496" s="146"/>
      <c r="E496" s="146"/>
      <c r="F496" s="146"/>
      <c r="G496" s="146"/>
      <c r="H496" s="146"/>
    </row>
    <row r="497">
      <c r="A497" s="153"/>
      <c r="B497" s="154"/>
      <c r="D497" s="146"/>
      <c r="E497" s="146"/>
      <c r="F497" s="146"/>
      <c r="G497" s="146"/>
      <c r="H497" s="146"/>
    </row>
    <row r="498">
      <c r="A498" s="153"/>
      <c r="B498" s="154"/>
      <c r="D498" s="146"/>
      <c r="E498" s="146"/>
      <c r="F498" s="146"/>
      <c r="G498" s="146"/>
      <c r="H498" s="146"/>
    </row>
    <row r="499">
      <c r="A499" s="153"/>
      <c r="B499" s="154"/>
      <c r="D499" s="146"/>
      <c r="E499" s="146"/>
      <c r="F499" s="146"/>
      <c r="G499" s="146"/>
      <c r="H499" s="146"/>
    </row>
    <row r="500">
      <c r="A500" s="153"/>
      <c r="B500" s="154"/>
      <c r="D500" s="146"/>
      <c r="E500" s="146"/>
      <c r="F500" s="146"/>
      <c r="G500" s="146"/>
      <c r="H500" s="146"/>
    </row>
    <row r="501">
      <c r="A501" s="153"/>
      <c r="B501" s="154"/>
      <c r="D501" s="146"/>
      <c r="E501" s="146"/>
      <c r="F501" s="146"/>
      <c r="G501" s="146"/>
      <c r="H501" s="146"/>
    </row>
    <row r="502">
      <c r="A502" s="153"/>
      <c r="B502" s="154"/>
      <c r="D502" s="146"/>
      <c r="E502" s="146"/>
      <c r="F502" s="146"/>
      <c r="G502" s="146"/>
      <c r="H502" s="146"/>
    </row>
    <row r="503">
      <c r="A503" s="153"/>
      <c r="B503" s="154"/>
      <c r="D503" s="146"/>
      <c r="E503" s="146"/>
      <c r="F503" s="146"/>
      <c r="G503" s="146"/>
      <c r="H503" s="146"/>
    </row>
    <row r="504">
      <c r="A504" s="153"/>
      <c r="B504" s="154"/>
      <c r="D504" s="146"/>
      <c r="E504" s="146"/>
      <c r="F504" s="146"/>
      <c r="G504" s="146"/>
      <c r="H504" s="146"/>
    </row>
    <row r="505">
      <c r="A505" s="153"/>
      <c r="B505" s="154"/>
      <c r="D505" s="146"/>
      <c r="E505" s="146"/>
      <c r="F505" s="146"/>
      <c r="G505" s="146"/>
      <c r="H505" s="146"/>
    </row>
    <row r="506">
      <c r="A506" s="153"/>
      <c r="B506" s="154"/>
      <c r="D506" s="146"/>
      <c r="E506" s="146"/>
      <c r="F506" s="146"/>
      <c r="G506" s="146"/>
      <c r="H506" s="146"/>
    </row>
    <row r="507">
      <c r="A507" s="153"/>
      <c r="B507" s="154"/>
      <c r="D507" s="146"/>
      <c r="E507" s="146"/>
      <c r="F507" s="146"/>
      <c r="G507" s="146"/>
      <c r="H507" s="146"/>
    </row>
    <row r="508">
      <c r="A508" s="153"/>
      <c r="B508" s="154"/>
      <c r="D508" s="146"/>
      <c r="E508" s="146"/>
      <c r="F508" s="146"/>
      <c r="G508" s="146"/>
      <c r="H508" s="146"/>
    </row>
    <row r="509">
      <c r="A509" s="153"/>
      <c r="B509" s="154"/>
      <c r="D509" s="146"/>
      <c r="E509" s="146"/>
      <c r="F509" s="146"/>
      <c r="G509" s="146"/>
      <c r="H509" s="146"/>
    </row>
    <row r="510">
      <c r="A510" s="153"/>
      <c r="B510" s="154"/>
      <c r="D510" s="146"/>
      <c r="E510" s="146"/>
      <c r="F510" s="146"/>
      <c r="G510" s="146"/>
      <c r="H510" s="146"/>
    </row>
    <row r="511">
      <c r="A511" s="153"/>
      <c r="B511" s="154"/>
      <c r="D511" s="146"/>
      <c r="E511" s="146"/>
      <c r="F511" s="146"/>
      <c r="G511" s="146"/>
      <c r="H511" s="146"/>
    </row>
    <row r="512">
      <c r="A512" s="153"/>
      <c r="B512" s="154"/>
      <c r="D512" s="146"/>
      <c r="E512" s="146"/>
      <c r="F512" s="146"/>
      <c r="G512" s="146"/>
      <c r="H512" s="146"/>
    </row>
    <row r="513">
      <c r="A513" s="153"/>
      <c r="B513" s="154"/>
      <c r="D513" s="146"/>
      <c r="E513" s="146"/>
      <c r="F513" s="146"/>
      <c r="G513" s="146"/>
      <c r="H513" s="146"/>
    </row>
    <row r="514">
      <c r="A514" s="153"/>
      <c r="B514" s="154"/>
      <c r="D514" s="146"/>
      <c r="E514" s="146"/>
      <c r="F514" s="146"/>
      <c r="G514" s="146"/>
      <c r="H514" s="146"/>
    </row>
    <row r="515">
      <c r="A515" s="153"/>
      <c r="B515" s="154"/>
      <c r="D515" s="146"/>
      <c r="E515" s="146"/>
      <c r="F515" s="146"/>
      <c r="G515" s="146"/>
      <c r="H515" s="146"/>
    </row>
    <row r="516">
      <c r="A516" s="153"/>
      <c r="B516" s="154"/>
      <c r="D516" s="146"/>
      <c r="E516" s="146"/>
      <c r="F516" s="146"/>
      <c r="G516" s="146"/>
      <c r="H516" s="146"/>
    </row>
    <row r="517">
      <c r="A517" s="153"/>
      <c r="B517" s="154"/>
      <c r="D517" s="146"/>
      <c r="E517" s="146"/>
      <c r="F517" s="146"/>
      <c r="G517" s="146"/>
      <c r="H517" s="146"/>
    </row>
    <row r="518">
      <c r="A518" s="153"/>
      <c r="B518" s="154"/>
      <c r="D518" s="146"/>
      <c r="E518" s="146"/>
      <c r="F518" s="146"/>
      <c r="G518" s="146"/>
      <c r="H518" s="146"/>
    </row>
    <row r="519">
      <c r="A519" s="153"/>
      <c r="B519" s="154"/>
      <c r="D519" s="146"/>
      <c r="E519" s="146"/>
      <c r="F519" s="146"/>
      <c r="G519" s="146"/>
      <c r="H519" s="146"/>
    </row>
    <row r="520">
      <c r="A520" s="153"/>
      <c r="B520" s="154"/>
      <c r="D520" s="146"/>
      <c r="E520" s="146"/>
      <c r="F520" s="146"/>
      <c r="G520" s="146"/>
      <c r="H520" s="146"/>
    </row>
    <row r="521">
      <c r="A521" s="153"/>
      <c r="B521" s="154"/>
      <c r="D521" s="146"/>
      <c r="E521" s="146"/>
      <c r="F521" s="146"/>
      <c r="G521" s="146"/>
      <c r="H521" s="146"/>
    </row>
    <row r="522">
      <c r="A522" s="153"/>
      <c r="B522" s="154"/>
      <c r="D522" s="146"/>
      <c r="E522" s="146"/>
      <c r="F522" s="146"/>
      <c r="G522" s="146"/>
      <c r="H522" s="146"/>
    </row>
    <row r="523">
      <c r="A523" s="153"/>
      <c r="B523" s="154"/>
      <c r="D523" s="146"/>
      <c r="E523" s="146"/>
      <c r="F523" s="146"/>
      <c r="G523" s="146"/>
      <c r="H523" s="146"/>
    </row>
    <row r="524">
      <c r="A524" s="153"/>
      <c r="B524" s="154"/>
      <c r="D524" s="146"/>
      <c r="E524" s="146"/>
      <c r="F524" s="146"/>
      <c r="G524" s="146"/>
      <c r="H524" s="146"/>
    </row>
    <row r="525">
      <c r="A525" s="153"/>
      <c r="B525" s="154"/>
      <c r="D525" s="146"/>
      <c r="E525" s="146"/>
      <c r="F525" s="146"/>
      <c r="G525" s="146"/>
      <c r="H525" s="146"/>
    </row>
    <row r="526">
      <c r="A526" s="153"/>
      <c r="B526" s="154"/>
      <c r="D526" s="146"/>
      <c r="E526" s="146"/>
      <c r="F526" s="146"/>
      <c r="G526" s="146"/>
      <c r="H526" s="146"/>
    </row>
    <row r="527">
      <c r="A527" s="153"/>
      <c r="B527" s="154"/>
      <c r="D527" s="146"/>
      <c r="E527" s="146"/>
      <c r="F527" s="146"/>
      <c r="G527" s="146"/>
      <c r="H527" s="146"/>
    </row>
    <row r="528">
      <c r="A528" s="153"/>
      <c r="B528" s="154"/>
      <c r="D528" s="146"/>
      <c r="E528" s="146"/>
      <c r="F528" s="146"/>
      <c r="G528" s="146"/>
      <c r="H528" s="146"/>
    </row>
    <row r="529">
      <c r="A529" s="153"/>
      <c r="B529" s="154"/>
      <c r="D529" s="146"/>
      <c r="E529" s="146"/>
      <c r="F529" s="146"/>
      <c r="G529" s="146"/>
      <c r="H529" s="146"/>
    </row>
    <row r="530">
      <c r="A530" s="153"/>
      <c r="B530" s="154"/>
      <c r="D530" s="146"/>
      <c r="E530" s="146"/>
      <c r="F530" s="146"/>
      <c r="G530" s="146"/>
      <c r="H530" s="146"/>
    </row>
    <row r="531">
      <c r="A531" s="153"/>
      <c r="B531" s="154"/>
      <c r="D531" s="146"/>
      <c r="E531" s="146"/>
      <c r="F531" s="146"/>
      <c r="G531" s="146"/>
      <c r="H531" s="146"/>
    </row>
    <row r="532">
      <c r="A532" s="153"/>
      <c r="B532" s="154"/>
      <c r="D532" s="146"/>
      <c r="E532" s="146"/>
      <c r="F532" s="146"/>
      <c r="G532" s="146"/>
      <c r="H532" s="146"/>
    </row>
    <row r="533">
      <c r="A533" s="153"/>
      <c r="B533" s="154"/>
      <c r="D533" s="146"/>
      <c r="E533" s="146"/>
      <c r="F533" s="146"/>
      <c r="G533" s="146"/>
      <c r="H533" s="146"/>
    </row>
    <row r="534">
      <c r="A534" s="153"/>
      <c r="B534" s="154"/>
      <c r="D534" s="146"/>
      <c r="E534" s="146"/>
      <c r="F534" s="146"/>
      <c r="G534" s="146"/>
      <c r="H534" s="146"/>
    </row>
    <row r="535">
      <c r="A535" s="153"/>
      <c r="B535" s="154"/>
      <c r="D535" s="146"/>
      <c r="E535" s="146"/>
      <c r="F535" s="146"/>
      <c r="G535" s="146"/>
      <c r="H535" s="146"/>
    </row>
    <row r="536">
      <c r="A536" s="153"/>
      <c r="B536" s="154"/>
      <c r="D536" s="146"/>
      <c r="E536" s="146"/>
      <c r="F536" s="146"/>
      <c r="G536" s="146"/>
      <c r="H536" s="146"/>
    </row>
    <row r="537">
      <c r="A537" s="153"/>
      <c r="B537" s="154"/>
      <c r="D537" s="146"/>
      <c r="E537" s="146"/>
      <c r="F537" s="146"/>
      <c r="G537" s="146"/>
      <c r="H537" s="146"/>
    </row>
    <row r="538">
      <c r="A538" s="153"/>
      <c r="B538" s="154"/>
      <c r="D538" s="146"/>
      <c r="E538" s="146"/>
      <c r="F538" s="146"/>
      <c r="G538" s="146"/>
      <c r="H538" s="146"/>
    </row>
    <row r="539">
      <c r="A539" s="153"/>
      <c r="B539" s="154"/>
      <c r="D539" s="146"/>
      <c r="E539" s="146"/>
      <c r="F539" s="146"/>
      <c r="G539" s="146"/>
      <c r="H539" s="146"/>
    </row>
    <row r="540">
      <c r="A540" s="153"/>
      <c r="B540" s="154"/>
      <c r="D540" s="146"/>
      <c r="E540" s="146"/>
      <c r="F540" s="146"/>
      <c r="G540" s="146"/>
      <c r="H540" s="146"/>
    </row>
    <row r="541">
      <c r="A541" s="153"/>
      <c r="B541" s="154"/>
      <c r="D541" s="146"/>
      <c r="E541" s="146"/>
      <c r="F541" s="146"/>
      <c r="G541" s="146"/>
      <c r="H541" s="146"/>
    </row>
    <row r="542">
      <c r="A542" s="153"/>
      <c r="B542" s="154"/>
      <c r="D542" s="146"/>
      <c r="E542" s="146"/>
      <c r="F542" s="146"/>
      <c r="G542" s="146"/>
      <c r="H542" s="146"/>
    </row>
    <row r="543">
      <c r="A543" s="153"/>
      <c r="B543" s="154"/>
      <c r="D543" s="146"/>
      <c r="E543" s="146"/>
      <c r="F543" s="146"/>
      <c r="G543" s="146"/>
      <c r="H543" s="146"/>
    </row>
    <row r="544">
      <c r="A544" s="153"/>
      <c r="B544" s="154"/>
      <c r="D544" s="146"/>
      <c r="E544" s="146"/>
      <c r="F544" s="146"/>
      <c r="G544" s="146"/>
      <c r="H544" s="146"/>
    </row>
    <row r="545">
      <c r="A545" s="153"/>
      <c r="B545" s="154"/>
      <c r="D545" s="146"/>
      <c r="E545" s="146"/>
      <c r="F545" s="146"/>
      <c r="G545" s="146"/>
      <c r="H545" s="146"/>
    </row>
    <row r="546">
      <c r="A546" s="153"/>
      <c r="B546" s="154"/>
      <c r="D546" s="146"/>
      <c r="E546" s="146"/>
      <c r="F546" s="146"/>
      <c r="G546" s="146"/>
      <c r="H546" s="146"/>
    </row>
    <row r="547">
      <c r="A547" s="153"/>
      <c r="B547" s="154"/>
      <c r="D547" s="146"/>
      <c r="E547" s="146"/>
      <c r="F547" s="146"/>
      <c r="G547" s="146"/>
      <c r="H547" s="146"/>
    </row>
    <row r="548">
      <c r="A548" s="153"/>
      <c r="B548" s="154"/>
      <c r="D548" s="146"/>
      <c r="E548" s="146"/>
      <c r="F548" s="146"/>
      <c r="G548" s="146"/>
      <c r="H548" s="146"/>
    </row>
    <row r="549">
      <c r="A549" s="153"/>
      <c r="B549" s="154"/>
      <c r="D549" s="146"/>
      <c r="E549" s="146"/>
      <c r="F549" s="146"/>
      <c r="G549" s="146"/>
      <c r="H549" s="146"/>
    </row>
    <row r="550">
      <c r="A550" s="153"/>
      <c r="B550" s="154"/>
      <c r="D550" s="146"/>
      <c r="E550" s="146"/>
      <c r="F550" s="146"/>
      <c r="G550" s="146"/>
      <c r="H550" s="146"/>
    </row>
    <row r="551">
      <c r="A551" s="153"/>
      <c r="B551" s="154"/>
      <c r="D551" s="146"/>
      <c r="E551" s="146"/>
      <c r="F551" s="146"/>
      <c r="G551" s="146"/>
      <c r="H551" s="146"/>
    </row>
    <row r="552">
      <c r="A552" s="153"/>
      <c r="B552" s="154"/>
      <c r="D552" s="146"/>
      <c r="E552" s="146"/>
      <c r="F552" s="146"/>
      <c r="G552" s="146"/>
      <c r="H552" s="146"/>
    </row>
    <row r="553">
      <c r="A553" s="153"/>
      <c r="B553" s="154"/>
      <c r="D553" s="146"/>
      <c r="E553" s="146"/>
      <c r="F553" s="146"/>
      <c r="G553" s="146"/>
      <c r="H553" s="146"/>
    </row>
    <row r="554">
      <c r="A554" s="153"/>
      <c r="B554" s="154"/>
      <c r="D554" s="146"/>
      <c r="E554" s="146"/>
      <c r="F554" s="146"/>
      <c r="G554" s="146"/>
      <c r="H554" s="146"/>
    </row>
    <row r="555">
      <c r="A555" s="153"/>
      <c r="B555" s="154"/>
      <c r="D555" s="146"/>
      <c r="E555" s="146"/>
      <c r="F555" s="146"/>
      <c r="G555" s="146"/>
      <c r="H555" s="146"/>
    </row>
    <row r="556">
      <c r="A556" s="153"/>
      <c r="B556" s="154"/>
      <c r="D556" s="146"/>
      <c r="E556" s="146"/>
      <c r="F556" s="146"/>
      <c r="G556" s="146"/>
      <c r="H556" s="146"/>
    </row>
    <row r="557">
      <c r="A557" s="153"/>
      <c r="B557" s="154"/>
      <c r="D557" s="146"/>
      <c r="E557" s="146"/>
      <c r="F557" s="146"/>
      <c r="G557" s="146"/>
      <c r="H557" s="146"/>
    </row>
    <row r="558">
      <c r="A558" s="153"/>
      <c r="B558" s="154"/>
      <c r="D558" s="146"/>
      <c r="E558" s="146"/>
      <c r="F558" s="146"/>
      <c r="G558" s="146"/>
      <c r="H558" s="146"/>
    </row>
    <row r="559">
      <c r="A559" s="153"/>
      <c r="B559" s="154"/>
      <c r="D559" s="146"/>
      <c r="E559" s="146"/>
      <c r="F559" s="146"/>
      <c r="G559" s="146"/>
      <c r="H559" s="146"/>
    </row>
    <row r="560">
      <c r="A560" s="153"/>
      <c r="B560" s="154"/>
      <c r="D560" s="146"/>
      <c r="E560" s="146"/>
      <c r="F560" s="146"/>
      <c r="G560" s="146"/>
      <c r="H560" s="146"/>
    </row>
    <row r="561">
      <c r="A561" s="153"/>
      <c r="B561" s="154"/>
      <c r="D561" s="146"/>
      <c r="E561" s="146"/>
      <c r="F561" s="146"/>
      <c r="G561" s="146"/>
      <c r="H561" s="146"/>
    </row>
    <row r="562">
      <c r="A562" s="153"/>
      <c r="B562" s="154"/>
      <c r="D562" s="146"/>
      <c r="E562" s="146"/>
      <c r="F562" s="146"/>
      <c r="G562" s="146"/>
      <c r="H562" s="146"/>
    </row>
    <row r="563">
      <c r="A563" s="153"/>
      <c r="B563" s="154"/>
      <c r="D563" s="146"/>
      <c r="E563" s="146"/>
      <c r="F563" s="146"/>
      <c r="G563" s="146"/>
      <c r="H563" s="146"/>
    </row>
    <row r="564">
      <c r="A564" s="153"/>
      <c r="B564" s="154"/>
      <c r="D564" s="146"/>
      <c r="E564" s="146"/>
      <c r="F564" s="146"/>
      <c r="G564" s="146"/>
      <c r="H564" s="146"/>
    </row>
    <row r="565">
      <c r="A565" s="153"/>
      <c r="B565" s="154"/>
      <c r="D565" s="146"/>
      <c r="E565" s="146"/>
      <c r="F565" s="146"/>
      <c r="G565" s="146"/>
      <c r="H565" s="146"/>
    </row>
    <row r="566">
      <c r="A566" s="153"/>
      <c r="B566" s="154"/>
      <c r="D566" s="146"/>
      <c r="E566" s="146"/>
      <c r="F566" s="146"/>
      <c r="G566" s="146"/>
      <c r="H566" s="146"/>
    </row>
    <row r="567">
      <c r="A567" s="153"/>
      <c r="B567" s="154"/>
      <c r="D567" s="146"/>
      <c r="E567" s="146"/>
      <c r="F567" s="146"/>
      <c r="G567" s="146"/>
      <c r="H567" s="146"/>
    </row>
    <row r="568">
      <c r="A568" s="153"/>
      <c r="B568" s="154"/>
      <c r="D568" s="146"/>
      <c r="E568" s="146"/>
      <c r="F568" s="146"/>
      <c r="G568" s="146"/>
      <c r="H568" s="146"/>
    </row>
    <row r="569">
      <c r="A569" s="153"/>
      <c r="B569" s="154"/>
      <c r="D569" s="146"/>
      <c r="E569" s="146"/>
      <c r="F569" s="146"/>
      <c r="G569" s="146"/>
      <c r="H569" s="146"/>
    </row>
    <row r="570">
      <c r="A570" s="153"/>
      <c r="B570" s="154"/>
      <c r="D570" s="146"/>
      <c r="E570" s="146"/>
      <c r="F570" s="146"/>
      <c r="G570" s="146"/>
      <c r="H570" s="146"/>
    </row>
    <row r="571">
      <c r="A571" s="153"/>
      <c r="B571" s="154"/>
      <c r="D571" s="146"/>
      <c r="E571" s="146"/>
      <c r="F571" s="146"/>
      <c r="G571" s="146"/>
      <c r="H571" s="146"/>
    </row>
    <row r="572">
      <c r="A572" s="153"/>
      <c r="B572" s="154"/>
      <c r="D572" s="146"/>
      <c r="E572" s="146"/>
      <c r="F572" s="146"/>
      <c r="G572" s="146"/>
      <c r="H572" s="146"/>
    </row>
    <row r="573">
      <c r="A573" s="153"/>
      <c r="B573" s="154"/>
      <c r="D573" s="146"/>
      <c r="E573" s="146"/>
      <c r="F573" s="146"/>
      <c r="G573" s="146"/>
      <c r="H573" s="146"/>
    </row>
    <row r="574">
      <c r="A574" s="153"/>
      <c r="B574" s="154"/>
      <c r="D574" s="146"/>
      <c r="E574" s="146"/>
      <c r="F574" s="146"/>
      <c r="G574" s="146"/>
      <c r="H574" s="146"/>
    </row>
    <row r="575">
      <c r="A575" s="153"/>
      <c r="B575" s="154"/>
      <c r="D575" s="146"/>
      <c r="E575" s="146"/>
      <c r="F575" s="146"/>
      <c r="G575" s="146"/>
      <c r="H575" s="146"/>
    </row>
    <row r="576">
      <c r="A576" s="153"/>
      <c r="B576" s="154"/>
      <c r="D576" s="146"/>
      <c r="E576" s="146"/>
      <c r="F576" s="146"/>
      <c r="G576" s="146"/>
      <c r="H576" s="146"/>
    </row>
    <row r="577">
      <c r="A577" s="153"/>
      <c r="B577" s="154"/>
      <c r="D577" s="146"/>
      <c r="E577" s="146"/>
      <c r="F577" s="146"/>
      <c r="G577" s="146"/>
      <c r="H577" s="146"/>
    </row>
    <row r="578">
      <c r="A578" s="153"/>
      <c r="B578" s="154"/>
      <c r="D578" s="146"/>
      <c r="E578" s="146"/>
      <c r="F578" s="146"/>
      <c r="G578" s="146"/>
      <c r="H578" s="146"/>
    </row>
    <row r="579">
      <c r="A579" s="153"/>
      <c r="B579" s="154"/>
      <c r="D579" s="146"/>
      <c r="E579" s="146"/>
      <c r="F579" s="146"/>
      <c r="G579" s="146"/>
      <c r="H579" s="146"/>
    </row>
    <row r="580">
      <c r="A580" s="153"/>
      <c r="B580" s="154"/>
      <c r="D580" s="146"/>
      <c r="E580" s="146"/>
      <c r="F580" s="146"/>
      <c r="G580" s="146"/>
      <c r="H580" s="146"/>
    </row>
    <row r="581">
      <c r="A581" s="153"/>
      <c r="B581" s="154"/>
      <c r="D581" s="146"/>
      <c r="E581" s="146"/>
      <c r="F581" s="146"/>
      <c r="G581" s="146"/>
      <c r="H581" s="146"/>
    </row>
    <row r="582">
      <c r="A582" s="153"/>
      <c r="B582" s="154"/>
      <c r="D582" s="146"/>
      <c r="E582" s="146"/>
      <c r="F582" s="146"/>
      <c r="G582" s="146"/>
      <c r="H582" s="146"/>
    </row>
    <row r="583">
      <c r="A583" s="153"/>
      <c r="B583" s="154"/>
      <c r="D583" s="146"/>
      <c r="E583" s="146"/>
      <c r="F583" s="146"/>
      <c r="G583" s="146"/>
      <c r="H583" s="146"/>
    </row>
    <row r="584">
      <c r="A584" s="153"/>
      <c r="B584" s="154"/>
      <c r="D584" s="146"/>
      <c r="E584" s="146"/>
      <c r="F584" s="146"/>
      <c r="G584" s="146"/>
      <c r="H584" s="146"/>
    </row>
    <row r="585">
      <c r="A585" s="153"/>
      <c r="B585" s="154"/>
      <c r="D585" s="146"/>
      <c r="E585" s="146"/>
      <c r="F585" s="146"/>
      <c r="G585" s="146"/>
      <c r="H585" s="146"/>
    </row>
    <row r="586">
      <c r="A586" s="153"/>
      <c r="B586" s="154"/>
      <c r="D586" s="146"/>
      <c r="E586" s="146"/>
      <c r="F586" s="146"/>
      <c r="G586" s="146"/>
      <c r="H586" s="146"/>
    </row>
    <row r="587">
      <c r="A587" s="153"/>
      <c r="B587" s="154"/>
      <c r="D587" s="146"/>
      <c r="E587" s="146"/>
      <c r="F587" s="146"/>
      <c r="G587" s="146"/>
      <c r="H587" s="146"/>
    </row>
    <row r="588">
      <c r="A588" s="153"/>
      <c r="B588" s="154"/>
      <c r="D588" s="146"/>
      <c r="E588" s="146"/>
      <c r="F588" s="146"/>
      <c r="G588" s="146"/>
      <c r="H588" s="146"/>
    </row>
    <row r="589">
      <c r="A589" s="153"/>
      <c r="B589" s="154"/>
      <c r="D589" s="146"/>
      <c r="E589" s="146"/>
      <c r="F589" s="146"/>
      <c r="G589" s="146"/>
      <c r="H589" s="146"/>
    </row>
    <row r="590">
      <c r="A590" s="153"/>
      <c r="B590" s="154"/>
      <c r="D590" s="146"/>
      <c r="E590" s="146"/>
      <c r="F590" s="146"/>
      <c r="G590" s="146"/>
      <c r="H590" s="146"/>
    </row>
    <row r="591">
      <c r="A591" s="153"/>
      <c r="B591" s="154"/>
      <c r="D591" s="146"/>
      <c r="E591" s="146"/>
      <c r="F591" s="146"/>
      <c r="G591" s="146"/>
      <c r="H591" s="146"/>
    </row>
    <row r="592">
      <c r="A592" s="153"/>
      <c r="B592" s="154"/>
      <c r="D592" s="146"/>
      <c r="E592" s="146"/>
      <c r="F592" s="146"/>
      <c r="G592" s="146"/>
      <c r="H592" s="146"/>
    </row>
    <row r="593">
      <c r="A593" s="153"/>
      <c r="B593" s="154"/>
      <c r="D593" s="146"/>
      <c r="E593" s="146"/>
      <c r="F593" s="146"/>
      <c r="G593" s="146"/>
      <c r="H593" s="146"/>
    </row>
    <row r="594">
      <c r="A594" s="153"/>
      <c r="B594" s="154"/>
      <c r="D594" s="146"/>
      <c r="E594" s="146"/>
      <c r="F594" s="146"/>
      <c r="G594" s="146"/>
      <c r="H594" s="146"/>
    </row>
    <row r="595">
      <c r="A595" s="153"/>
      <c r="B595" s="154"/>
      <c r="D595" s="146"/>
      <c r="E595" s="146"/>
      <c r="F595" s="146"/>
      <c r="G595" s="146"/>
      <c r="H595" s="146"/>
    </row>
    <row r="596">
      <c r="A596" s="153"/>
      <c r="B596" s="154"/>
      <c r="D596" s="146"/>
      <c r="E596" s="146"/>
      <c r="F596" s="146"/>
      <c r="G596" s="146"/>
      <c r="H596" s="146"/>
    </row>
    <row r="597">
      <c r="A597" s="153"/>
      <c r="B597" s="154"/>
      <c r="D597" s="146"/>
      <c r="E597" s="146"/>
      <c r="F597" s="146"/>
      <c r="G597" s="146"/>
      <c r="H597" s="146"/>
    </row>
    <row r="598">
      <c r="A598" s="153"/>
      <c r="B598" s="154"/>
      <c r="D598" s="146"/>
      <c r="E598" s="146"/>
      <c r="F598" s="146"/>
      <c r="G598" s="146"/>
      <c r="H598" s="146"/>
    </row>
    <row r="599">
      <c r="A599" s="153"/>
      <c r="B599" s="154"/>
      <c r="D599" s="146"/>
      <c r="E599" s="146"/>
      <c r="F599" s="146"/>
      <c r="G599" s="146"/>
      <c r="H599" s="146"/>
    </row>
    <row r="600">
      <c r="A600" s="153"/>
      <c r="B600" s="154"/>
      <c r="D600" s="146"/>
      <c r="E600" s="146"/>
      <c r="F600" s="146"/>
      <c r="G600" s="146"/>
      <c r="H600" s="146"/>
    </row>
    <row r="601">
      <c r="A601" s="153"/>
      <c r="B601" s="154"/>
      <c r="D601" s="146"/>
      <c r="E601" s="146"/>
      <c r="F601" s="146"/>
      <c r="G601" s="146"/>
      <c r="H601" s="146"/>
    </row>
    <row r="602">
      <c r="A602" s="153"/>
      <c r="B602" s="154"/>
      <c r="D602" s="146"/>
      <c r="E602" s="146"/>
      <c r="F602" s="146"/>
      <c r="G602" s="146"/>
      <c r="H602" s="146"/>
    </row>
    <row r="603">
      <c r="A603" s="153"/>
      <c r="B603" s="154"/>
      <c r="D603" s="146"/>
      <c r="E603" s="146"/>
      <c r="F603" s="146"/>
      <c r="G603" s="146"/>
      <c r="H603" s="146"/>
    </row>
    <row r="604">
      <c r="A604" s="153"/>
      <c r="B604" s="154"/>
      <c r="D604" s="146"/>
      <c r="E604" s="146"/>
      <c r="F604" s="146"/>
      <c r="G604" s="146"/>
      <c r="H604" s="146"/>
    </row>
    <row r="605">
      <c r="A605" s="153"/>
      <c r="B605" s="154"/>
      <c r="D605" s="146"/>
      <c r="E605" s="146"/>
      <c r="F605" s="146"/>
      <c r="G605" s="146"/>
      <c r="H605" s="146"/>
    </row>
    <row r="606">
      <c r="A606" s="153"/>
      <c r="B606" s="154"/>
      <c r="D606" s="146"/>
      <c r="E606" s="146"/>
      <c r="F606" s="146"/>
      <c r="G606" s="146"/>
      <c r="H606" s="146"/>
    </row>
    <row r="607">
      <c r="A607" s="153"/>
      <c r="B607" s="154"/>
      <c r="D607" s="146"/>
      <c r="E607" s="146"/>
      <c r="F607" s="146"/>
      <c r="G607" s="146"/>
      <c r="H607" s="146"/>
    </row>
    <row r="608">
      <c r="A608" s="153"/>
      <c r="B608" s="154"/>
      <c r="D608" s="146"/>
      <c r="E608" s="146"/>
      <c r="F608" s="146"/>
      <c r="G608" s="146"/>
      <c r="H608" s="146"/>
    </row>
    <row r="609">
      <c r="A609" s="153"/>
      <c r="B609" s="154"/>
      <c r="D609" s="146"/>
      <c r="E609" s="146"/>
      <c r="F609" s="146"/>
      <c r="G609" s="146"/>
      <c r="H609" s="146"/>
    </row>
    <row r="610">
      <c r="A610" s="153"/>
      <c r="B610" s="154"/>
      <c r="D610" s="146"/>
      <c r="E610" s="146"/>
      <c r="F610" s="146"/>
      <c r="G610" s="146"/>
      <c r="H610" s="146"/>
    </row>
    <row r="611">
      <c r="A611" s="153"/>
      <c r="B611" s="154"/>
      <c r="D611" s="146"/>
      <c r="E611" s="146"/>
      <c r="F611" s="146"/>
      <c r="G611" s="146"/>
      <c r="H611" s="146"/>
    </row>
    <row r="612">
      <c r="A612" s="153"/>
      <c r="B612" s="154"/>
      <c r="D612" s="146"/>
      <c r="E612" s="146"/>
      <c r="F612" s="146"/>
      <c r="G612" s="146"/>
      <c r="H612" s="146"/>
    </row>
    <row r="613">
      <c r="A613" s="153"/>
      <c r="B613" s="154"/>
      <c r="D613" s="146"/>
      <c r="E613" s="146"/>
      <c r="F613" s="146"/>
      <c r="G613" s="146"/>
      <c r="H613" s="146"/>
    </row>
    <row r="614">
      <c r="A614" s="153"/>
      <c r="B614" s="154"/>
      <c r="D614" s="146"/>
      <c r="E614" s="146"/>
      <c r="F614" s="146"/>
      <c r="G614" s="146"/>
      <c r="H614" s="146"/>
    </row>
    <row r="615">
      <c r="A615" s="153"/>
      <c r="B615" s="154"/>
      <c r="D615" s="146"/>
      <c r="E615" s="146"/>
      <c r="F615" s="146"/>
      <c r="G615" s="146"/>
      <c r="H615" s="146"/>
    </row>
    <row r="616">
      <c r="A616" s="153"/>
      <c r="B616" s="154"/>
      <c r="D616" s="146"/>
      <c r="E616" s="146"/>
      <c r="F616" s="146"/>
      <c r="G616" s="146"/>
      <c r="H616" s="146"/>
    </row>
    <row r="617">
      <c r="A617" s="153"/>
      <c r="B617" s="154"/>
      <c r="D617" s="146"/>
      <c r="E617" s="146"/>
      <c r="F617" s="146"/>
      <c r="G617" s="146"/>
      <c r="H617" s="146"/>
    </row>
    <row r="618">
      <c r="A618" s="153"/>
      <c r="B618" s="154"/>
      <c r="D618" s="146"/>
      <c r="E618" s="146"/>
      <c r="F618" s="146"/>
      <c r="G618" s="146"/>
      <c r="H618" s="146"/>
    </row>
    <row r="619">
      <c r="A619" s="153"/>
      <c r="B619" s="154"/>
      <c r="D619" s="146"/>
      <c r="E619" s="146"/>
      <c r="F619" s="146"/>
      <c r="G619" s="146"/>
      <c r="H619" s="146"/>
    </row>
    <row r="620">
      <c r="A620" s="153"/>
      <c r="B620" s="154"/>
      <c r="D620" s="146"/>
      <c r="E620" s="146"/>
      <c r="F620" s="146"/>
      <c r="G620" s="146"/>
      <c r="H620" s="146"/>
    </row>
    <row r="621">
      <c r="A621" s="153"/>
      <c r="B621" s="154"/>
      <c r="D621" s="146"/>
      <c r="E621" s="146"/>
      <c r="F621" s="146"/>
      <c r="G621" s="146"/>
      <c r="H621" s="146"/>
    </row>
    <row r="622">
      <c r="A622" s="153"/>
      <c r="B622" s="154"/>
      <c r="D622" s="146"/>
      <c r="E622" s="146"/>
      <c r="F622" s="146"/>
      <c r="G622" s="146"/>
      <c r="H622" s="146"/>
    </row>
    <row r="623">
      <c r="A623" s="153"/>
      <c r="B623" s="154"/>
      <c r="D623" s="146"/>
      <c r="E623" s="146"/>
      <c r="F623" s="146"/>
      <c r="G623" s="146"/>
      <c r="H623" s="146"/>
    </row>
    <row r="624">
      <c r="A624" s="153"/>
      <c r="B624" s="154"/>
      <c r="D624" s="146"/>
      <c r="E624" s="146"/>
      <c r="F624" s="146"/>
      <c r="G624" s="146"/>
      <c r="H624" s="146"/>
    </row>
    <row r="625">
      <c r="A625" s="153"/>
      <c r="B625" s="154"/>
      <c r="D625" s="146"/>
      <c r="E625" s="146"/>
      <c r="F625" s="146"/>
      <c r="G625" s="146"/>
      <c r="H625" s="146"/>
    </row>
    <row r="626">
      <c r="A626" s="153"/>
      <c r="B626" s="154"/>
      <c r="D626" s="146"/>
      <c r="E626" s="146"/>
      <c r="F626" s="146"/>
      <c r="G626" s="146"/>
      <c r="H626" s="146"/>
    </row>
    <row r="627">
      <c r="A627" s="153"/>
      <c r="B627" s="154"/>
      <c r="D627" s="146"/>
      <c r="E627" s="146"/>
      <c r="F627" s="146"/>
      <c r="G627" s="146"/>
      <c r="H627" s="146"/>
    </row>
    <row r="628">
      <c r="A628" s="153"/>
      <c r="B628" s="154"/>
      <c r="D628" s="146"/>
      <c r="E628" s="146"/>
      <c r="F628" s="146"/>
      <c r="G628" s="146"/>
      <c r="H628" s="146"/>
    </row>
    <row r="629">
      <c r="A629" s="153"/>
      <c r="B629" s="154"/>
      <c r="D629" s="146"/>
      <c r="E629" s="146"/>
      <c r="F629" s="146"/>
      <c r="G629" s="146"/>
      <c r="H629" s="146"/>
    </row>
    <row r="630">
      <c r="A630" s="153"/>
      <c r="B630" s="154"/>
      <c r="D630" s="146"/>
      <c r="E630" s="146"/>
      <c r="F630" s="146"/>
      <c r="G630" s="146"/>
      <c r="H630" s="146"/>
    </row>
    <row r="631">
      <c r="A631" s="153"/>
      <c r="B631" s="154"/>
      <c r="D631" s="146"/>
      <c r="E631" s="146"/>
      <c r="F631" s="146"/>
      <c r="G631" s="146"/>
      <c r="H631" s="146"/>
    </row>
    <row r="632">
      <c r="A632" s="153"/>
      <c r="B632" s="154"/>
      <c r="D632" s="146"/>
      <c r="E632" s="146"/>
      <c r="F632" s="146"/>
      <c r="G632" s="146"/>
      <c r="H632" s="146"/>
    </row>
    <row r="633">
      <c r="A633" s="153"/>
      <c r="B633" s="154"/>
      <c r="D633" s="146"/>
      <c r="E633" s="146"/>
      <c r="F633" s="146"/>
      <c r="G633" s="146"/>
      <c r="H633" s="146"/>
    </row>
    <row r="634">
      <c r="A634" s="153"/>
      <c r="B634" s="154"/>
      <c r="D634" s="146"/>
      <c r="E634" s="146"/>
      <c r="F634" s="146"/>
      <c r="G634" s="146"/>
      <c r="H634" s="146"/>
    </row>
    <row r="635">
      <c r="A635" s="153"/>
      <c r="B635" s="154"/>
      <c r="D635" s="146"/>
      <c r="E635" s="146"/>
      <c r="F635" s="146"/>
      <c r="G635" s="146"/>
      <c r="H635" s="146"/>
    </row>
    <row r="636">
      <c r="A636" s="153"/>
      <c r="B636" s="154"/>
      <c r="D636" s="146"/>
      <c r="E636" s="146"/>
      <c r="F636" s="146"/>
      <c r="G636" s="146"/>
      <c r="H636" s="146"/>
    </row>
    <row r="637">
      <c r="A637" s="153"/>
      <c r="B637" s="154"/>
      <c r="D637" s="146"/>
      <c r="E637" s="146"/>
      <c r="F637" s="146"/>
      <c r="G637" s="146"/>
      <c r="H637" s="146"/>
    </row>
    <row r="638">
      <c r="A638" s="153"/>
      <c r="B638" s="154"/>
      <c r="D638" s="146"/>
      <c r="E638" s="146"/>
      <c r="F638" s="146"/>
      <c r="G638" s="146"/>
      <c r="H638" s="146"/>
    </row>
    <row r="639">
      <c r="A639" s="153"/>
      <c r="B639" s="154"/>
      <c r="D639" s="146"/>
      <c r="E639" s="146"/>
      <c r="F639" s="146"/>
      <c r="G639" s="146"/>
      <c r="H639" s="146"/>
    </row>
    <row r="640">
      <c r="A640" s="153"/>
      <c r="B640" s="154"/>
      <c r="D640" s="146"/>
      <c r="E640" s="146"/>
      <c r="F640" s="146"/>
      <c r="G640" s="146"/>
      <c r="H640" s="146"/>
    </row>
    <row r="641">
      <c r="A641" s="153"/>
      <c r="B641" s="154"/>
      <c r="D641" s="146"/>
      <c r="E641" s="146"/>
      <c r="F641" s="146"/>
      <c r="G641" s="146"/>
      <c r="H641" s="146"/>
    </row>
    <row r="642">
      <c r="A642" s="153"/>
      <c r="B642" s="154"/>
      <c r="D642" s="146"/>
      <c r="E642" s="146"/>
      <c r="F642" s="146"/>
      <c r="G642" s="146"/>
      <c r="H642" s="146"/>
    </row>
    <row r="643">
      <c r="A643" s="153"/>
      <c r="B643" s="154"/>
      <c r="D643" s="146"/>
      <c r="E643" s="146"/>
      <c r="F643" s="146"/>
      <c r="G643" s="146"/>
      <c r="H643" s="146"/>
    </row>
    <row r="644">
      <c r="A644" s="153"/>
      <c r="B644" s="154"/>
      <c r="D644" s="146"/>
      <c r="E644" s="146"/>
      <c r="F644" s="146"/>
      <c r="G644" s="146"/>
      <c r="H644" s="146"/>
    </row>
    <row r="645">
      <c r="A645" s="153"/>
      <c r="B645" s="154"/>
      <c r="D645" s="146"/>
      <c r="E645" s="146"/>
      <c r="F645" s="146"/>
      <c r="G645" s="146"/>
      <c r="H645" s="146"/>
    </row>
    <row r="646">
      <c r="A646" s="153"/>
      <c r="B646" s="154"/>
      <c r="D646" s="146"/>
      <c r="E646" s="146"/>
      <c r="F646" s="146"/>
      <c r="G646" s="146"/>
      <c r="H646" s="146"/>
    </row>
    <row r="647">
      <c r="A647" s="153"/>
      <c r="B647" s="154"/>
      <c r="D647" s="146"/>
      <c r="E647" s="146"/>
      <c r="F647" s="146"/>
      <c r="G647" s="146"/>
      <c r="H647" s="146"/>
    </row>
    <row r="648">
      <c r="A648" s="153"/>
      <c r="B648" s="154"/>
      <c r="D648" s="146"/>
      <c r="E648" s="146"/>
      <c r="F648" s="146"/>
      <c r="G648" s="146"/>
      <c r="H648" s="146"/>
    </row>
    <row r="649">
      <c r="A649" s="153"/>
      <c r="B649" s="154"/>
      <c r="D649" s="146"/>
      <c r="E649" s="146"/>
      <c r="F649" s="146"/>
      <c r="G649" s="146"/>
      <c r="H649" s="146"/>
    </row>
    <row r="650">
      <c r="A650" s="153"/>
      <c r="B650" s="154"/>
      <c r="D650" s="146"/>
      <c r="E650" s="146"/>
      <c r="F650" s="146"/>
      <c r="G650" s="146"/>
      <c r="H650" s="146"/>
    </row>
    <row r="651">
      <c r="A651" s="153"/>
      <c r="B651" s="154"/>
      <c r="D651" s="146"/>
      <c r="E651" s="146"/>
      <c r="F651" s="146"/>
      <c r="G651" s="146"/>
      <c r="H651" s="146"/>
    </row>
    <row r="652">
      <c r="A652" s="153"/>
      <c r="B652" s="154"/>
      <c r="D652" s="146"/>
      <c r="E652" s="146"/>
      <c r="F652" s="146"/>
      <c r="G652" s="146"/>
      <c r="H652" s="146"/>
    </row>
    <row r="653">
      <c r="A653" s="153"/>
      <c r="B653" s="154"/>
      <c r="D653" s="146"/>
      <c r="E653" s="146"/>
      <c r="F653" s="146"/>
      <c r="G653" s="146"/>
      <c r="H653" s="146"/>
    </row>
    <row r="654">
      <c r="A654" s="153"/>
      <c r="B654" s="154"/>
      <c r="D654" s="146"/>
      <c r="E654" s="146"/>
      <c r="F654" s="146"/>
      <c r="G654" s="146"/>
      <c r="H654" s="146"/>
    </row>
    <row r="655">
      <c r="A655" s="153"/>
      <c r="B655" s="154"/>
      <c r="D655" s="146"/>
      <c r="E655" s="146"/>
      <c r="F655" s="146"/>
      <c r="G655" s="146"/>
      <c r="H655" s="146"/>
    </row>
    <row r="656">
      <c r="A656" s="153"/>
      <c r="B656" s="154"/>
      <c r="D656" s="146"/>
      <c r="E656" s="146"/>
      <c r="F656" s="146"/>
      <c r="G656" s="146"/>
      <c r="H656" s="146"/>
    </row>
    <row r="657">
      <c r="A657" s="153"/>
      <c r="B657" s="154"/>
      <c r="D657" s="146"/>
      <c r="E657" s="146"/>
      <c r="F657" s="146"/>
      <c r="G657" s="146"/>
      <c r="H657" s="146"/>
    </row>
    <row r="658">
      <c r="A658" s="153"/>
      <c r="B658" s="154"/>
      <c r="D658" s="146"/>
      <c r="E658" s="146"/>
      <c r="F658" s="146"/>
      <c r="G658" s="146"/>
      <c r="H658" s="146"/>
    </row>
    <row r="659">
      <c r="A659" s="153"/>
      <c r="B659" s="154"/>
      <c r="D659" s="146"/>
      <c r="E659" s="146"/>
      <c r="F659" s="146"/>
      <c r="G659" s="146"/>
      <c r="H659" s="146"/>
    </row>
    <row r="660">
      <c r="A660" s="153"/>
      <c r="B660" s="154"/>
      <c r="D660" s="146"/>
      <c r="E660" s="146"/>
      <c r="F660" s="146"/>
      <c r="G660" s="146"/>
      <c r="H660" s="146"/>
    </row>
    <row r="661">
      <c r="A661" s="153"/>
      <c r="B661" s="154"/>
      <c r="D661" s="146"/>
      <c r="E661" s="146"/>
      <c r="F661" s="146"/>
      <c r="G661" s="146"/>
      <c r="H661" s="146"/>
    </row>
    <row r="662">
      <c r="A662" s="153"/>
      <c r="B662" s="154"/>
      <c r="D662" s="146"/>
      <c r="E662" s="146"/>
      <c r="F662" s="146"/>
      <c r="G662" s="146"/>
      <c r="H662" s="146"/>
    </row>
    <row r="663">
      <c r="A663" s="153"/>
      <c r="B663" s="154"/>
      <c r="D663" s="146"/>
      <c r="E663" s="146"/>
      <c r="F663" s="146"/>
      <c r="G663" s="146"/>
      <c r="H663" s="146"/>
    </row>
    <row r="664">
      <c r="A664" s="153"/>
      <c r="B664" s="154"/>
      <c r="D664" s="146"/>
      <c r="E664" s="146"/>
      <c r="F664" s="146"/>
      <c r="G664" s="146"/>
      <c r="H664" s="146"/>
    </row>
    <row r="665">
      <c r="A665" s="153"/>
      <c r="B665" s="154"/>
      <c r="D665" s="146"/>
      <c r="E665" s="146"/>
      <c r="F665" s="146"/>
      <c r="G665" s="146"/>
      <c r="H665" s="146"/>
    </row>
    <row r="666">
      <c r="A666" s="153"/>
      <c r="B666" s="154"/>
      <c r="D666" s="146"/>
      <c r="E666" s="146"/>
      <c r="F666" s="146"/>
      <c r="G666" s="146"/>
      <c r="H666" s="146"/>
    </row>
    <row r="667">
      <c r="A667" s="153"/>
      <c r="B667" s="154"/>
      <c r="D667" s="146"/>
      <c r="E667" s="146"/>
      <c r="F667" s="146"/>
      <c r="G667" s="146"/>
      <c r="H667" s="146"/>
    </row>
    <row r="668">
      <c r="A668" s="153"/>
      <c r="B668" s="154"/>
      <c r="D668" s="146"/>
      <c r="E668" s="146"/>
      <c r="F668" s="146"/>
      <c r="G668" s="146"/>
      <c r="H668" s="146"/>
    </row>
    <row r="669">
      <c r="A669" s="153"/>
      <c r="B669" s="154"/>
      <c r="D669" s="146"/>
      <c r="E669" s="146"/>
      <c r="F669" s="146"/>
      <c r="G669" s="146"/>
      <c r="H669" s="146"/>
    </row>
    <row r="670">
      <c r="A670" s="153"/>
      <c r="B670" s="154"/>
      <c r="D670" s="146"/>
      <c r="E670" s="146"/>
      <c r="F670" s="146"/>
      <c r="G670" s="146"/>
      <c r="H670" s="146"/>
    </row>
    <row r="671">
      <c r="A671" s="153"/>
      <c r="B671" s="154"/>
      <c r="D671" s="146"/>
      <c r="E671" s="146"/>
      <c r="F671" s="146"/>
      <c r="G671" s="146"/>
      <c r="H671" s="146"/>
    </row>
    <row r="672">
      <c r="A672" s="153"/>
      <c r="B672" s="154"/>
      <c r="D672" s="146"/>
      <c r="E672" s="146"/>
      <c r="F672" s="146"/>
      <c r="G672" s="146"/>
      <c r="H672" s="146"/>
    </row>
    <row r="673">
      <c r="A673" s="153"/>
      <c r="B673" s="154"/>
      <c r="D673" s="146"/>
      <c r="E673" s="146"/>
      <c r="F673" s="146"/>
      <c r="G673" s="146"/>
      <c r="H673" s="146"/>
    </row>
    <row r="674">
      <c r="A674" s="153"/>
      <c r="B674" s="154"/>
      <c r="D674" s="146"/>
      <c r="E674" s="146"/>
      <c r="F674" s="146"/>
      <c r="G674" s="146"/>
      <c r="H674" s="146"/>
    </row>
    <row r="675">
      <c r="A675" s="153"/>
      <c r="B675" s="154"/>
      <c r="D675" s="146"/>
      <c r="E675" s="146"/>
      <c r="F675" s="146"/>
      <c r="G675" s="146"/>
      <c r="H675" s="146"/>
    </row>
    <row r="676">
      <c r="A676" s="153"/>
      <c r="B676" s="154"/>
      <c r="D676" s="146"/>
      <c r="E676" s="146"/>
      <c r="F676" s="146"/>
      <c r="G676" s="146"/>
      <c r="H676" s="146"/>
    </row>
    <row r="677">
      <c r="A677" s="153"/>
      <c r="B677" s="154"/>
      <c r="D677" s="146"/>
      <c r="E677" s="146"/>
      <c r="F677" s="146"/>
      <c r="G677" s="146"/>
      <c r="H677" s="146"/>
    </row>
    <row r="678">
      <c r="A678" s="153"/>
      <c r="B678" s="154"/>
      <c r="D678" s="146"/>
      <c r="E678" s="146"/>
      <c r="F678" s="146"/>
      <c r="G678" s="146"/>
      <c r="H678" s="146"/>
    </row>
    <row r="679">
      <c r="A679" s="153"/>
      <c r="B679" s="154"/>
      <c r="D679" s="146"/>
      <c r="E679" s="146"/>
      <c r="F679" s="146"/>
      <c r="G679" s="146"/>
      <c r="H679" s="146"/>
    </row>
    <row r="680">
      <c r="A680" s="153"/>
      <c r="B680" s="154"/>
      <c r="D680" s="146"/>
      <c r="E680" s="146"/>
      <c r="F680" s="146"/>
      <c r="G680" s="146"/>
      <c r="H680" s="146"/>
    </row>
    <row r="681">
      <c r="A681" s="153"/>
      <c r="B681" s="154"/>
      <c r="D681" s="146"/>
      <c r="E681" s="146"/>
      <c r="F681" s="146"/>
      <c r="G681" s="146"/>
      <c r="H681" s="146"/>
    </row>
    <row r="682">
      <c r="A682" s="153"/>
      <c r="B682" s="154"/>
      <c r="D682" s="146"/>
      <c r="E682" s="146"/>
      <c r="F682" s="146"/>
      <c r="G682" s="146"/>
      <c r="H682" s="146"/>
    </row>
    <row r="683">
      <c r="A683" s="153"/>
      <c r="B683" s="154"/>
      <c r="D683" s="146"/>
      <c r="E683" s="146"/>
      <c r="F683" s="146"/>
      <c r="G683" s="146"/>
      <c r="H683" s="146"/>
    </row>
    <row r="684">
      <c r="A684" s="153"/>
      <c r="B684" s="154"/>
      <c r="D684" s="146"/>
      <c r="E684" s="146"/>
      <c r="F684" s="146"/>
      <c r="G684" s="146"/>
      <c r="H684" s="146"/>
    </row>
    <row r="685">
      <c r="A685" s="153"/>
      <c r="B685" s="154"/>
      <c r="D685" s="146"/>
      <c r="E685" s="146"/>
      <c r="F685" s="146"/>
      <c r="G685" s="146"/>
      <c r="H685" s="146"/>
    </row>
    <row r="686">
      <c r="A686" s="153"/>
      <c r="B686" s="154"/>
      <c r="D686" s="146"/>
      <c r="E686" s="146"/>
      <c r="F686" s="146"/>
      <c r="G686" s="146"/>
      <c r="H686" s="146"/>
    </row>
    <row r="687">
      <c r="A687" s="153"/>
      <c r="B687" s="154"/>
      <c r="D687" s="146"/>
      <c r="E687" s="146"/>
      <c r="F687" s="146"/>
      <c r="G687" s="146"/>
      <c r="H687" s="146"/>
    </row>
    <row r="688">
      <c r="A688" s="153"/>
      <c r="B688" s="154"/>
      <c r="D688" s="146"/>
      <c r="E688" s="146"/>
      <c r="F688" s="146"/>
      <c r="G688" s="146"/>
      <c r="H688" s="146"/>
    </row>
    <row r="689">
      <c r="A689" s="153"/>
      <c r="B689" s="154"/>
      <c r="D689" s="146"/>
      <c r="E689" s="146"/>
      <c r="F689" s="146"/>
      <c r="G689" s="146"/>
      <c r="H689" s="146"/>
    </row>
    <row r="690">
      <c r="A690" s="153"/>
      <c r="B690" s="154"/>
      <c r="D690" s="146"/>
      <c r="E690" s="146"/>
      <c r="F690" s="146"/>
      <c r="G690" s="146"/>
      <c r="H690" s="146"/>
    </row>
    <row r="691">
      <c r="A691" s="153"/>
      <c r="B691" s="154"/>
      <c r="D691" s="146"/>
      <c r="E691" s="146"/>
      <c r="F691" s="146"/>
      <c r="G691" s="146"/>
      <c r="H691" s="146"/>
    </row>
    <row r="692">
      <c r="A692" s="153"/>
      <c r="B692" s="154"/>
      <c r="D692" s="146"/>
      <c r="E692" s="146"/>
      <c r="F692" s="146"/>
      <c r="G692" s="146"/>
      <c r="H692" s="146"/>
    </row>
    <row r="693">
      <c r="A693" s="153"/>
      <c r="B693" s="154"/>
      <c r="D693" s="146"/>
      <c r="E693" s="146"/>
      <c r="F693" s="146"/>
      <c r="G693" s="146"/>
      <c r="H693" s="146"/>
    </row>
    <row r="694">
      <c r="A694" s="153"/>
      <c r="B694" s="154"/>
      <c r="D694" s="146"/>
      <c r="E694" s="146"/>
      <c r="F694" s="146"/>
      <c r="G694" s="146"/>
      <c r="H694" s="146"/>
    </row>
    <row r="695">
      <c r="A695" s="153"/>
      <c r="B695" s="154"/>
      <c r="D695" s="146"/>
      <c r="E695" s="146"/>
      <c r="F695" s="146"/>
      <c r="G695" s="146"/>
      <c r="H695" s="146"/>
    </row>
    <row r="696">
      <c r="A696" s="153"/>
      <c r="B696" s="154"/>
      <c r="D696" s="146"/>
      <c r="E696" s="146"/>
      <c r="F696" s="146"/>
      <c r="G696" s="146"/>
      <c r="H696" s="146"/>
    </row>
    <row r="697">
      <c r="A697" s="153"/>
      <c r="B697" s="154"/>
      <c r="D697" s="146"/>
      <c r="E697" s="146"/>
      <c r="F697" s="146"/>
      <c r="G697" s="146"/>
      <c r="H697" s="146"/>
    </row>
    <row r="698">
      <c r="A698" s="153"/>
      <c r="B698" s="154"/>
      <c r="D698" s="146"/>
      <c r="E698" s="146"/>
      <c r="F698" s="146"/>
      <c r="G698" s="146"/>
      <c r="H698" s="146"/>
    </row>
    <row r="699">
      <c r="A699" s="153"/>
      <c r="B699" s="154"/>
      <c r="D699" s="146"/>
      <c r="E699" s="146"/>
      <c r="F699" s="146"/>
      <c r="G699" s="146"/>
      <c r="H699" s="146"/>
    </row>
    <row r="700">
      <c r="A700" s="153"/>
      <c r="B700" s="154"/>
      <c r="D700" s="146"/>
      <c r="E700" s="146"/>
      <c r="F700" s="146"/>
      <c r="G700" s="146"/>
      <c r="H700" s="146"/>
    </row>
    <row r="701">
      <c r="A701" s="153"/>
      <c r="B701" s="154"/>
      <c r="D701" s="146"/>
      <c r="E701" s="146"/>
      <c r="F701" s="146"/>
      <c r="G701" s="146"/>
      <c r="H701" s="146"/>
    </row>
    <row r="702">
      <c r="A702" s="153"/>
      <c r="B702" s="154"/>
      <c r="D702" s="146"/>
      <c r="E702" s="146"/>
      <c r="F702" s="146"/>
      <c r="G702" s="146"/>
      <c r="H702" s="146"/>
    </row>
    <row r="703">
      <c r="A703" s="153"/>
      <c r="B703" s="154"/>
      <c r="D703" s="146"/>
      <c r="E703" s="146"/>
      <c r="F703" s="146"/>
      <c r="G703" s="146"/>
      <c r="H703" s="146"/>
    </row>
    <row r="704">
      <c r="A704" s="153"/>
      <c r="B704" s="154"/>
      <c r="D704" s="146"/>
      <c r="E704" s="146"/>
      <c r="F704" s="146"/>
      <c r="G704" s="146"/>
      <c r="H704" s="146"/>
    </row>
    <row r="705">
      <c r="A705" s="153"/>
      <c r="B705" s="154"/>
      <c r="D705" s="146"/>
      <c r="E705" s="146"/>
      <c r="F705" s="146"/>
      <c r="G705" s="146"/>
      <c r="H705" s="146"/>
    </row>
    <row r="706">
      <c r="A706" s="153"/>
      <c r="B706" s="154"/>
      <c r="D706" s="146"/>
      <c r="E706" s="146"/>
      <c r="F706" s="146"/>
      <c r="G706" s="146"/>
      <c r="H706" s="146"/>
    </row>
    <row r="707">
      <c r="A707" s="153"/>
      <c r="B707" s="154"/>
      <c r="D707" s="146"/>
      <c r="E707" s="146"/>
      <c r="F707" s="146"/>
      <c r="G707" s="146"/>
      <c r="H707" s="146"/>
    </row>
    <row r="708">
      <c r="A708" s="153"/>
      <c r="B708" s="154"/>
      <c r="D708" s="146"/>
      <c r="E708" s="146"/>
      <c r="F708" s="146"/>
      <c r="G708" s="146"/>
      <c r="H708" s="146"/>
    </row>
    <row r="709">
      <c r="A709" s="153"/>
      <c r="B709" s="154"/>
      <c r="D709" s="146"/>
      <c r="E709" s="146"/>
      <c r="F709" s="146"/>
      <c r="G709" s="146"/>
      <c r="H709" s="146"/>
    </row>
    <row r="710">
      <c r="A710" s="153"/>
      <c r="B710" s="154"/>
      <c r="D710" s="146"/>
      <c r="E710" s="146"/>
      <c r="F710" s="146"/>
      <c r="G710" s="146"/>
      <c r="H710" s="146"/>
    </row>
    <row r="711">
      <c r="A711" s="153"/>
      <c r="B711" s="154"/>
      <c r="D711" s="146"/>
      <c r="E711" s="146"/>
      <c r="F711" s="146"/>
      <c r="G711" s="146"/>
      <c r="H711" s="146"/>
    </row>
    <row r="712">
      <c r="A712" s="153"/>
      <c r="B712" s="154"/>
      <c r="D712" s="146"/>
      <c r="E712" s="146"/>
      <c r="F712" s="146"/>
      <c r="G712" s="146"/>
      <c r="H712" s="146"/>
    </row>
    <row r="713">
      <c r="A713" s="153"/>
      <c r="B713" s="154"/>
      <c r="D713" s="146"/>
      <c r="E713" s="146"/>
      <c r="F713" s="146"/>
      <c r="G713" s="146"/>
      <c r="H713" s="146"/>
    </row>
    <row r="714">
      <c r="A714" s="153"/>
      <c r="B714" s="154"/>
      <c r="D714" s="146"/>
      <c r="E714" s="146"/>
      <c r="F714" s="146"/>
      <c r="G714" s="146"/>
      <c r="H714" s="146"/>
    </row>
    <row r="715">
      <c r="A715" s="153"/>
      <c r="B715" s="154"/>
      <c r="D715" s="146"/>
      <c r="E715" s="146"/>
      <c r="F715" s="146"/>
      <c r="G715" s="146"/>
      <c r="H715" s="146"/>
    </row>
    <row r="716">
      <c r="A716" s="153"/>
      <c r="B716" s="154"/>
      <c r="D716" s="146"/>
      <c r="E716" s="146"/>
      <c r="F716" s="146"/>
      <c r="G716" s="146"/>
      <c r="H716" s="146"/>
    </row>
    <row r="717">
      <c r="A717" s="153"/>
      <c r="B717" s="154"/>
      <c r="D717" s="146"/>
      <c r="E717" s="146"/>
      <c r="F717" s="146"/>
      <c r="G717" s="146"/>
      <c r="H717" s="146"/>
    </row>
    <row r="718">
      <c r="A718" s="153"/>
      <c r="B718" s="154"/>
      <c r="D718" s="146"/>
      <c r="E718" s="146"/>
      <c r="F718" s="146"/>
      <c r="G718" s="146"/>
      <c r="H718" s="146"/>
    </row>
    <row r="719">
      <c r="A719" s="153"/>
      <c r="B719" s="154"/>
      <c r="D719" s="146"/>
      <c r="E719" s="146"/>
      <c r="F719" s="146"/>
      <c r="G719" s="146"/>
      <c r="H719" s="146"/>
    </row>
    <row r="720">
      <c r="A720" s="153"/>
      <c r="B720" s="154"/>
      <c r="D720" s="146"/>
      <c r="E720" s="146"/>
      <c r="F720" s="146"/>
      <c r="G720" s="146"/>
      <c r="H720" s="146"/>
    </row>
    <row r="721">
      <c r="A721" s="153"/>
      <c r="B721" s="154"/>
      <c r="D721" s="146"/>
      <c r="E721" s="146"/>
      <c r="F721" s="146"/>
      <c r="G721" s="146"/>
      <c r="H721" s="146"/>
    </row>
    <row r="722">
      <c r="A722" s="153"/>
      <c r="B722" s="154"/>
      <c r="D722" s="146"/>
      <c r="E722" s="146"/>
      <c r="F722" s="146"/>
      <c r="G722" s="146"/>
      <c r="H722" s="146"/>
    </row>
    <row r="723">
      <c r="A723" s="153"/>
      <c r="B723" s="154"/>
      <c r="D723" s="146"/>
      <c r="E723" s="146"/>
      <c r="F723" s="146"/>
      <c r="G723" s="146"/>
      <c r="H723" s="146"/>
    </row>
    <row r="724">
      <c r="A724" s="153"/>
      <c r="B724" s="154"/>
      <c r="D724" s="146"/>
      <c r="E724" s="146"/>
      <c r="F724" s="146"/>
      <c r="G724" s="146"/>
      <c r="H724" s="146"/>
    </row>
    <row r="725">
      <c r="A725" s="153"/>
      <c r="B725" s="154"/>
      <c r="D725" s="146"/>
      <c r="E725" s="146"/>
      <c r="F725" s="146"/>
      <c r="G725" s="146"/>
      <c r="H725" s="146"/>
    </row>
    <row r="726">
      <c r="A726" s="153"/>
      <c r="B726" s="154"/>
      <c r="D726" s="146"/>
      <c r="E726" s="146"/>
      <c r="F726" s="146"/>
      <c r="G726" s="146"/>
      <c r="H726" s="146"/>
    </row>
    <row r="727">
      <c r="A727" s="153"/>
      <c r="B727" s="154"/>
      <c r="D727" s="146"/>
      <c r="E727" s="146"/>
      <c r="F727" s="146"/>
      <c r="G727" s="146"/>
      <c r="H727" s="146"/>
    </row>
    <row r="728">
      <c r="A728" s="153"/>
      <c r="B728" s="154"/>
      <c r="D728" s="146"/>
      <c r="E728" s="146"/>
      <c r="F728" s="146"/>
      <c r="G728" s="146"/>
      <c r="H728" s="146"/>
    </row>
    <row r="729">
      <c r="A729" s="153"/>
      <c r="B729" s="154"/>
      <c r="D729" s="146"/>
      <c r="E729" s="146"/>
      <c r="F729" s="146"/>
      <c r="G729" s="146"/>
      <c r="H729" s="146"/>
    </row>
    <row r="730">
      <c r="A730" s="153"/>
      <c r="B730" s="154"/>
      <c r="D730" s="146"/>
      <c r="E730" s="146"/>
      <c r="F730" s="146"/>
      <c r="G730" s="146"/>
      <c r="H730" s="146"/>
    </row>
    <row r="731">
      <c r="A731" s="153"/>
      <c r="B731" s="154"/>
      <c r="D731" s="146"/>
      <c r="E731" s="146"/>
      <c r="F731" s="146"/>
      <c r="G731" s="146"/>
      <c r="H731" s="146"/>
    </row>
    <row r="732">
      <c r="A732" s="153"/>
      <c r="B732" s="154"/>
      <c r="D732" s="146"/>
      <c r="E732" s="146"/>
      <c r="F732" s="146"/>
      <c r="G732" s="146"/>
      <c r="H732" s="146"/>
    </row>
    <row r="733">
      <c r="A733" s="153"/>
      <c r="B733" s="154"/>
      <c r="D733" s="146"/>
      <c r="E733" s="146"/>
      <c r="F733" s="146"/>
      <c r="G733" s="146"/>
      <c r="H733" s="146"/>
    </row>
    <row r="734">
      <c r="A734" s="153"/>
      <c r="B734" s="154"/>
      <c r="D734" s="146"/>
      <c r="E734" s="146"/>
      <c r="F734" s="146"/>
      <c r="G734" s="146"/>
      <c r="H734" s="146"/>
    </row>
    <row r="735">
      <c r="A735" s="153"/>
      <c r="B735" s="154"/>
      <c r="D735" s="146"/>
      <c r="E735" s="146"/>
      <c r="F735" s="146"/>
      <c r="G735" s="146"/>
      <c r="H735" s="146"/>
    </row>
    <row r="736">
      <c r="A736" s="153"/>
      <c r="B736" s="154"/>
      <c r="D736" s="146"/>
      <c r="E736" s="146"/>
      <c r="F736" s="146"/>
      <c r="G736" s="146"/>
      <c r="H736" s="146"/>
    </row>
    <row r="737">
      <c r="A737" s="153"/>
      <c r="B737" s="154"/>
      <c r="D737" s="146"/>
      <c r="E737" s="146"/>
      <c r="F737" s="146"/>
      <c r="G737" s="146"/>
      <c r="H737" s="146"/>
    </row>
    <row r="738">
      <c r="A738" s="153"/>
      <c r="B738" s="154"/>
      <c r="D738" s="146"/>
      <c r="E738" s="146"/>
      <c r="F738" s="146"/>
      <c r="G738" s="146"/>
      <c r="H738" s="146"/>
    </row>
    <row r="739">
      <c r="A739" s="153"/>
      <c r="B739" s="154"/>
      <c r="D739" s="146"/>
      <c r="E739" s="146"/>
      <c r="F739" s="146"/>
      <c r="G739" s="146"/>
      <c r="H739" s="146"/>
    </row>
    <row r="740">
      <c r="A740" s="153"/>
      <c r="B740" s="154"/>
      <c r="D740" s="146"/>
      <c r="E740" s="146"/>
      <c r="F740" s="146"/>
      <c r="G740" s="146"/>
      <c r="H740" s="146"/>
    </row>
    <row r="741">
      <c r="A741" s="153"/>
      <c r="B741" s="154"/>
      <c r="D741" s="146"/>
      <c r="E741" s="146"/>
      <c r="F741" s="146"/>
      <c r="G741" s="146"/>
      <c r="H741" s="146"/>
    </row>
    <row r="742">
      <c r="A742" s="153"/>
      <c r="B742" s="154"/>
      <c r="D742" s="146"/>
      <c r="E742" s="146"/>
      <c r="F742" s="146"/>
      <c r="G742" s="146"/>
      <c r="H742" s="146"/>
    </row>
    <row r="743">
      <c r="A743" s="153"/>
      <c r="B743" s="154"/>
      <c r="D743" s="146"/>
      <c r="E743" s="146"/>
      <c r="F743" s="146"/>
      <c r="G743" s="146"/>
      <c r="H743" s="146"/>
    </row>
    <row r="744">
      <c r="A744" s="153"/>
      <c r="B744" s="154"/>
      <c r="D744" s="146"/>
      <c r="E744" s="146"/>
      <c r="F744" s="146"/>
      <c r="G744" s="146"/>
      <c r="H744" s="146"/>
    </row>
    <row r="745">
      <c r="A745" s="153"/>
      <c r="B745" s="154"/>
      <c r="D745" s="146"/>
      <c r="E745" s="146"/>
      <c r="F745" s="146"/>
      <c r="G745" s="146"/>
      <c r="H745" s="146"/>
    </row>
    <row r="746">
      <c r="A746" s="153"/>
      <c r="B746" s="154"/>
      <c r="D746" s="146"/>
      <c r="E746" s="146"/>
      <c r="F746" s="146"/>
      <c r="G746" s="146"/>
      <c r="H746" s="146"/>
    </row>
    <row r="747">
      <c r="A747" s="153"/>
      <c r="B747" s="154"/>
      <c r="D747" s="146"/>
      <c r="E747" s="146"/>
      <c r="F747" s="146"/>
      <c r="G747" s="146"/>
      <c r="H747" s="146"/>
    </row>
    <row r="748">
      <c r="A748" s="153"/>
      <c r="B748" s="154"/>
      <c r="D748" s="146"/>
      <c r="E748" s="146"/>
      <c r="F748" s="146"/>
      <c r="G748" s="146"/>
      <c r="H748" s="146"/>
    </row>
    <row r="749">
      <c r="A749" s="153"/>
      <c r="B749" s="154"/>
      <c r="D749" s="146"/>
      <c r="E749" s="146"/>
      <c r="F749" s="146"/>
      <c r="G749" s="146"/>
      <c r="H749" s="146"/>
    </row>
    <row r="750">
      <c r="A750" s="153"/>
      <c r="B750" s="154"/>
      <c r="D750" s="146"/>
      <c r="E750" s="146"/>
      <c r="F750" s="146"/>
      <c r="G750" s="146"/>
      <c r="H750" s="146"/>
    </row>
    <row r="751">
      <c r="A751" s="153"/>
      <c r="B751" s="154"/>
      <c r="D751" s="146"/>
      <c r="E751" s="146"/>
      <c r="F751" s="146"/>
      <c r="G751" s="146"/>
      <c r="H751" s="146"/>
    </row>
    <row r="752">
      <c r="A752" s="153"/>
      <c r="B752" s="154"/>
      <c r="D752" s="146"/>
      <c r="E752" s="146"/>
      <c r="F752" s="146"/>
      <c r="G752" s="146"/>
      <c r="H752" s="146"/>
    </row>
    <row r="753">
      <c r="A753" s="153"/>
      <c r="B753" s="154"/>
      <c r="D753" s="146"/>
      <c r="E753" s="146"/>
      <c r="F753" s="146"/>
      <c r="G753" s="146"/>
      <c r="H753" s="146"/>
    </row>
    <row r="754">
      <c r="A754" s="153"/>
      <c r="B754" s="154"/>
      <c r="D754" s="146"/>
      <c r="E754" s="146"/>
      <c r="F754" s="146"/>
      <c r="G754" s="146"/>
      <c r="H754" s="146"/>
    </row>
    <row r="755">
      <c r="A755" s="153"/>
      <c r="B755" s="154"/>
      <c r="D755" s="146"/>
      <c r="E755" s="146"/>
      <c r="F755" s="146"/>
      <c r="G755" s="146"/>
      <c r="H755" s="146"/>
    </row>
    <row r="756">
      <c r="A756" s="153"/>
      <c r="B756" s="154"/>
      <c r="D756" s="146"/>
      <c r="E756" s="146"/>
      <c r="F756" s="146"/>
      <c r="G756" s="146"/>
      <c r="H756" s="146"/>
    </row>
    <row r="757">
      <c r="A757" s="153"/>
      <c r="B757" s="154"/>
      <c r="D757" s="146"/>
      <c r="E757" s="146"/>
      <c r="F757" s="146"/>
      <c r="G757" s="146"/>
      <c r="H757" s="146"/>
    </row>
    <row r="758">
      <c r="A758" s="153"/>
      <c r="B758" s="154"/>
      <c r="D758" s="146"/>
      <c r="E758" s="146"/>
      <c r="F758" s="146"/>
      <c r="G758" s="146"/>
      <c r="H758" s="146"/>
    </row>
    <row r="759">
      <c r="A759" s="153"/>
      <c r="B759" s="154"/>
      <c r="D759" s="146"/>
      <c r="E759" s="146"/>
      <c r="F759" s="146"/>
      <c r="G759" s="146"/>
      <c r="H759" s="146"/>
    </row>
    <row r="760">
      <c r="A760" s="153"/>
      <c r="B760" s="154"/>
      <c r="D760" s="146"/>
      <c r="E760" s="146"/>
      <c r="F760" s="146"/>
      <c r="G760" s="146"/>
      <c r="H760" s="146"/>
    </row>
    <row r="761">
      <c r="A761" s="153"/>
      <c r="B761" s="154"/>
      <c r="D761" s="146"/>
      <c r="E761" s="146"/>
      <c r="F761" s="146"/>
      <c r="G761" s="146"/>
      <c r="H761" s="146"/>
    </row>
    <row r="762">
      <c r="A762" s="153"/>
      <c r="B762" s="154"/>
      <c r="D762" s="146"/>
      <c r="E762" s="146"/>
      <c r="F762" s="146"/>
      <c r="G762" s="146"/>
      <c r="H762" s="146"/>
    </row>
    <row r="763">
      <c r="A763" s="153"/>
      <c r="B763" s="154"/>
      <c r="D763" s="146"/>
      <c r="E763" s="146"/>
      <c r="F763" s="146"/>
      <c r="G763" s="146"/>
      <c r="H763" s="146"/>
    </row>
    <row r="764">
      <c r="A764" s="153"/>
      <c r="B764" s="154"/>
      <c r="D764" s="146"/>
      <c r="E764" s="146"/>
      <c r="F764" s="146"/>
      <c r="G764" s="146"/>
      <c r="H764" s="146"/>
    </row>
    <row r="765">
      <c r="A765" s="153"/>
      <c r="B765" s="154"/>
      <c r="D765" s="146"/>
      <c r="E765" s="146"/>
      <c r="F765" s="146"/>
      <c r="G765" s="146"/>
      <c r="H765" s="146"/>
    </row>
    <row r="766">
      <c r="A766" s="153"/>
      <c r="B766" s="154"/>
      <c r="D766" s="146"/>
      <c r="E766" s="146"/>
      <c r="F766" s="146"/>
      <c r="G766" s="146"/>
      <c r="H766" s="146"/>
    </row>
    <row r="767">
      <c r="A767" s="153"/>
      <c r="B767" s="154"/>
      <c r="D767" s="146"/>
      <c r="E767" s="146"/>
      <c r="F767" s="146"/>
      <c r="G767" s="146"/>
      <c r="H767" s="146"/>
    </row>
    <row r="768">
      <c r="A768" s="153"/>
      <c r="B768" s="154"/>
      <c r="D768" s="146"/>
      <c r="E768" s="146"/>
      <c r="F768" s="146"/>
      <c r="G768" s="146"/>
      <c r="H768" s="146"/>
    </row>
    <row r="769">
      <c r="A769" s="153"/>
      <c r="B769" s="154"/>
      <c r="D769" s="146"/>
      <c r="E769" s="146"/>
      <c r="F769" s="146"/>
      <c r="G769" s="146"/>
      <c r="H769" s="146"/>
    </row>
    <row r="770">
      <c r="A770" s="153"/>
      <c r="B770" s="154"/>
      <c r="D770" s="146"/>
      <c r="E770" s="146"/>
      <c r="F770" s="146"/>
      <c r="G770" s="146"/>
      <c r="H770" s="146"/>
    </row>
    <row r="771">
      <c r="A771" s="153"/>
      <c r="B771" s="154"/>
      <c r="D771" s="146"/>
      <c r="E771" s="146"/>
      <c r="F771" s="146"/>
      <c r="G771" s="146"/>
      <c r="H771" s="146"/>
    </row>
    <row r="772">
      <c r="A772" s="153"/>
      <c r="B772" s="154"/>
      <c r="D772" s="146"/>
      <c r="E772" s="146"/>
      <c r="F772" s="146"/>
      <c r="G772" s="146"/>
      <c r="H772" s="146"/>
    </row>
    <row r="773">
      <c r="A773" s="153"/>
      <c r="B773" s="154"/>
      <c r="D773" s="146"/>
      <c r="E773" s="146"/>
      <c r="F773" s="146"/>
      <c r="G773" s="146"/>
      <c r="H773" s="146"/>
    </row>
    <row r="774">
      <c r="A774" s="153"/>
      <c r="B774" s="154"/>
      <c r="D774" s="146"/>
      <c r="E774" s="146"/>
      <c r="F774" s="146"/>
      <c r="G774" s="146"/>
      <c r="H774" s="146"/>
    </row>
    <row r="775">
      <c r="A775" s="153"/>
      <c r="B775" s="154"/>
      <c r="D775" s="146"/>
      <c r="E775" s="146"/>
      <c r="F775" s="146"/>
      <c r="G775" s="146"/>
      <c r="H775" s="146"/>
    </row>
    <row r="776">
      <c r="A776" s="153"/>
      <c r="B776" s="154"/>
      <c r="D776" s="146"/>
      <c r="E776" s="146"/>
      <c r="F776" s="146"/>
      <c r="G776" s="146"/>
      <c r="H776" s="146"/>
    </row>
    <row r="777">
      <c r="A777" s="153"/>
      <c r="B777" s="154"/>
      <c r="D777" s="146"/>
      <c r="E777" s="146"/>
      <c r="F777" s="146"/>
      <c r="G777" s="146"/>
      <c r="H777" s="146"/>
    </row>
    <row r="778">
      <c r="A778" s="153"/>
      <c r="B778" s="154"/>
      <c r="D778" s="146"/>
      <c r="E778" s="146"/>
      <c r="F778" s="146"/>
      <c r="G778" s="146"/>
      <c r="H778" s="146"/>
    </row>
    <row r="779">
      <c r="A779" s="153"/>
      <c r="B779" s="154"/>
      <c r="D779" s="146"/>
      <c r="E779" s="146"/>
      <c r="F779" s="146"/>
      <c r="G779" s="146"/>
      <c r="H779" s="146"/>
    </row>
    <row r="780">
      <c r="A780" s="153"/>
      <c r="B780" s="154"/>
      <c r="D780" s="146"/>
      <c r="E780" s="146"/>
      <c r="F780" s="146"/>
      <c r="G780" s="146"/>
      <c r="H780" s="146"/>
    </row>
    <row r="781">
      <c r="A781" s="153"/>
      <c r="B781" s="154"/>
      <c r="D781" s="146"/>
      <c r="E781" s="146"/>
      <c r="F781" s="146"/>
      <c r="G781" s="146"/>
      <c r="H781" s="146"/>
    </row>
    <row r="782">
      <c r="A782" s="153"/>
      <c r="B782" s="154"/>
      <c r="D782" s="146"/>
      <c r="E782" s="146"/>
      <c r="F782" s="146"/>
      <c r="G782" s="146"/>
      <c r="H782" s="146"/>
    </row>
    <row r="783">
      <c r="A783" s="153"/>
      <c r="B783" s="154"/>
      <c r="D783" s="146"/>
      <c r="E783" s="146"/>
      <c r="F783" s="146"/>
      <c r="G783" s="146"/>
      <c r="H783" s="146"/>
    </row>
    <row r="784">
      <c r="A784" s="153"/>
      <c r="B784" s="154"/>
      <c r="D784" s="146"/>
      <c r="E784" s="146"/>
      <c r="F784" s="146"/>
      <c r="G784" s="146"/>
      <c r="H784" s="146"/>
    </row>
    <row r="785">
      <c r="A785" s="153"/>
      <c r="B785" s="154"/>
      <c r="D785" s="146"/>
      <c r="E785" s="146"/>
      <c r="F785" s="146"/>
      <c r="G785" s="146"/>
      <c r="H785" s="146"/>
    </row>
    <row r="786">
      <c r="A786" s="153"/>
      <c r="B786" s="154"/>
      <c r="D786" s="146"/>
      <c r="E786" s="146"/>
      <c r="F786" s="146"/>
      <c r="G786" s="146"/>
      <c r="H786" s="146"/>
    </row>
    <row r="787">
      <c r="A787" s="153"/>
      <c r="B787" s="154"/>
      <c r="D787" s="146"/>
      <c r="E787" s="146"/>
      <c r="F787" s="146"/>
      <c r="G787" s="146"/>
      <c r="H787" s="146"/>
    </row>
    <row r="788">
      <c r="A788" s="153"/>
      <c r="B788" s="154"/>
      <c r="D788" s="146"/>
      <c r="E788" s="146"/>
      <c r="F788" s="146"/>
      <c r="G788" s="146"/>
      <c r="H788" s="146"/>
    </row>
    <row r="789">
      <c r="A789" s="153"/>
      <c r="B789" s="154"/>
      <c r="D789" s="146"/>
      <c r="E789" s="146"/>
      <c r="F789" s="146"/>
      <c r="G789" s="146"/>
      <c r="H789" s="146"/>
    </row>
    <row r="790">
      <c r="A790" s="153"/>
      <c r="B790" s="154"/>
      <c r="D790" s="146"/>
      <c r="E790" s="146"/>
      <c r="F790" s="146"/>
      <c r="G790" s="146"/>
      <c r="H790" s="146"/>
    </row>
    <row r="791">
      <c r="A791" s="153"/>
      <c r="B791" s="154"/>
      <c r="D791" s="146"/>
      <c r="E791" s="146"/>
      <c r="F791" s="146"/>
      <c r="G791" s="146"/>
      <c r="H791" s="146"/>
    </row>
    <row r="792">
      <c r="A792" s="153"/>
      <c r="B792" s="154"/>
      <c r="D792" s="146"/>
      <c r="E792" s="146"/>
      <c r="F792" s="146"/>
      <c r="G792" s="146"/>
      <c r="H792" s="146"/>
    </row>
    <row r="793">
      <c r="A793" s="153"/>
      <c r="B793" s="154"/>
      <c r="D793" s="146"/>
      <c r="E793" s="146"/>
      <c r="F793" s="146"/>
      <c r="G793" s="146"/>
      <c r="H793" s="146"/>
    </row>
    <row r="794">
      <c r="A794" s="153"/>
      <c r="B794" s="154"/>
      <c r="D794" s="146"/>
      <c r="E794" s="146"/>
      <c r="F794" s="146"/>
      <c r="G794" s="146"/>
      <c r="H794" s="146"/>
    </row>
    <row r="795">
      <c r="A795" s="153"/>
      <c r="B795" s="154"/>
      <c r="D795" s="146"/>
      <c r="E795" s="146"/>
      <c r="F795" s="146"/>
      <c r="G795" s="146"/>
      <c r="H795" s="146"/>
    </row>
    <row r="796">
      <c r="A796" s="153"/>
      <c r="B796" s="154"/>
      <c r="D796" s="146"/>
      <c r="E796" s="146"/>
      <c r="F796" s="146"/>
      <c r="G796" s="146"/>
      <c r="H796" s="146"/>
    </row>
    <row r="797">
      <c r="A797" s="153"/>
      <c r="B797" s="154"/>
      <c r="D797" s="146"/>
      <c r="E797" s="146"/>
      <c r="F797" s="146"/>
      <c r="G797" s="146"/>
      <c r="H797" s="146"/>
    </row>
    <row r="798">
      <c r="A798" s="153"/>
      <c r="B798" s="154"/>
      <c r="D798" s="146"/>
      <c r="E798" s="146"/>
      <c r="F798" s="146"/>
      <c r="G798" s="146"/>
      <c r="H798" s="146"/>
    </row>
    <row r="799">
      <c r="A799" s="153"/>
      <c r="B799" s="154"/>
      <c r="D799" s="146"/>
      <c r="E799" s="146"/>
      <c r="F799" s="146"/>
      <c r="G799" s="146"/>
      <c r="H799" s="146"/>
    </row>
    <row r="800">
      <c r="A800" s="153"/>
      <c r="B800" s="154"/>
      <c r="D800" s="146"/>
      <c r="E800" s="146"/>
      <c r="F800" s="146"/>
      <c r="G800" s="146"/>
      <c r="H800" s="146"/>
    </row>
    <row r="801">
      <c r="A801" s="153"/>
      <c r="B801" s="154"/>
      <c r="D801" s="146"/>
      <c r="E801" s="146"/>
      <c r="F801" s="146"/>
      <c r="G801" s="146"/>
      <c r="H801" s="146"/>
    </row>
    <row r="802">
      <c r="A802" s="153"/>
      <c r="B802" s="154"/>
      <c r="D802" s="146"/>
      <c r="E802" s="146"/>
      <c r="F802" s="146"/>
      <c r="G802" s="146"/>
      <c r="H802" s="146"/>
    </row>
    <row r="803">
      <c r="A803" s="153"/>
      <c r="B803" s="154"/>
      <c r="D803" s="146"/>
      <c r="E803" s="146"/>
      <c r="F803" s="146"/>
      <c r="G803" s="146"/>
      <c r="H803" s="146"/>
    </row>
    <row r="804">
      <c r="A804" s="153"/>
      <c r="B804" s="154"/>
      <c r="D804" s="146"/>
      <c r="E804" s="146"/>
      <c r="F804" s="146"/>
      <c r="G804" s="146"/>
      <c r="H804" s="146"/>
    </row>
    <row r="805">
      <c r="A805" s="153"/>
      <c r="B805" s="154"/>
      <c r="D805" s="146"/>
      <c r="E805" s="146"/>
      <c r="F805" s="146"/>
      <c r="G805" s="146"/>
      <c r="H805" s="146"/>
    </row>
    <row r="806">
      <c r="A806" s="153"/>
      <c r="B806" s="154"/>
      <c r="D806" s="146"/>
      <c r="E806" s="146"/>
      <c r="F806" s="146"/>
      <c r="G806" s="146"/>
      <c r="H806" s="146"/>
    </row>
    <row r="807">
      <c r="A807" s="153"/>
      <c r="B807" s="154"/>
      <c r="D807" s="146"/>
      <c r="E807" s="146"/>
      <c r="F807" s="146"/>
      <c r="G807" s="146"/>
      <c r="H807" s="146"/>
    </row>
    <row r="808">
      <c r="A808" s="153"/>
      <c r="B808" s="154"/>
      <c r="D808" s="146"/>
      <c r="E808" s="146"/>
      <c r="F808" s="146"/>
      <c r="G808" s="146"/>
      <c r="H808" s="146"/>
    </row>
    <row r="809">
      <c r="A809" s="153"/>
      <c r="B809" s="154"/>
      <c r="D809" s="146"/>
      <c r="E809" s="146"/>
      <c r="F809" s="146"/>
      <c r="G809" s="146"/>
      <c r="H809" s="146"/>
    </row>
    <row r="810">
      <c r="A810" s="153"/>
      <c r="B810" s="154"/>
      <c r="D810" s="146"/>
      <c r="E810" s="146"/>
      <c r="F810" s="146"/>
      <c r="G810" s="146"/>
      <c r="H810" s="146"/>
    </row>
    <row r="811">
      <c r="A811" s="153"/>
      <c r="B811" s="154"/>
      <c r="D811" s="146"/>
      <c r="E811" s="146"/>
      <c r="F811" s="146"/>
      <c r="G811" s="146"/>
      <c r="H811" s="146"/>
    </row>
    <row r="812">
      <c r="A812" s="153"/>
      <c r="B812" s="154"/>
      <c r="D812" s="146"/>
      <c r="E812" s="146"/>
      <c r="F812" s="146"/>
      <c r="G812" s="146"/>
      <c r="H812" s="146"/>
    </row>
    <row r="813">
      <c r="A813" s="153"/>
      <c r="B813" s="154"/>
      <c r="D813" s="146"/>
      <c r="E813" s="146"/>
      <c r="F813" s="146"/>
      <c r="G813" s="146"/>
      <c r="H813" s="146"/>
    </row>
    <row r="814">
      <c r="A814" s="153"/>
      <c r="B814" s="154"/>
      <c r="D814" s="146"/>
      <c r="E814" s="146"/>
      <c r="F814" s="146"/>
      <c r="G814" s="146"/>
      <c r="H814" s="146"/>
    </row>
    <row r="815">
      <c r="A815" s="153"/>
      <c r="B815" s="154"/>
      <c r="D815" s="146"/>
      <c r="E815" s="146"/>
      <c r="F815" s="146"/>
      <c r="G815" s="146"/>
      <c r="H815" s="146"/>
    </row>
    <row r="816">
      <c r="A816" s="153"/>
      <c r="B816" s="154"/>
      <c r="D816" s="146"/>
      <c r="E816" s="146"/>
      <c r="F816" s="146"/>
      <c r="G816" s="146"/>
      <c r="H816" s="146"/>
    </row>
    <row r="817">
      <c r="A817" s="153"/>
      <c r="B817" s="154"/>
      <c r="D817" s="146"/>
      <c r="E817" s="146"/>
      <c r="F817" s="146"/>
      <c r="G817" s="146"/>
      <c r="H817" s="146"/>
    </row>
    <row r="818">
      <c r="A818" s="153"/>
      <c r="B818" s="154"/>
      <c r="D818" s="146"/>
      <c r="E818" s="146"/>
      <c r="F818" s="146"/>
      <c r="G818" s="146"/>
      <c r="H818" s="146"/>
    </row>
    <row r="819">
      <c r="A819" s="153"/>
      <c r="B819" s="154"/>
      <c r="D819" s="146"/>
      <c r="E819" s="146"/>
      <c r="F819" s="146"/>
      <c r="G819" s="146"/>
      <c r="H819" s="146"/>
    </row>
    <row r="820">
      <c r="A820" s="153"/>
      <c r="B820" s="154"/>
      <c r="D820" s="146"/>
      <c r="E820" s="146"/>
      <c r="F820" s="146"/>
      <c r="G820" s="146"/>
      <c r="H820" s="146"/>
    </row>
    <row r="821">
      <c r="A821" s="153"/>
      <c r="B821" s="154"/>
      <c r="D821" s="146"/>
      <c r="E821" s="146"/>
      <c r="F821" s="146"/>
      <c r="G821" s="146"/>
      <c r="H821" s="146"/>
    </row>
    <row r="822">
      <c r="A822" s="153"/>
      <c r="B822" s="154"/>
      <c r="D822" s="146"/>
      <c r="E822" s="146"/>
      <c r="F822" s="146"/>
      <c r="G822" s="146"/>
      <c r="H822" s="146"/>
    </row>
    <row r="823">
      <c r="A823" s="153"/>
      <c r="B823" s="154"/>
      <c r="D823" s="146"/>
      <c r="E823" s="146"/>
      <c r="F823" s="146"/>
      <c r="G823" s="146"/>
      <c r="H823" s="146"/>
    </row>
    <row r="824">
      <c r="A824" s="153"/>
      <c r="B824" s="154"/>
      <c r="D824" s="146"/>
      <c r="E824" s="146"/>
      <c r="F824" s="146"/>
      <c r="G824" s="146"/>
      <c r="H824" s="146"/>
    </row>
    <row r="825">
      <c r="A825" s="153"/>
      <c r="B825" s="154"/>
      <c r="D825" s="146"/>
      <c r="E825" s="146"/>
      <c r="F825" s="146"/>
      <c r="G825" s="146"/>
      <c r="H825" s="146"/>
    </row>
    <row r="826">
      <c r="A826" s="153"/>
      <c r="B826" s="154"/>
      <c r="D826" s="146"/>
      <c r="E826" s="146"/>
      <c r="F826" s="146"/>
      <c r="G826" s="146"/>
      <c r="H826" s="146"/>
    </row>
    <row r="827">
      <c r="A827" s="153"/>
      <c r="B827" s="154"/>
      <c r="D827" s="146"/>
      <c r="E827" s="146"/>
      <c r="F827" s="146"/>
      <c r="G827" s="146"/>
      <c r="H827" s="146"/>
    </row>
    <row r="828">
      <c r="A828" s="153"/>
      <c r="B828" s="154"/>
      <c r="D828" s="146"/>
      <c r="E828" s="146"/>
      <c r="F828" s="146"/>
      <c r="G828" s="146"/>
      <c r="H828" s="146"/>
    </row>
    <row r="829">
      <c r="A829" s="153"/>
      <c r="B829" s="154"/>
      <c r="D829" s="146"/>
      <c r="E829" s="146"/>
      <c r="F829" s="146"/>
      <c r="G829" s="146"/>
      <c r="H829" s="146"/>
    </row>
    <row r="830">
      <c r="A830" s="153"/>
      <c r="B830" s="154"/>
      <c r="D830" s="146"/>
      <c r="E830" s="146"/>
      <c r="F830" s="146"/>
      <c r="G830" s="146"/>
      <c r="H830" s="146"/>
    </row>
    <row r="831">
      <c r="A831" s="153"/>
      <c r="B831" s="154"/>
      <c r="D831" s="146"/>
      <c r="E831" s="146"/>
      <c r="F831" s="146"/>
      <c r="G831" s="146"/>
      <c r="H831" s="146"/>
    </row>
    <row r="832">
      <c r="A832" s="153"/>
      <c r="B832" s="154"/>
      <c r="D832" s="146"/>
      <c r="E832" s="146"/>
      <c r="F832" s="146"/>
      <c r="G832" s="146"/>
      <c r="H832" s="146"/>
    </row>
    <row r="833">
      <c r="A833" s="153"/>
      <c r="B833" s="154"/>
      <c r="D833" s="146"/>
      <c r="E833" s="146"/>
      <c r="F833" s="146"/>
      <c r="G833" s="146"/>
      <c r="H833" s="146"/>
    </row>
    <row r="834">
      <c r="A834" s="153"/>
      <c r="B834" s="154"/>
      <c r="D834" s="146"/>
      <c r="E834" s="146"/>
      <c r="F834" s="146"/>
      <c r="G834" s="146"/>
      <c r="H834" s="146"/>
    </row>
    <row r="835">
      <c r="A835" s="153"/>
      <c r="B835" s="154"/>
      <c r="D835" s="146"/>
      <c r="E835" s="146"/>
      <c r="F835" s="146"/>
      <c r="G835" s="146"/>
      <c r="H835" s="146"/>
    </row>
    <row r="836">
      <c r="A836" s="153"/>
      <c r="B836" s="154"/>
      <c r="D836" s="146"/>
      <c r="E836" s="146"/>
      <c r="F836" s="146"/>
      <c r="G836" s="146"/>
      <c r="H836" s="146"/>
    </row>
    <row r="837">
      <c r="A837" s="153"/>
      <c r="B837" s="154"/>
      <c r="D837" s="146"/>
      <c r="E837" s="146"/>
      <c r="F837" s="146"/>
      <c r="G837" s="146"/>
      <c r="H837" s="146"/>
    </row>
    <row r="838">
      <c r="A838" s="153"/>
      <c r="B838" s="154"/>
      <c r="D838" s="146"/>
      <c r="E838" s="146"/>
      <c r="F838" s="146"/>
      <c r="G838" s="146"/>
      <c r="H838" s="146"/>
    </row>
    <row r="839">
      <c r="A839" s="153"/>
      <c r="B839" s="154"/>
      <c r="D839" s="146"/>
      <c r="E839" s="146"/>
      <c r="F839" s="146"/>
      <c r="G839" s="146"/>
      <c r="H839" s="146"/>
    </row>
    <row r="840">
      <c r="A840" s="153"/>
      <c r="B840" s="154"/>
      <c r="D840" s="146"/>
      <c r="E840" s="146"/>
      <c r="F840" s="146"/>
      <c r="G840" s="146"/>
      <c r="H840" s="146"/>
    </row>
    <row r="841">
      <c r="A841" s="153"/>
      <c r="B841" s="154"/>
      <c r="D841" s="146"/>
      <c r="E841" s="146"/>
      <c r="F841" s="146"/>
      <c r="G841" s="146"/>
      <c r="H841" s="146"/>
    </row>
    <row r="842">
      <c r="A842" s="153"/>
      <c r="B842" s="154"/>
      <c r="D842" s="146"/>
      <c r="E842" s="146"/>
      <c r="F842" s="146"/>
      <c r="G842" s="146"/>
      <c r="H842" s="146"/>
    </row>
    <row r="843">
      <c r="A843" s="153"/>
      <c r="B843" s="154"/>
      <c r="D843" s="146"/>
      <c r="E843" s="146"/>
      <c r="F843" s="146"/>
      <c r="G843" s="146"/>
      <c r="H843" s="146"/>
    </row>
    <row r="844">
      <c r="A844" s="153"/>
      <c r="B844" s="154"/>
      <c r="D844" s="146"/>
      <c r="E844" s="146"/>
      <c r="F844" s="146"/>
      <c r="G844" s="146"/>
      <c r="H844" s="146"/>
    </row>
    <row r="845">
      <c r="A845" s="153"/>
      <c r="B845" s="154"/>
      <c r="D845" s="146"/>
      <c r="E845" s="146"/>
      <c r="F845" s="146"/>
      <c r="G845" s="146"/>
      <c r="H845" s="146"/>
    </row>
    <row r="846">
      <c r="A846" s="153"/>
      <c r="B846" s="154"/>
      <c r="D846" s="146"/>
      <c r="E846" s="146"/>
      <c r="F846" s="146"/>
      <c r="G846" s="146"/>
      <c r="H846" s="146"/>
    </row>
    <row r="847">
      <c r="A847" s="153"/>
      <c r="B847" s="154"/>
      <c r="D847" s="146"/>
      <c r="E847" s="146"/>
      <c r="F847" s="146"/>
      <c r="G847" s="146"/>
      <c r="H847" s="146"/>
    </row>
    <row r="848">
      <c r="A848" s="153"/>
      <c r="B848" s="154"/>
      <c r="D848" s="146"/>
      <c r="E848" s="146"/>
      <c r="F848" s="146"/>
      <c r="G848" s="146"/>
      <c r="H848" s="146"/>
    </row>
    <row r="849">
      <c r="A849" s="153"/>
      <c r="B849" s="154"/>
      <c r="D849" s="146"/>
      <c r="E849" s="146"/>
      <c r="F849" s="146"/>
      <c r="G849" s="146"/>
      <c r="H849" s="146"/>
    </row>
    <row r="850">
      <c r="A850" s="153"/>
      <c r="B850" s="154"/>
      <c r="D850" s="146"/>
      <c r="E850" s="146"/>
      <c r="F850" s="146"/>
      <c r="G850" s="146"/>
      <c r="H850" s="146"/>
    </row>
    <row r="851">
      <c r="A851" s="153"/>
      <c r="B851" s="154"/>
      <c r="D851" s="146"/>
      <c r="E851" s="146"/>
      <c r="F851" s="146"/>
      <c r="G851" s="146"/>
      <c r="H851" s="146"/>
    </row>
    <row r="852">
      <c r="A852" s="153"/>
      <c r="B852" s="154"/>
      <c r="D852" s="146"/>
      <c r="E852" s="146"/>
      <c r="F852" s="146"/>
      <c r="G852" s="146"/>
      <c r="H852" s="146"/>
    </row>
    <row r="853">
      <c r="A853" s="153"/>
      <c r="B853" s="154"/>
      <c r="D853" s="146"/>
      <c r="E853" s="146"/>
      <c r="F853" s="146"/>
      <c r="G853" s="146"/>
      <c r="H853" s="146"/>
    </row>
    <row r="854">
      <c r="A854" s="153"/>
      <c r="B854" s="154"/>
      <c r="D854" s="146"/>
      <c r="E854" s="146"/>
      <c r="F854" s="146"/>
      <c r="G854" s="146"/>
      <c r="H854" s="146"/>
    </row>
    <row r="855">
      <c r="A855" s="153"/>
      <c r="B855" s="154"/>
      <c r="D855" s="146"/>
      <c r="E855" s="146"/>
      <c r="F855" s="146"/>
      <c r="G855" s="146"/>
      <c r="H855" s="146"/>
    </row>
    <row r="856">
      <c r="A856" s="153"/>
      <c r="B856" s="154"/>
      <c r="D856" s="146"/>
      <c r="E856" s="146"/>
      <c r="F856" s="146"/>
      <c r="G856" s="146"/>
      <c r="H856" s="146"/>
    </row>
    <row r="857">
      <c r="A857" s="153"/>
      <c r="B857" s="154"/>
      <c r="D857" s="146"/>
      <c r="E857" s="146"/>
      <c r="F857" s="146"/>
      <c r="G857" s="146"/>
      <c r="H857" s="146"/>
    </row>
    <row r="858">
      <c r="A858" s="153"/>
      <c r="B858" s="154"/>
      <c r="D858" s="146"/>
      <c r="E858" s="146"/>
      <c r="F858" s="146"/>
      <c r="G858" s="146"/>
      <c r="H858" s="146"/>
    </row>
    <row r="859">
      <c r="A859" s="153"/>
      <c r="B859" s="154"/>
      <c r="D859" s="146"/>
      <c r="E859" s="146"/>
      <c r="F859" s="146"/>
      <c r="G859" s="146"/>
      <c r="H859" s="146"/>
    </row>
    <row r="860">
      <c r="A860" s="153"/>
      <c r="B860" s="154"/>
      <c r="D860" s="146"/>
      <c r="E860" s="146"/>
      <c r="F860" s="146"/>
      <c r="G860" s="146"/>
      <c r="H860" s="146"/>
    </row>
    <row r="861">
      <c r="A861" s="153"/>
      <c r="B861" s="154"/>
      <c r="D861" s="146"/>
      <c r="E861" s="146"/>
      <c r="F861" s="146"/>
      <c r="G861" s="146"/>
      <c r="H861" s="146"/>
    </row>
    <row r="862">
      <c r="A862" s="153"/>
      <c r="B862" s="154"/>
      <c r="D862" s="146"/>
      <c r="E862" s="146"/>
      <c r="F862" s="146"/>
      <c r="G862" s="146"/>
      <c r="H862" s="146"/>
    </row>
    <row r="863">
      <c r="A863" s="153"/>
      <c r="B863" s="154"/>
      <c r="D863" s="146"/>
      <c r="E863" s="146"/>
      <c r="F863" s="146"/>
      <c r="G863" s="146"/>
      <c r="H863" s="146"/>
    </row>
    <row r="864">
      <c r="A864" s="153"/>
      <c r="B864" s="154"/>
      <c r="D864" s="146"/>
      <c r="E864" s="146"/>
      <c r="F864" s="146"/>
      <c r="G864" s="146"/>
      <c r="H864" s="146"/>
    </row>
    <row r="865">
      <c r="A865" s="153"/>
      <c r="B865" s="154"/>
      <c r="D865" s="146"/>
      <c r="E865" s="146"/>
      <c r="F865" s="146"/>
      <c r="G865" s="146"/>
      <c r="H865" s="146"/>
    </row>
    <row r="866">
      <c r="A866" s="153"/>
      <c r="B866" s="154"/>
      <c r="D866" s="146"/>
      <c r="E866" s="146"/>
      <c r="F866" s="146"/>
      <c r="G866" s="146"/>
      <c r="H866" s="146"/>
    </row>
    <row r="867">
      <c r="A867" s="153"/>
      <c r="B867" s="154"/>
      <c r="D867" s="146"/>
      <c r="E867" s="146"/>
      <c r="F867" s="146"/>
      <c r="G867" s="146"/>
      <c r="H867" s="146"/>
    </row>
    <row r="868">
      <c r="A868" s="153"/>
      <c r="B868" s="154"/>
      <c r="D868" s="146"/>
      <c r="E868" s="146"/>
      <c r="F868" s="146"/>
      <c r="G868" s="146"/>
      <c r="H868" s="146"/>
    </row>
    <row r="869">
      <c r="A869" s="153"/>
      <c r="B869" s="154"/>
      <c r="D869" s="146"/>
      <c r="E869" s="146"/>
      <c r="F869" s="146"/>
      <c r="G869" s="146"/>
      <c r="H869" s="146"/>
    </row>
    <row r="870">
      <c r="A870" s="153"/>
      <c r="B870" s="154"/>
      <c r="D870" s="146"/>
      <c r="E870" s="146"/>
      <c r="F870" s="146"/>
      <c r="G870" s="146"/>
      <c r="H870" s="146"/>
    </row>
    <row r="871">
      <c r="A871" s="153"/>
      <c r="B871" s="154"/>
      <c r="D871" s="146"/>
      <c r="E871" s="146"/>
      <c r="F871" s="146"/>
      <c r="G871" s="146"/>
      <c r="H871" s="146"/>
    </row>
    <row r="872">
      <c r="A872" s="153"/>
      <c r="B872" s="154"/>
      <c r="D872" s="146"/>
      <c r="E872" s="146"/>
      <c r="F872" s="146"/>
      <c r="G872" s="146"/>
      <c r="H872" s="146"/>
    </row>
    <row r="873">
      <c r="A873" s="153"/>
      <c r="B873" s="154"/>
      <c r="D873" s="146"/>
      <c r="E873" s="146"/>
      <c r="F873" s="146"/>
      <c r="G873" s="146"/>
      <c r="H873" s="146"/>
    </row>
    <row r="874">
      <c r="A874" s="153"/>
      <c r="B874" s="154"/>
      <c r="D874" s="146"/>
      <c r="E874" s="146"/>
      <c r="F874" s="146"/>
      <c r="G874" s="146"/>
      <c r="H874" s="146"/>
    </row>
    <row r="875">
      <c r="A875" s="153"/>
      <c r="B875" s="154"/>
      <c r="D875" s="146"/>
      <c r="E875" s="146"/>
      <c r="F875" s="146"/>
      <c r="G875" s="146"/>
      <c r="H875" s="146"/>
    </row>
    <row r="876">
      <c r="A876" s="153"/>
      <c r="B876" s="154"/>
      <c r="D876" s="146"/>
      <c r="E876" s="146"/>
      <c r="F876" s="146"/>
      <c r="G876" s="146"/>
      <c r="H876" s="146"/>
    </row>
    <row r="877">
      <c r="A877" s="153"/>
      <c r="B877" s="154"/>
      <c r="D877" s="146"/>
      <c r="E877" s="146"/>
      <c r="F877" s="146"/>
      <c r="G877" s="146"/>
      <c r="H877" s="146"/>
    </row>
    <row r="878">
      <c r="A878" s="153"/>
      <c r="B878" s="154"/>
      <c r="D878" s="146"/>
      <c r="E878" s="146"/>
      <c r="F878" s="146"/>
      <c r="G878" s="146"/>
      <c r="H878" s="146"/>
    </row>
    <row r="879">
      <c r="A879" s="153"/>
      <c r="B879" s="154"/>
      <c r="D879" s="146"/>
      <c r="E879" s="146"/>
      <c r="F879" s="146"/>
      <c r="G879" s="146"/>
      <c r="H879" s="146"/>
    </row>
    <row r="880">
      <c r="A880" s="153"/>
      <c r="B880" s="154"/>
      <c r="D880" s="146"/>
      <c r="E880" s="146"/>
      <c r="F880" s="146"/>
      <c r="G880" s="146"/>
      <c r="H880" s="146"/>
    </row>
    <row r="881">
      <c r="A881" s="153"/>
      <c r="B881" s="154"/>
      <c r="D881" s="146"/>
      <c r="E881" s="146"/>
      <c r="F881" s="146"/>
      <c r="G881" s="146"/>
      <c r="H881" s="146"/>
    </row>
    <row r="882">
      <c r="A882" s="153"/>
      <c r="B882" s="154"/>
      <c r="D882" s="146"/>
      <c r="E882" s="146"/>
      <c r="F882" s="146"/>
      <c r="G882" s="146"/>
      <c r="H882" s="146"/>
    </row>
    <row r="883">
      <c r="A883" s="153"/>
      <c r="B883" s="154"/>
      <c r="D883" s="146"/>
      <c r="E883" s="146"/>
      <c r="F883" s="146"/>
      <c r="G883" s="146"/>
      <c r="H883" s="146"/>
    </row>
    <row r="884">
      <c r="A884" s="153"/>
      <c r="B884" s="154"/>
      <c r="D884" s="146"/>
      <c r="E884" s="146"/>
      <c r="F884" s="146"/>
      <c r="G884" s="146"/>
      <c r="H884" s="146"/>
    </row>
    <row r="885">
      <c r="A885" s="153"/>
      <c r="B885" s="154"/>
      <c r="D885" s="146"/>
      <c r="E885" s="146"/>
      <c r="F885" s="146"/>
      <c r="G885" s="146"/>
      <c r="H885" s="146"/>
    </row>
    <row r="886">
      <c r="A886" s="153"/>
      <c r="B886" s="154"/>
      <c r="D886" s="146"/>
      <c r="E886" s="146"/>
      <c r="F886" s="146"/>
      <c r="G886" s="146"/>
      <c r="H886" s="146"/>
    </row>
    <row r="887">
      <c r="A887" s="153"/>
      <c r="B887" s="154"/>
      <c r="D887" s="146"/>
      <c r="E887" s="146"/>
      <c r="F887" s="146"/>
      <c r="G887" s="146"/>
      <c r="H887" s="146"/>
    </row>
    <row r="888">
      <c r="A888" s="153"/>
      <c r="B888" s="154"/>
      <c r="D888" s="146"/>
      <c r="E888" s="146"/>
      <c r="F888" s="146"/>
      <c r="G888" s="146"/>
      <c r="H888" s="146"/>
    </row>
    <row r="889">
      <c r="A889" s="153"/>
      <c r="B889" s="154"/>
      <c r="D889" s="146"/>
      <c r="E889" s="146"/>
      <c r="F889" s="146"/>
      <c r="G889" s="146"/>
      <c r="H889" s="146"/>
    </row>
    <row r="890">
      <c r="A890" s="153"/>
      <c r="B890" s="154"/>
      <c r="D890" s="146"/>
      <c r="E890" s="146"/>
      <c r="F890" s="146"/>
      <c r="G890" s="146"/>
      <c r="H890" s="146"/>
    </row>
    <row r="891">
      <c r="A891" s="153"/>
      <c r="B891" s="154"/>
      <c r="D891" s="146"/>
      <c r="E891" s="146"/>
      <c r="F891" s="146"/>
      <c r="G891" s="146"/>
      <c r="H891" s="146"/>
    </row>
    <row r="892">
      <c r="A892" s="153"/>
      <c r="B892" s="154"/>
      <c r="D892" s="146"/>
      <c r="E892" s="146"/>
      <c r="F892" s="146"/>
      <c r="G892" s="146"/>
      <c r="H892" s="146"/>
    </row>
    <row r="893">
      <c r="A893" s="153"/>
      <c r="B893" s="154"/>
      <c r="D893" s="146"/>
      <c r="E893" s="146"/>
      <c r="F893" s="146"/>
      <c r="G893" s="146"/>
      <c r="H893" s="146"/>
    </row>
    <row r="894">
      <c r="A894" s="153"/>
      <c r="B894" s="154"/>
      <c r="D894" s="146"/>
      <c r="E894" s="146"/>
      <c r="F894" s="146"/>
      <c r="G894" s="146"/>
      <c r="H894" s="146"/>
    </row>
    <row r="895">
      <c r="A895" s="153"/>
      <c r="B895" s="154"/>
      <c r="D895" s="146"/>
      <c r="E895" s="146"/>
      <c r="F895" s="146"/>
      <c r="G895" s="146"/>
      <c r="H895" s="146"/>
    </row>
    <row r="896">
      <c r="A896" s="153"/>
      <c r="B896" s="154"/>
      <c r="D896" s="146"/>
      <c r="E896" s="146"/>
      <c r="F896" s="146"/>
      <c r="G896" s="146"/>
      <c r="H896" s="146"/>
    </row>
    <row r="897">
      <c r="A897" s="153"/>
      <c r="B897" s="154"/>
      <c r="D897" s="146"/>
      <c r="E897" s="146"/>
      <c r="F897" s="146"/>
      <c r="G897" s="146"/>
      <c r="H897" s="146"/>
    </row>
    <row r="898">
      <c r="A898" s="153"/>
      <c r="B898" s="154"/>
      <c r="D898" s="146"/>
      <c r="E898" s="146"/>
      <c r="F898" s="146"/>
      <c r="G898" s="146"/>
      <c r="H898" s="146"/>
    </row>
    <row r="899">
      <c r="A899" s="153"/>
      <c r="B899" s="154"/>
      <c r="D899" s="146"/>
      <c r="E899" s="146"/>
      <c r="F899" s="146"/>
      <c r="G899" s="146"/>
      <c r="H899" s="146"/>
    </row>
    <row r="900">
      <c r="A900" s="153"/>
      <c r="B900" s="154"/>
      <c r="D900" s="146"/>
      <c r="E900" s="146"/>
      <c r="F900" s="146"/>
      <c r="G900" s="146"/>
      <c r="H900" s="146"/>
    </row>
    <row r="901">
      <c r="A901" s="153"/>
      <c r="B901" s="154"/>
      <c r="D901" s="146"/>
      <c r="E901" s="146"/>
      <c r="F901" s="146"/>
      <c r="G901" s="146"/>
      <c r="H901" s="146"/>
    </row>
    <row r="902">
      <c r="A902" s="153"/>
      <c r="B902" s="154"/>
      <c r="D902" s="146"/>
      <c r="E902" s="146"/>
      <c r="F902" s="146"/>
      <c r="G902" s="146"/>
      <c r="H902" s="146"/>
    </row>
    <row r="903">
      <c r="A903" s="153"/>
      <c r="B903" s="154"/>
      <c r="D903" s="146"/>
      <c r="E903" s="146"/>
      <c r="F903" s="146"/>
      <c r="G903" s="146"/>
      <c r="H903" s="146"/>
    </row>
    <row r="904">
      <c r="A904" s="153"/>
      <c r="B904" s="154"/>
      <c r="D904" s="146"/>
      <c r="E904" s="146"/>
      <c r="F904" s="146"/>
      <c r="G904" s="146"/>
      <c r="H904" s="146"/>
    </row>
    <row r="905">
      <c r="A905" s="153"/>
      <c r="B905" s="154"/>
      <c r="D905" s="146"/>
      <c r="E905" s="146"/>
      <c r="F905" s="146"/>
      <c r="G905" s="146"/>
      <c r="H905" s="146"/>
    </row>
    <row r="906">
      <c r="A906" s="153"/>
      <c r="B906" s="154"/>
      <c r="D906" s="146"/>
      <c r="E906" s="146"/>
      <c r="F906" s="146"/>
      <c r="G906" s="146"/>
      <c r="H906" s="146"/>
    </row>
    <row r="907">
      <c r="A907" s="153"/>
      <c r="B907" s="154"/>
      <c r="D907" s="146"/>
      <c r="E907" s="146"/>
      <c r="F907" s="146"/>
      <c r="G907" s="146"/>
      <c r="H907" s="146"/>
    </row>
    <row r="908">
      <c r="A908" s="153"/>
      <c r="B908" s="154"/>
      <c r="D908" s="146"/>
      <c r="E908" s="146"/>
      <c r="F908" s="146"/>
      <c r="G908" s="146"/>
      <c r="H908" s="146"/>
    </row>
    <row r="909">
      <c r="A909" s="153"/>
      <c r="B909" s="154"/>
      <c r="D909" s="146"/>
      <c r="E909" s="146"/>
      <c r="F909" s="146"/>
      <c r="G909" s="146"/>
      <c r="H909" s="146"/>
    </row>
    <row r="910">
      <c r="A910" s="153"/>
      <c r="B910" s="154"/>
      <c r="D910" s="146"/>
      <c r="E910" s="146"/>
      <c r="F910" s="146"/>
      <c r="G910" s="146"/>
      <c r="H910" s="146"/>
    </row>
    <row r="911">
      <c r="A911" s="153"/>
      <c r="B911" s="154"/>
      <c r="D911" s="146"/>
      <c r="E911" s="146"/>
      <c r="F911" s="146"/>
      <c r="G911" s="146"/>
      <c r="H911" s="146"/>
    </row>
    <row r="912">
      <c r="A912" s="153"/>
      <c r="B912" s="154"/>
      <c r="D912" s="146"/>
      <c r="E912" s="146"/>
      <c r="F912" s="146"/>
      <c r="G912" s="146"/>
      <c r="H912" s="146"/>
    </row>
    <row r="913">
      <c r="A913" s="153"/>
      <c r="B913" s="154"/>
      <c r="D913" s="146"/>
      <c r="E913" s="146"/>
      <c r="F913" s="146"/>
      <c r="G913" s="146"/>
      <c r="H913" s="146"/>
    </row>
    <row r="914">
      <c r="A914" s="153"/>
      <c r="B914" s="154"/>
      <c r="D914" s="146"/>
      <c r="E914" s="146"/>
      <c r="F914" s="146"/>
      <c r="G914" s="146"/>
      <c r="H914" s="146"/>
    </row>
    <row r="915">
      <c r="A915" s="153"/>
      <c r="B915" s="154"/>
      <c r="D915" s="146"/>
      <c r="E915" s="146"/>
      <c r="F915" s="146"/>
      <c r="G915" s="146"/>
      <c r="H915" s="146"/>
    </row>
    <row r="916">
      <c r="A916" s="153"/>
      <c r="B916" s="154"/>
      <c r="D916" s="146"/>
      <c r="E916" s="146"/>
      <c r="F916" s="146"/>
      <c r="G916" s="146"/>
      <c r="H916" s="146"/>
    </row>
    <row r="917">
      <c r="A917" s="153"/>
      <c r="B917" s="154"/>
      <c r="D917" s="146"/>
      <c r="E917" s="146"/>
      <c r="F917" s="146"/>
      <c r="G917" s="146"/>
      <c r="H917" s="146"/>
    </row>
    <row r="918">
      <c r="A918" s="153"/>
      <c r="B918" s="154"/>
      <c r="D918" s="146"/>
      <c r="E918" s="146"/>
      <c r="F918" s="146"/>
      <c r="G918" s="146"/>
      <c r="H918" s="146"/>
    </row>
    <row r="919">
      <c r="A919" s="153"/>
      <c r="B919" s="154"/>
      <c r="D919" s="146"/>
      <c r="E919" s="146"/>
      <c r="F919" s="146"/>
      <c r="G919" s="146"/>
      <c r="H919" s="146"/>
    </row>
    <row r="920">
      <c r="A920" s="153"/>
      <c r="B920" s="154"/>
      <c r="D920" s="146"/>
      <c r="E920" s="146"/>
      <c r="F920" s="146"/>
      <c r="G920" s="146"/>
      <c r="H920" s="146"/>
    </row>
    <row r="921">
      <c r="A921" s="153"/>
      <c r="B921" s="154"/>
      <c r="D921" s="146"/>
      <c r="E921" s="146"/>
      <c r="F921" s="146"/>
      <c r="G921" s="146"/>
      <c r="H921" s="146"/>
    </row>
    <row r="922">
      <c r="A922" s="153"/>
      <c r="B922" s="154"/>
      <c r="D922" s="146"/>
      <c r="E922" s="146"/>
      <c r="F922" s="146"/>
      <c r="G922" s="146"/>
      <c r="H922" s="146"/>
    </row>
    <row r="923">
      <c r="A923" s="153"/>
      <c r="B923" s="154"/>
      <c r="D923" s="146"/>
      <c r="E923" s="146"/>
      <c r="F923" s="146"/>
      <c r="G923" s="146"/>
      <c r="H923" s="146"/>
    </row>
    <row r="924">
      <c r="A924" s="153"/>
      <c r="B924" s="154"/>
      <c r="D924" s="146"/>
      <c r="E924" s="146"/>
      <c r="F924" s="146"/>
      <c r="G924" s="146"/>
      <c r="H924" s="146"/>
    </row>
    <row r="925">
      <c r="A925" s="153"/>
      <c r="B925" s="154"/>
      <c r="D925" s="146"/>
      <c r="E925" s="146"/>
      <c r="F925" s="146"/>
      <c r="G925" s="146"/>
      <c r="H925" s="146"/>
    </row>
    <row r="926">
      <c r="A926" s="153"/>
      <c r="B926" s="154"/>
      <c r="D926" s="146"/>
      <c r="E926" s="146"/>
      <c r="F926" s="146"/>
      <c r="G926" s="146"/>
      <c r="H926" s="146"/>
    </row>
    <row r="927">
      <c r="A927" s="153"/>
      <c r="B927" s="154"/>
      <c r="D927" s="146"/>
      <c r="E927" s="146"/>
      <c r="F927" s="146"/>
      <c r="G927" s="146"/>
      <c r="H927" s="146"/>
    </row>
    <row r="928">
      <c r="A928" s="153"/>
      <c r="B928" s="154"/>
      <c r="D928" s="146"/>
      <c r="E928" s="146"/>
      <c r="F928" s="146"/>
      <c r="G928" s="146"/>
      <c r="H928" s="146"/>
    </row>
    <row r="929">
      <c r="A929" s="153"/>
      <c r="B929" s="154"/>
      <c r="D929" s="146"/>
      <c r="E929" s="146"/>
      <c r="F929" s="146"/>
      <c r="G929" s="146"/>
      <c r="H929" s="146"/>
    </row>
    <row r="930">
      <c r="A930" s="153"/>
      <c r="B930" s="154"/>
      <c r="D930" s="146"/>
      <c r="E930" s="146"/>
      <c r="F930" s="146"/>
      <c r="G930" s="146"/>
      <c r="H930" s="146"/>
    </row>
    <row r="931">
      <c r="A931" s="153"/>
      <c r="B931" s="154"/>
      <c r="D931" s="146"/>
      <c r="E931" s="146"/>
      <c r="F931" s="146"/>
      <c r="G931" s="146"/>
      <c r="H931" s="146"/>
    </row>
    <row r="932">
      <c r="A932" s="153"/>
      <c r="B932" s="154"/>
      <c r="D932" s="146"/>
      <c r="E932" s="146"/>
      <c r="F932" s="146"/>
      <c r="G932" s="146"/>
      <c r="H932" s="146"/>
    </row>
    <row r="933">
      <c r="A933" s="153"/>
      <c r="B933" s="154"/>
      <c r="D933" s="146"/>
      <c r="E933" s="146"/>
      <c r="F933" s="146"/>
      <c r="G933" s="146"/>
      <c r="H933" s="146"/>
    </row>
    <row r="934">
      <c r="A934" s="153"/>
      <c r="B934" s="154"/>
      <c r="D934" s="146"/>
      <c r="E934" s="146"/>
      <c r="F934" s="146"/>
      <c r="G934" s="146"/>
      <c r="H934" s="146"/>
    </row>
    <row r="935">
      <c r="A935" s="153"/>
      <c r="B935" s="154"/>
      <c r="D935" s="146"/>
      <c r="E935" s="146"/>
      <c r="F935" s="146"/>
      <c r="G935" s="146"/>
      <c r="H935" s="146"/>
    </row>
    <row r="936">
      <c r="A936" s="153"/>
      <c r="B936" s="154"/>
      <c r="D936" s="146"/>
      <c r="E936" s="146"/>
      <c r="F936" s="146"/>
      <c r="G936" s="146"/>
      <c r="H936" s="146"/>
    </row>
    <row r="937">
      <c r="A937" s="153"/>
      <c r="B937" s="154"/>
      <c r="D937" s="146"/>
      <c r="E937" s="146"/>
      <c r="F937" s="146"/>
      <c r="G937" s="146"/>
      <c r="H937" s="146"/>
    </row>
    <row r="938">
      <c r="A938" s="153"/>
      <c r="B938" s="154"/>
      <c r="D938" s="146"/>
      <c r="E938" s="146"/>
      <c r="F938" s="146"/>
      <c r="G938" s="146"/>
      <c r="H938" s="146"/>
    </row>
    <row r="939">
      <c r="A939" s="153"/>
      <c r="B939" s="154"/>
      <c r="D939" s="146"/>
      <c r="E939" s="146"/>
      <c r="F939" s="146"/>
      <c r="G939" s="146"/>
      <c r="H939" s="146"/>
    </row>
    <row r="940">
      <c r="A940" s="153"/>
      <c r="B940" s="154"/>
      <c r="D940" s="146"/>
      <c r="E940" s="146"/>
      <c r="F940" s="146"/>
      <c r="G940" s="146"/>
      <c r="H940" s="146"/>
    </row>
    <row r="941">
      <c r="A941" s="153"/>
      <c r="B941" s="154"/>
      <c r="D941" s="146"/>
      <c r="E941" s="146"/>
      <c r="F941" s="146"/>
      <c r="G941" s="146"/>
      <c r="H941" s="146"/>
    </row>
    <row r="942">
      <c r="A942" s="153"/>
      <c r="B942" s="154"/>
      <c r="D942" s="146"/>
      <c r="E942" s="146"/>
      <c r="F942" s="146"/>
      <c r="G942" s="146"/>
      <c r="H942" s="146"/>
    </row>
    <row r="943">
      <c r="A943" s="153"/>
      <c r="B943" s="154"/>
      <c r="D943" s="146"/>
      <c r="E943" s="146"/>
      <c r="F943" s="146"/>
      <c r="G943" s="146"/>
      <c r="H943" s="146"/>
    </row>
    <row r="944">
      <c r="A944" s="153"/>
      <c r="B944" s="154"/>
      <c r="D944" s="146"/>
      <c r="E944" s="146"/>
      <c r="F944" s="146"/>
      <c r="G944" s="146"/>
      <c r="H944" s="146"/>
    </row>
    <row r="945">
      <c r="A945" s="153"/>
      <c r="B945" s="154"/>
      <c r="D945" s="146"/>
      <c r="E945" s="146"/>
      <c r="F945" s="146"/>
      <c r="G945" s="146"/>
      <c r="H945" s="146"/>
    </row>
    <row r="946">
      <c r="A946" s="153"/>
      <c r="B946" s="154"/>
      <c r="D946" s="146"/>
      <c r="E946" s="146"/>
      <c r="F946" s="146"/>
      <c r="G946" s="146"/>
      <c r="H946" s="146"/>
    </row>
    <row r="947">
      <c r="A947" s="153"/>
      <c r="B947" s="154"/>
      <c r="D947" s="146"/>
      <c r="E947" s="146"/>
      <c r="F947" s="146"/>
      <c r="G947" s="146"/>
      <c r="H947" s="146"/>
    </row>
    <row r="948">
      <c r="A948" s="153"/>
      <c r="B948" s="154"/>
      <c r="D948" s="146"/>
      <c r="E948" s="146"/>
      <c r="F948" s="146"/>
      <c r="G948" s="146"/>
      <c r="H948" s="146"/>
    </row>
    <row r="949">
      <c r="A949" s="153"/>
      <c r="B949" s="154"/>
      <c r="D949" s="146"/>
      <c r="E949" s="146"/>
      <c r="F949" s="146"/>
      <c r="G949" s="146"/>
      <c r="H949" s="146"/>
    </row>
    <row r="950">
      <c r="A950" s="153"/>
      <c r="B950" s="154"/>
      <c r="D950" s="146"/>
      <c r="E950" s="146"/>
      <c r="F950" s="146"/>
      <c r="G950" s="146"/>
      <c r="H950" s="146"/>
    </row>
    <row r="951">
      <c r="A951" s="153"/>
      <c r="B951" s="154"/>
      <c r="D951" s="146"/>
      <c r="E951" s="146"/>
      <c r="F951" s="146"/>
      <c r="G951" s="146"/>
      <c r="H951" s="146"/>
    </row>
    <row r="952">
      <c r="A952" s="153"/>
      <c r="B952" s="154"/>
      <c r="D952" s="146"/>
      <c r="E952" s="146"/>
      <c r="F952" s="146"/>
      <c r="G952" s="146"/>
      <c r="H952" s="146"/>
    </row>
    <row r="953">
      <c r="A953" s="153"/>
      <c r="B953" s="154"/>
      <c r="D953" s="146"/>
      <c r="E953" s="146"/>
      <c r="F953" s="146"/>
      <c r="G953" s="146"/>
      <c r="H953" s="146"/>
    </row>
    <row r="954">
      <c r="A954" s="153"/>
      <c r="B954" s="154"/>
      <c r="D954" s="146"/>
      <c r="E954" s="146"/>
      <c r="F954" s="146"/>
      <c r="G954" s="146"/>
      <c r="H954" s="146"/>
    </row>
    <row r="955">
      <c r="A955" s="153"/>
      <c r="B955" s="154"/>
      <c r="D955" s="146"/>
      <c r="E955" s="146"/>
      <c r="F955" s="146"/>
      <c r="G955" s="146"/>
      <c r="H955" s="146"/>
    </row>
    <row r="956">
      <c r="A956" s="153"/>
      <c r="B956" s="154"/>
      <c r="D956" s="146"/>
      <c r="E956" s="146"/>
      <c r="F956" s="146"/>
      <c r="G956" s="146"/>
      <c r="H956" s="146"/>
    </row>
    <row r="957">
      <c r="A957" s="153"/>
      <c r="B957" s="154"/>
      <c r="D957" s="146"/>
      <c r="E957" s="146"/>
      <c r="F957" s="146"/>
      <c r="G957" s="146"/>
      <c r="H957" s="146"/>
    </row>
    <row r="958">
      <c r="A958" s="153"/>
      <c r="B958" s="154"/>
      <c r="D958" s="146"/>
      <c r="E958" s="146"/>
      <c r="F958" s="146"/>
      <c r="G958" s="146"/>
      <c r="H958" s="146"/>
    </row>
    <row r="959">
      <c r="A959" s="153"/>
      <c r="B959" s="154"/>
      <c r="D959" s="146"/>
      <c r="E959" s="146"/>
      <c r="F959" s="146"/>
      <c r="G959" s="146"/>
      <c r="H959" s="146"/>
    </row>
    <row r="960">
      <c r="A960" s="153"/>
      <c r="B960" s="154"/>
      <c r="D960" s="146"/>
      <c r="E960" s="146"/>
      <c r="F960" s="146"/>
      <c r="G960" s="146"/>
      <c r="H960" s="146"/>
    </row>
    <row r="961">
      <c r="A961" s="153"/>
      <c r="B961" s="154"/>
      <c r="D961" s="146"/>
      <c r="E961" s="146"/>
      <c r="F961" s="146"/>
      <c r="G961" s="146"/>
      <c r="H961" s="146"/>
    </row>
    <row r="962">
      <c r="A962" s="153"/>
      <c r="B962" s="154"/>
      <c r="D962" s="146"/>
      <c r="E962" s="146"/>
      <c r="F962" s="146"/>
      <c r="G962" s="146"/>
      <c r="H962" s="146"/>
    </row>
    <row r="963">
      <c r="A963" s="153"/>
      <c r="B963" s="154"/>
      <c r="D963" s="146"/>
      <c r="E963" s="146"/>
      <c r="F963" s="146"/>
      <c r="G963" s="146"/>
      <c r="H963" s="146"/>
    </row>
    <row r="964">
      <c r="A964" s="153"/>
      <c r="B964" s="154"/>
      <c r="D964" s="146"/>
      <c r="E964" s="146"/>
      <c r="F964" s="146"/>
      <c r="G964" s="146"/>
      <c r="H964" s="146"/>
    </row>
    <row r="965">
      <c r="A965" s="153"/>
      <c r="B965" s="154"/>
      <c r="D965" s="146"/>
      <c r="E965" s="146"/>
      <c r="F965" s="146"/>
      <c r="G965" s="146"/>
      <c r="H965" s="146"/>
    </row>
    <row r="966">
      <c r="A966" s="153"/>
      <c r="B966" s="154"/>
      <c r="D966" s="146"/>
      <c r="E966" s="146"/>
      <c r="F966" s="146"/>
      <c r="G966" s="146"/>
      <c r="H966" s="146"/>
    </row>
    <row r="967">
      <c r="A967" s="153"/>
      <c r="B967" s="154"/>
      <c r="D967" s="146"/>
      <c r="E967" s="146"/>
      <c r="F967" s="146"/>
      <c r="G967" s="146"/>
      <c r="H967" s="146"/>
    </row>
    <row r="968">
      <c r="A968" s="153"/>
      <c r="B968" s="154"/>
      <c r="D968" s="146"/>
      <c r="E968" s="146"/>
      <c r="F968" s="146"/>
      <c r="G968" s="146"/>
      <c r="H968" s="146"/>
    </row>
    <row r="969">
      <c r="A969" s="153"/>
      <c r="B969" s="154"/>
      <c r="D969" s="146"/>
      <c r="E969" s="146"/>
      <c r="F969" s="146"/>
      <c r="G969" s="146"/>
      <c r="H969" s="146"/>
    </row>
    <row r="970">
      <c r="A970" s="153"/>
      <c r="B970" s="154"/>
      <c r="D970" s="146"/>
      <c r="E970" s="146"/>
      <c r="F970" s="146"/>
      <c r="G970" s="146"/>
      <c r="H970" s="146"/>
    </row>
    <row r="971">
      <c r="A971" s="153"/>
      <c r="B971" s="154"/>
      <c r="D971" s="146"/>
      <c r="E971" s="146"/>
      <c r="F971" s="146"/>
      <c r="G971" s="146"/>
      <c r="H971" s="146"/>
    </row>
    <row r="972">
      <c r="A972" s="153"/>
      <c r="B972" s="154"/>
      <c r="D972" s="146"/>
      <c r="E972" s="146"/>
      <c r="F972" s="146"/>
      <c r="G972" s="146"/>
      <c r="H972" s="146"/>
    </row>
    <row r="973">
      <c r="A973" s="153"/>
      <c r="B973" s="154"/>
      <c r="D973" s="146"/>
      <c r="E973" s="146"/>
      <c r="F973" s="146"/>
      <c r="G973" s="146"/>
      <c r="H973" s="146"/>
    </row>
    <row r="974">
      <c r="A974" s="153"/>
      <c r="B974" s="154"/>
      <c r="D974" s="146"/>
      <c r="E974" s="146"/>
      <c r="F974" s="146"/>
      <c r="G974" s="146"/>
      <c r="H974" s="146"/>
    </row>
    <row r="975">
      <c r="A975" s="153"/>
      <c r="B975" s="154"/>
      <c r="D975" s="146"/>
      <c r="E975" s="146"/>
      <c r="F975" s="146"/>
      <c r="G975" s="146"/>
      <c r="H975" s="146"/>
    </row>
    <row r="976">
      <c r="A976" s="153"/>
      <c r="B976" s="154"/>
      <c r="D976" s="146"/>
      <c r="E976" s="146"/>
      <c r="F976" s="146"/>
      <c r="G976" s="146"/>
      <c r="H976" s="146"/>
    </row>
    <row r="977">
      <c r="A977" s="153"/>
      <c r="B977" s="154"/>
      <c r="D977" s="146"/>
      <c r="E977" s="146"/>
      <c r="F977" s="146"/>
      <c r="G977" s="146"/>
      <c r="H977" s="146"/>
    </row>
    <row r="978">
      <c r="A978" s="153"/>
      <c r="B978" s="154"/>
      <c r="D978" s="146"/>
      <c r="E978" s="146"/>
      <c r="F978" s="146"/>
      <c r="G978" s="146"/>
      <c r="H978" s="146"/>
    </row>
    <row r="979">
      <c r="A979" s="153"/>
      <c r="B979" s="154"/>
      <c r="D979" s="146"/>
      <c r="E979" s="146"/>
      <c r="F979" s="146"/>
      <c r="G979" s="146"/>
      <c r="H979" s="146"/>
    </row>
    <row r="980">
      <c r="A980" s="153"/>
      <c r="B980" s="154"/>
      <c r="D980" s="146"/>
      <c r="E980" s="146"/>
      <c r="F980" s="146"/>
      <c r="G980" s="146"/>
      <c r="H980" s="146"/>
    </row>
    <row r="981">
      <c r="A981" s="153"/>
      <c r="B981" s="154"/>
      <c r="D981" s="146"/>
      <c r="E981" s="146"/>
      <c r="F981" s="146"/>
      <c r="G981" s="146"/>
      <c r="H981" s="146"/>
    </row>
    <row r="982">
      <c r="A982" s="153"/>
      <c r="B982" s="154"/>
      <c r="D982" s="146"/>
      <c r="E982" s="146"/>
      <c r="F982" s="146"/>
      <c r="G982" s="146"/>
      <c r="H982" s="146"/>
    </row>
    <row r="983">
      <c r="A983" s="153"/>
      <c r="B983" s="154"/>
      <c r="D983" s="146"/>
      <c r="E983" s="146"/>
      <c r="F983" s="146"/>
      <c r="G983" s="146"/>
      <c r="H983" s="146"/>
    </row>
    <row r="984">
      <c r="A984" s="153"/>
      <c r="B984" s="154"/>
      <c r="D984" s="146"/>
      <c r="E984" s="146"/>
      <c r="F984" s="146"/>
      <c r="G984" s="146"/>
      <c r="H984" s="146"/>
    </row>
    <row r="985">
      <c r="A985" s="153"/>
      <c r="B985" s="154"/>
      <c r="D985" s="146"/>
      <c r="E985" s="146"/>
      <c r="F985" s="146"/>
      <c r="G985" s="146"/>
      <c r="H985" s="146"/>
    </row>
    <row r="986">
      <c r="A986" s="153"/>
      <c r="B986" s="154"/>
      <c r="D986" s="146"/>
      <c r="E986" s="146"/>
      <c r="F986" s="146"/>
      <c r="G986" s="146"/>
      <c r="H986" s="146"/>
    </row>
    <row r="987">
      <c r="A987" s="153"/>
      <c r="B987" s="154"/>
      <c r="D987" s="146"/>
      <c r="E987" s="146"/>
      <c r="F987" s="146"/>
      <c r="G987" s="146"/>
      <c r="H987" s="146"/>
    </row>
    <row r="988">
      <c r="A988" s="153"/>
      <c r="B988" s="154"/>
      <c r="D988" s="146"/>
      <c r="E988" s="146"/>
      <c r="F988" s="146"/>
      <c r="G988" s="146"/>
      <c r="H988" s="146"/>
    </row>
    <row r="989">
      <c r="A989" s="153"/>
      <c r="B989" s="154"/>
      <c r="D989" s="146"/>
      <c r="E989" s="146"/>
      <c r="F989" s="146"/>
      <c r="G989" s="146"/>
      <c r="H989" s="146"/>
    </row>
    <row r="990">
      <c r="A990" s="153"/>
      <c r="B990" s="154"/>
      <c r="D990" s="146"/>
      <c r="E990" s="146"/>
      <c r="F990" s="146"/>
      <c r="G990" s="146"/>
      <c r="H990" s="146"/>
    </row>
    <row r="991">
      <c r="A991" s="153"/>
      <c r="B991" s="154"/>
      <c r="D991" s="146"/>
      <c r="E991" s="146"/>
      <c r="F991" s="146"/>
      <c r="G991" s="146"/>
      <c r="H991" s="146"/>
    </row>
    <row r="992">
      <c r="A992" s="153"/>
      <c r="B992" s="154"/>
      <c r="D992" s="146"/>
      <c r="E992" s="146"/>
      <c r="F992" s="146"/>
      <c r="G992" s="146"/>
      <c r="H992" s="146"/>
    </row>
    <row r="993">
      <c r="A993" s="153"/>
      <c r="B993" s="154"/>
      <c r="D993" s="146"/>
      <c r="E993" s="146"/>
      <c r="F993" s="146"/>
      <c r="G993" s="146"/>
      <c r="H993" s="146"/>
    </row>
    <row r="994">
      <c r="A994" s="153"/>
      <c r="B994" s="154"/>
      <c r="D994" s="146"/>
      <c r="E994" s="146"/>
      <c r="F994" s="146"/>
      <c r="G994" s="146"/>
      <c r="H994" s="146"/>
    </row>
    <row r="995">
      <c r="A995" s="153"/>
      <c r="B995" s="154"/>
      <c r="D995" s="146"/>
      <c r="E995" s="146"/>
      <c r="F995" s="146"/>
      <c r="G995" s="146"/>
      <c r="H995" s="146"/>
    </row>
    <row r="996">
      <c r="A996" s="153"/>
      <c r="B996" s="154"/>
      <c r="D996" s="146"/>
      <c r="E996" s="146"/>
      <c r="F996" s="146"/>
      <c r="G996" s="146"/>
      <c r="H996" s="146"/>
    </row>
  </sheetData>
  <autoFilter ref="$A$1:$I$218"/>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36.25"/>
    <col customWidth="1" min="4" max="6" width="16.25"/>
  </cols>
  <sheetData>
    <row r="1" ht="20.25" customHeight="1">
      <c r="A1" s="155" t="s">
        <v>2431</v>
      </c>
      <c r="B1" s="155" t="s">
        <v>2432</v>
      </c>
      <c r="C1" s="156" t="s">
        <v>2433</v>
      </c>
      <c r="D1" s="155" t="s">
        <v>2434</v>
      </c>
      <c r="E1" s="155" t="s">
        <v>2435</v>
      </c>
      <c r="F1" s="156" t="s">
        <v>2436</v>
      </c>
      <c r="G1" s="156" t="s">
        <v>2437</v>
      </c>
      <c r="H1" s="157"/>
      <c r="I1" s="157"/>
      <c r="J1" s="157"/>
      <c r="K1" s="157"/>
      <c r="L1" s="157"/>
      <c r="M1" s="157"/>
      <c r="N1" s="157"/>
      <c r="O1" s="157"/>
      <c r="P1" s="157"/>
      <c r="Q1" s="157"/>
      <c r="R1" s="157"/>
      <c r="S1" s="157"/>
      <c r="T1" s="157"/>
      <c r="U1" s="157"/>
      <c r="V1" s="157"/>
      <c r="W1" s="157"/>
      <c r="X1" s="157"/>
      <c r="Y1" s="157"/>
      <c r="Z1" s="157"/>
      <c r="AA1" s="157"/>
      <c r="AB1" s="157"/>
    </row>
    <row r="2">
      <c r="A2" s="133" t="s">
        <v>1240</v>
      </c>
      <c r="B2" s="133" t="s">
        <v>2438</v>
      </c>
      <c r="C2" s="133" t="s">
        <v>2439</v>
      </c>
      <c r="D2" s="158">
        <v>11000.0</v>
      </c>
      <c r="E2" s="158">
        <v>615.01</v>
      </c>
      <c r="F2" s="159">
        <f t="shared" ref="F2:F4" si="1">D2-E2</f>
        <v>10384.99</v>
      </c>
      <c r="G2" s="133" t="s">
        <v>2439</v>
      </c>
    </row>
    <row r="3">
      <c r="A3" s="133" t="s">
        <v>1308</v>
      </c>
      <c r="B3" s="133" t="s">
        <v>2440</v>
      </c>
      <c r="C3" s="133" t="s">
        <v>2439</v>
      </c>
      <c r="D3" s="158">
        <v>5900.0</v>
      </c>
      <c r="E3" s="160">
        <v>3962.89</v>
      </c>
      <c r="F3" s="159">
        <f t="shared" si="1"/>
        <v>1937.11</v>
      </c>
      <c r="G3" s="133" t="s">
        <v>2439</v>
      </c>
    </row>
    <row r="4">
      <c r="A4" s="133" t="s">
        <v>1308</v>
      </c>
      <c r="B4" s="133" t="s">
        <v>1779</v>
      </c>
      <c r="C4" s="133" t="s">
        <v>2439</v>
      </c>
      <c r="D4" s="158">
        <v>471.58</v>
      </c>
      <c r="E4" s="161">
        <v>0.0</v>
      </c>
      <c r="F4" s="159">
        <f t="shared" si="1"/>
        <v>471.58</v>
      </c>
      <c r="G4" s="133" t="s">
        <v>2441</v>
      </c>
    </row>
    <row r="5">
      <c r="D5" s="162" t="s">
        <v>2442</v>
      </c>
      <c r="F5" s="163">
        <f>SUM(F2:F4)</f>
        <v>12793.68</v>
      </c>
    </row>
  </sheetData>
  <mergeCells count="1">
    <mergeCell ref="D5:E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5"/>
    <col customWidth="1" min="2" max="2" width="14.88"/>
    <col customWidth="1" min="3" max="4" width="16.13"/>
    <col customWidth="1" min="5" max="6" width="57.25"/>
    <col customWidth="1" min="7" max="7" width="13.88"/>
    <col customWidth="1" min="8" max="9" width="18.38"/>
    <col customWidth="1" min="10" max="10" width="16.63"/>
    <col customWidth="1" min="11" max="11" width="22.25"/>
    <col customWidth="1" min="12" max="12" width="34.38"/>
  </cols>
  <sheetData>
    <row r="1" ht="33.0" customHeight="1">
      <c r="A1" s="164" t="s">
        <v>2443</v>
      </c>
      <c r="B1" s="165"/>
      <c r="C1" s="165"/>
      <c r="D1" s="165"/>
      <c r="E1" s="165"/>
      <c r="F1" s="165"/>
      <c r="G1" s="165"/>
      <c r="H1" s="165"/>
      <c r="I1" s="165"/>
      <c r="J1" s="165"/>
      <c r="K1" s="165"/>
      <c r="L1" s="166"/>
      <c r="M1" s="167"/>
      <c r="N1" s="167"/>
      <c r="O1" s="167"/>
      <c r="P1" s="167"/>
      <c r="Q1" s="167"/>
      <c r="R1" s="167"/>
      <c r="S1" s="167"/>
      <c r="T1" s="167"/>
      <c r="U1" s="167"/>
      <c r="V1" s="167"/>
      <c r="W1" s="167"/>
      <c r="X1" s="167"/>
      <c r="Y1" s="167"/>
      <c r="Z1" s="167"/>
      <c r="AA1" s="167"/>
      <c r="AB1" s="167"/>
      <c r="AC1" s="167"/>
    </row>
    <row r="2" ht="42.0" customHeight="1">
      <c r="A2" s="168" t="s">
        <v>2444</v>
      </c>
      <c r="B2" s="168" t="s">
        <v>2445</v>
      </c>
      <c r="C2" s="168" t="s">
        <v>2446</v>
      </c>
      <c r="D2" s="168" t="s">
        <v>2447</v>
      </c>
      <c r="E2" s="168" t="s">
        <v>2448</v>
      </c>
      <c r="F2" s="168" t="s">
        <v>2449</v>
      </c>
      <c r="G2" s="168" t="s">
        <v>2450</v>
      </c>
      <c r="H2" s="169" t="s">
        <v>2451</v>
      </c>
      <c r="I2" s="169" t="s">
        <v>2452</v>
      </c>
      <c r="J2" s="168" t="s">
        <v>2453</v>
      </c>
      <c r="K2" s="168" t="s">
        <v>2454</v>
      </c>
      <c r="L2" s="168" t="s">
        <v>2455</v>
      </c>
      <c r="M2" s="167"/>
      <c r="N2" s="167"/>
      <c r="O2" s="167"/>
      <c r="P2" s="167"/>
      <c r="Q2" s="167"/>
      <c r="R2" s="167"/>
      <c r="S2" s="167"/>
      <c r="T2" s="167"/>
      <c r="U2" s="167"/>
      <c r="V2" s="167"/>
      <c r="W2" s="167"/>
      <c r="X2" s="167"/>
      <c r="Y2" s="167"/>
      <c r="Z2" s="167"/>
      <c r="AA2" s="167"/>
      <c r="AB2" s="167"/>
      <c r="AC2" s="167"/>
    </row>
    <row r="3">
      <c r="A3" s="170" t="s">
        <v>2456</v>
      </c>
      <c r="B3" s="171" t="s">
        <v>41</v>
      </c>
      <c r="C3" s="172"/>
      <c r="D3" s="172" t="s">
        <v>2457</v>
      </c>
      <c r="E3" s="173" t="s">
        <v>2458</v>
      </c>
      <c r="F3" s="174" t="s">
        <v>2459</v>
      </c>
      <c r="G3" s="172" t="s">
        <v>2460</v>
      </c>
      <c r="H3" s="175" t="s">
        <v>2461</v>
      </c>
      <c r="I3" s="167"/>
      <c r="J3" s="176" t="s">
        <v>2462</v>
      </c>
      <c r="K3" s="175" t="s">
        <v>2463</v>
      </c>
      <c r="L3" s="167"/>
      <c r="M3" s="167"/>
      <c r="N3" s="167"/>
      <c r="O3" s="167"/>
      <c r="P3" s="167"/>
      <c r="Q3" s="167"/>
      <c r="R3" s="167"/>
      <c r="S3" s="167"/>
      <c r="T3" s="167"/>
      <c r="U3" s="167"/>
      <c r="V3" s="167"/>
      <c r="W3" s="167"/>
      <c r="X3" s="167"/>
      <c r="Y3" s="167"/>
      <c r="Z3" s="167"/>
      <c r="AA3" s="167"/>
      <c r="AB3" s="167"/>
      <c r="AC3" s="167"/>
    </row>
    <row r="4">
      <c r="A4" s="177"/>
      <c r="B4" s="171" t="s">
        <v>2464</v>
      </c>
      <c r="C4" s="172"/>
      <c r="D4" s="172" t="s">
        <v>2465</v>
      </c>
      <c r="E4" s="173" t="s">
        <v>2458</v>
      </c>
      <c r="F4" s="177"/>
      <c r="G4" s="172" t="s">
        <v>2460</v>
      </c>
      <c r="H4" s="175" t="s">
        <v>2461</v>
      </c>
      <c r="I4" s="167"/>
      <c r="J4" s="177"/>
      <c r="K4" s="175" t="s">
        <v>2466</v>
      </c>
      <c r="L4" s="167"/>
      <c r="M4" s="167"/>
      <c r="N4" s="167"/>
      <c r="O4" s="167"/>
      <c r="P4" s="167"/>
      <c r="Q4" s="167"/>
      <c r="R4" s="167"/>
      <c r="S4" s="167"/>
      <c r="T4" s="167"/>
      <c r="U4" s="167"/>
      <c r="V4" s="167"/>
      <c r="W4" s="167"/>
      <c r="X4" s="167"/>
      <c r="Y4" s="167"/>
      <c r="Z4" s="167"/>
      <c r="AA4" s="167"/>
      <c r="AB4" s="167"/>
      <c r="AC4" s="167"/>
    </row>
    <row r="5">
      <c r="A5" s="178"/>
      <c r="B5" s="171" t="s">
        <v>2467</v>
      </c>
      <c r="C5" s="179"/>
      <c r="D5" s="179"/>
      <c r="E5" s="173" t="s">
        <v>2468</v>
      </c>
      <c r="F5" s="178"/>
      <c r="G5" s="172" t="s">
        <v>2460</v>
      </c>
      <c r="H5" s="175" t="s">
        <v>2461</v>
      </c>
      <c r="I5" s="167"/>
      <c r="J5" s="178"/>
      <c r="K5" s="175" t="s">
        <v>2469</v>
      </c>
      <c r="L5" s="167"/>
      <c r="M5" s="167"/>
      <c r="N5" s="167"/>
      <c r="O5" s="167"/>
      <c r="P5" s="167"/>
      <c r="Q5" s="167"/>
      <c r="R5" s="167"/>
      <c r="S5" s="167"/>
      <c r="T5" s="167"/>
      <c r="U5" s="167"/>
      <c r="V5" s="167"/>
      <c r="W5" s="167"/>
      <c r="X5" s="167"/>
      <c r="Y5" s="167"/>
      <c r="Z5" s="167"/>
      <c r="AA5" s="167"/>
      <c r="AB5" s="167"/>
      <c r="AC5" s="167"/>
    </row>
    <row r="6">
      <c r="A6" s="180" t="s">
        <v>2470</v>
      </c>
      <c r="B6" s="171" t="s">
        <v>2471</v>
      </c>
      <c r="C6" s="172"/>
      <c r="D6" s="172" t="s">
        <v>2472</v>
      </c>
      <c r="E6" s="175" t="s">
        <v>2473</v>
      </c>
      <c r="F6" s="175" t="s">
        <v>2474</v>
      </c>
      <c r="G6" s="175" t="s">
        <v>2475</v>
      </c>
      <c r="H6" s="175" t="s">
        <v>2476</v>
      </c>
      <c r="I6" s="167"/>
      <c r="J6" s="175" t="s">
        <v>2477</v>
      </c>
      <c r="K6" s="175" t="s">
        <v>2478</v>
      </c>
      <c r="L6" s="167"/>
      <c r="M6" s="167"/>
      <c r="N6" s="181" t="s">
        <v>2479</v>
      </c>
      <c r="O6" s="181" t="s">
        <v>2480</v>
      </c>
      <c r="P6" s="167"/>
      <c r="Q6" s="167"/>
      <c r="R6" s="167"/>
      <c r="S6" s="167"/>
      <c r="T6" s="167"/>
      <c r="U6" s="167"/>
      <c r="V6" s="167"/>
      <c r="W6" s="167"/>
      <c r="X6" s="167"/>
      <c r="Y6" s="167"/>
      <c r="Z6" s="167"/>
      <c r="AA6" s="167"/>
      <c r="AB6" s="167"/>
      <c r="AC6" s="167"/>
    </row>
    <row r="7">
      <c r="A7" s="177"/>
      <c r="B7" s="171" t="s">
        <v>2481</v>
      </c>
      <c r="C7" s="172"/>
      <c r="D7" s="172" t="s">
        <v>2472</v>
      </c>
      <c r="E7" s="175" t="s">
        <v>2482</v>
      </c>
      <c r="F7" s="175" t="s">
        <v>2474</v>
      </c>
      <c r="G7" s="175" t="s">
        <v>2483</v>
      </c>
      <c r="H7" s="175" t="s">
        <v>2476</v>
      </c>
      <c r="I7" s="167"/>
      <c r="J7" s="175" t="s">
        <v>2477</v>
      </c>
      <c r="K7" s="175" t="s">
        <v>2484</v>
      </c>
      <c r="L7" s="167"/>
      <c r="M7" s="167"/>
      <c r="N7" s="181" t="s">
        <v>2485</v>
      </c>
      <c r="O7" s="181" t="s">
        <v>2480</v>
      </c>
      <c r="P7" s="181" t="s">
        <v>2486</v>
      </c>
      <c r="Q7" s="167"/>
      <c r="R7" s="167"/>
      <c r="S7" s="167"/>
      <c r="T7" s="167"/>
      <c r="U7" s="167"/>
      <c r="V7" s="167"/>
      <c r="W7" s="167"/>
      <c r="X7" s="167"/>
      <c r="Y7" s="167"/>
      <c r="Z7" s="167"/>
      <c r="AA7" s="167"/>
      <c r="AB7" s="167"/>
      <c r="AC7" s="167"/>
    </row>
    <row r="8">
      <c r="A8" s="177"/>
      <c r="B8" s="171" t="s">
        <v>2487</v>
      </c>
      <c r="C8" s="172"/>
      <c r="D8" s="172" t="s">
        <v>2488</v>
      </c>
      <c r="E8" s="175" t="s">
        <v>2489</v>
      </c>
      <c r="F8" s="175" t="s">
        <v>2490</v>
      </c>
      <c r="G8" s="167"/>
      <c r="H8" s="175" t="s">
        <v>2476</v>
      </c>
      <c r="I8" s="167"/>
      <c r="J8" s="175" t="s">
        <v>2491</v>
      </c>
      <c r="K8" s="175" t="s">
        <v>2492</v>
      </c>
      <c r="L8" s="175" t="s">
        <v>2493</v>
      </c>
      <c r="M8" s="167"/>
      <c r="N8" s="181" t="s">
        <v>2494</v>
      </c>
      <c r="O8" s="181" t="s">
        <v>2480</v>
      </c>
      <c r="P8" s="175" t="s">
        <v>2480</v>
      </c>
      <c r="Q8" s="167"/>
      <c r="R8" s="167"/>
      <c r="S8" s="167"/>
      <c r="T8" s="167"/>
      <c r="U8" s="167"/>
      <c r="V8" s="167"/>
      <c r="W8" s="167"/>
      <c r="X8" s="167"/>
      <c r="Y8" s="167"/>
      <c r="Z8" s="167"/>
      <c r="AA8" s="167"/>
      <c r="AB8" s="167"/>
      <c r="AC8" s="167"/>
    </row>
    <row r="9" hidden="1">
      <c r="A9" s="178"/>
      <c r="B9" s="171" t="s">
        <v>2495</v>
      </c>
      <c r="C9" s="179"/>
      <c r="D9" s="179"/>
      <c r="E9" s="167"/>
      <c r="F9" s="167"/>
      <c r="G9" s="167"/>
      <c r="H9" s="175" t="s">
        <v>2496</v>
      </c>
      <c r="I9" s="167"/>
      <c r="J9" s="175" t="s">
        <v>2491</v>
      </c>
      <c r="K9" s="175" t="s">
        <v>2497</v>
      </c>
      <c r="L9" s="167"/>
      <c r="M9" s="167"/>
      <c r="N9" s="167"/>
      <c r="O9" s="167"/>
      <c r="P9" s="167"/>
      <c r="Q9" s="167"/>
      <c r="R9" s="167"/>
      <c r="S9" s="167"/>
      <c r="T9" s="167"/>
      <c r="U9" s="167"/>
      <c r="V9" s="167"/>
      <c r="W9" s="167"/>
      <c r="X9" s="167"/>
      <c r="Y9" s="167"/>
      <c r="Z9" s="167"/>
      <c r="AA9" s="167"/>
      <c r="AB9" s="167"/>
      <c r="AC9" s="167"/>
    </row>
    <row r="10" hidden="1">
      <c r="A10" s="182" t="s">
        <v>2498</v>
      </c>
      <c r="B10" s="167"/>
      <c r="C10" s="167"/>
      <c r="D10" s="167"/>
      <c r="E10" s="167"/>
      <c r="F10" s="167"/>
      <c r="G10" s="167"/>
      <c r="H10" s="167"/>
      <c r="I10" s="167"/>
      <c r="J10" s="175"/>
      <c r="K10" s="175" t="s">
        <v>2499</v>
      </c>
      <c r="L10" s="167"/>
      <c r="M10" s="167"/>
      <c r="N10" s="167"/>
      <c r="O10" s="167"/>
      <c r="P10" s="167"/>
      <c r="Q10" s="167"/>
      <c r="R10" s="167"/>
      <c r="S10" s="167"/>
      <c r="T10" s="167"/>
      <c r="U10" s="167"/>
      <c r="V10" s="167"/>
      <c r="W10" s="167"/>
      <c r="X10" s="167"/>
      <c r="Y10" s="167"/>
      <c r="Z10" s="167"/>
      <c r="AA10" s="167"/>
      <c r="AB10" s="167"/>
      <c r="AC10" s="167"/>
    </row>
    <row r="11">
      <c r="A11" s="167"/>
      <c r="B11" s="167"/>
      <c r="C11" s="167"/>
      <c r="D11" s="167"/>
      <c r="E11" s="167"/>
      <c r="F11" s="167"/>
      <c r="G11" s="167"/>
      <c r="H11" s="167"/>
      <c r="I11" s="167"/>
      <c r="J11" s="175"/>
      <c r="K11" s="175" t="s">
        <v>2500</v>
      </c>
      <c r="L11" s="167"/>
      <c r="M11" s="167"/>
      <c r="N11" s="167"/>
      <c r="O11" s="167"/>
      <c r="P11" s="167"/>
      <c r="Q11" s="167"/>
      <c r="R11" s="167"/>
      <c r="S11" s="167"/>
      <c r="T11" s="167"/>
      <c r="U11" s="167"/>
      <c r="V11" s="167"/>
      <c r="W11" s="167"/>
      <c r="X11" s="167"/>
      <c r="Y11" s="167"/>
      <c r="Z11" s="167"/>
      <c r="AA11" s="167"/>
      <c r="AB11" s="167"/>
      <c r="AC11" s="167"/>
    </row>
    <row r="12">
      <c r="A12" s="167"/>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row>
    <row r="13">
      <c r="A13" s="167"/>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row>
    <row r="14">
      <c r="A14" s="167"/>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row>
    <row r="15">
      <c r="A15" s="167"/>
      <c r="B15" s="167"/>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row>
    <row r="16">
      <c r="A16" s="167"/>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row>
    <row r="17">
      <c r="A17" s="167"/>
      <c r="B17" s="167"/>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row>
    <row r="18">
      <c r="A18" s="167"/>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row>
    <row r="19">
      <c r="A19" s="167"/>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row>
    <row r="20">
      <c r="A20" s="167"/>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row>
    <row r="21">
      <c r="A21" s="167"/>
      <c r="B21" s="167"/>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row>
    <row r="22">
      <c r="A22" s="167"/>
      <c r="B22" s="167"/>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row>
    <row r="23">
      <c r="A23" s="167"/>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row>
    <row r="24">
      <c r="A24" s="167"/>
      <c r="B24" s="167"/>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c r="AA24" s="167"/>
      <c r="AB24" s="167"/>
      <c r="AC24" s="167"/>
    </row>
    <row r="25">
      <c r="A25" s="167"/>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row>
    <row r="26">
      <c r="A26" s="167"/>
      <c r="B26" s="167"/>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row>
    <row r="27">
      <c r="A27" s="167"/>
      <c r="B27" s="167"/>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row>
    <row r="28">
      <c r="A28" s="167"/>
      <c r="B28" s="167"/>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row>
    <row r="29">
      <c r="A29" s="167"/>
      <c r="B29" s="167"/>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row>
    <row r="30">
      <c r="A30" s="167"/>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c r="AA30" s="167"/>
      <c r="AB30" s="167"/>
      <c r="AC30" s="167"/>
    </row>
    <row r="31">
      <c r="A31" s="167"/>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c r="AA31" s="167"/>
      <c r="AB31" s="167"/>
      <c r="AC31" s="167"/>
    </row>
    <row r="32">
      <c r="A32" s="167"/>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c r="AA32" s="167"/>
      <c r="AB32" s="167"/>
      <c r="AC32" s="167"/>
    </row>
    <row r="33">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row>
    <row r="34">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c r="AA34" s="167"/>
      <c r="AB34" s="167"/>
      <c r="AC34" s="167"/>
    </row>
    <row r="35">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c r="AA35" s="167"/>
      <c r="AB35" s="167"/>
      <c r="AC35" s="167"/>
    </row>
    <row r="36">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row>
    <row r="37">
      <c r="A37" s="167"/>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c r="AA37" s="167"/>
      <c r="AB37" s="167"/>
      <c r="AC37" s="167"/>
    </row>
    <row r="38">
      <c r="A38" s="167"/>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c r="AA38" s="167"/>
      <c r="AB38" s="167"/>
      <c r="AC38" s="167"/>
    </row>
    <row r="39">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c r="AA39" s="167"/>
      <c r="AB39" s="167"/>
      <c r="AC39" s="167"/>
    </row>
    <row r="40">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row>
    <row r="41">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row>
    <row r="42">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c r="AA42" s="167"/>
      <c r="AB42" s="167"/>
      <c r="AC42" s="167"/>
    </row>
    <row r="43">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c r="AA43" s="167"/>
      <c r="AB43" s="167"/>
      <c r="AC43" s="167"/>
    </row>
    <row r="44">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row>
    <row r="45">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c r="AA45" s="167"/>
      <c r="AB45" s="167"/>
      <c r="AC45" s="167"/>
    </row>
    <row r="46">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c r="AA46" s="167"/>
      <c r="AB46" s="167"/>
      <c r="AC46" s="167"/>
    </row>
    <row r="47">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c r="AA47" s="167"/>
      <c r="AB47" s="167"/>
      <c r="AC47" s="167"/>
    </row>
    <row r="48">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c r="AA48" s="167"/>
      <c r="AB48" s="167"/>
      <c r="AC48" s="167"/>
    </row>
    <row r="49">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c r="AA49" s="167"/>
      <c r="AB49" s="167"/>
      <c r="AC49" s="167"/>
    </row>
    <row r="50">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c r="AA50" s="167"/>
      <c r="AB50" s="167"/>
      <c r="AC50" s="167"/>
    </row>
    <row r="51">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row>
    <row r="52">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c r="AA52" s="167"/>
      <c r="AB52" s="167"/>
      <c r="AC52" s="167"/>
    </row>
    <row r="53">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c r="AA53" s="167"/>
      <c r="AB53" s="167"/>
      <c r="AC53" s="167"/>
    </row>
    <row r="54">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row>
    <row r="55">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c r="AA55" s="167"/>
      <c r="AB55" s="167"/>
      <c r="AC55" s="167"/>
    </row>
    <row r="56">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c r="AA56" s="167"/>
      <c r="AB56" s="167"/>
      <c r="AC56" s="167"/>
    </row>
    <row r="57">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c r="AA57" s="167"/>
      <c r="AB57" s="167"/>
      <c r="AC57" s="167"/>
    </row>
    <row r="58">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c r="AA58" s="167"/>
      <c r="AB58" s="167"/>
      <c r="AC58" s="167"/>
    </row>
    <row r="59">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c r="AA59" s="167"/>
      <c r="AB59" s="167"/>
      <c r="AC59" s="167"/>
    </row>
    <row r="60">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c r="AA60" s="167"/>
      <c r="AB60" s="167"/>
      <c r="AC60" s="167"/>
    </row>
    <row r="61">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c r="AA61" s="167"/>
      <c r="AB61" s="167"/>
      <c r="AC61" s="167"/>
    </row>
    <row r="62">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c r="AA62" s="167"/>
      <c r="AB62" s="167"/>
      <c r="AC62" s="167"/>
    </row>
    <row r="63">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c r="AA63" s="167"/>
      <c r="AB63" s="167"/>
      <c r="AC63" s="167"/>
    </row>
    <row r="64">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c r="AA64" s="167"/>
      <c r="AB64" s="167"/>
      <c r="AC64" s="167"/>
    </row>
    <row r="65">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c r="AA65" s="167"/>
      <c r="AB65" s="167"/>
      <c r="AC65" s="167"/>
    </row>
    <row r="66">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c r="AA66" s="167"/>
      <c r="AB66" s="167"/>
      <c r="AC66" s="167"/>
    </row>
    <row r="67">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c r="AA67" s="167"/>
      <c r="AB67" s="167"/>
      <c r="AC67" s="167"/>
    </row>
    <row r="68">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c r="AA68" s="167"/>
      <c r="AB68" s="167"/>
      <c r="AC68" s="167"/>
    </row>
    <row r="69">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c r="AA69" s="167"/>
      <c r="AB69" s="167"/>
      <c r="AC69" s="167"/>
    </row>
    <row r="70">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c r="AA70" s="167"/>
      <c r="AB70" s="167"/>
      <c r="AC70" s="167"/>
    </row>
    <row r="7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c r="AA71" s="167"/>
      <c r="AB71" s="167"/>
      <c r="AC71" s="167"/>
    </row>
    <row r="72">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c r="AA72" s="167"/>
      <c r="AB72" s="167"/>
      <c r="AC72" s="167"/>
    </row>
    <row r="73">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c r="AA73" s="167"/>
      <c r="AB73" s="167"/>
      <c r="AC73" s="167"/>
    </row>
    <row r="74">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c r="AA74" s="167"/>
      <c r="AB74" s="167"/>
      <c r="AC74" s="167"/>
    </row>
    <row r="75">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c r="AA75" s="167"/>
      <c r="AB75" s="167"/>
      <c r="AC75" s="167"/>
    </row>
    <row r="76">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c r="AA76" s="167"/>
      <c r="AB76" s="167"/>
      <c r="AC76" s="167"/>
    </row>
    <row r="77">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c r="AA77" s="167"/>
      <c r="AB77" s="167"/>
      <c r="AC77" s="167"/>
    </row>
    <row r="78">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c r="AA78" s="167"/>
      <c r="AB78" s="167"/>
      <c r="AC78" s="167"/>
    </row>
    <row r="79">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c r="AA79" s="167"/>
      <c r="AB79" s="167"/>
      <c r="AC79" s="167"/>
    </row>
    <row r="80">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c r="AA80" s="167"/>
      <c r="AB80" s="167"/>
      <c r="AC80" s="167"/>
    </row>
    <row r="81">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c r="AA81" s="167"/>
      <c r="AB81" s="167"/>
      <c r="AC81" s="167"/>
    </row>
    <row r="82">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c r="AA82" s="167"/>
      <c r="AB82" s="167"/>
      <c r="AC82" s="167"/>
    </row>
    <row r="83">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c r="AA83" s="167"/>
      <c r="AB83" s="167"/>
      <c r="AC83" s="167"/>
    </row>
    <row r="84">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c r="AA84" s="167"/>
      <c r="AB84" s="167"/>
      <c r="AC84" s="167"/>
    </row>
    <row r="85">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c r="AA85" s="167"/>
      <c r="AB85" s="167"/>
      <c r="AC85" s="167"/>
    </row>
    <row r="86">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c r="AA86" s="167"/>
      <c r="AB86" s="167"/>
      <c r="AC86" s="167"/>
    </row>
    <row r="87">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c r="AA87" s="167"/>
      <c r="AB87" s="167"/>
      <c r="AC87" s="167"/>
    </row>
    <row r="88">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c r="AA88" s="167"/>
      <c r="AB88" s="167"/>
      <c r="AC88" s="167"/>
    </row>
    <row r="89">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c r="AA89" s="167"/>
      <c r="AB89" s="167"/>
      <c r="AC89" s="167"/>
    </row>
    <row r="90">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c r="AA90" s="167"/>
      <c r="AB90" s="167"/>
      <c r="AC90" s="167"/>
    </row>
    <row r="9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c r="AA91" s="167"/>
      <c r="AB91" s="167"/>
      <c r="AC91" s="167"/>
    </row>
    <row r="92">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c r="AA92" s="167"/>
      <c r="AB92" s="167"/>
      <c r="AC92" s="167"/>
    </row>
    <row r="93">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c r="AA93" s="167"/>
      <c r="AB93" s="167"/>
      <c r="AC93" s="167"/>
    </row>
    <row r="94">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c r="AA94" s="167"/>
      <c r="AB94" s="167"/>
      <c r="AC94" s="167"/>
    </row>
    <row r="95">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c r="AA95" s="167"/>
      <c r="AB95" s="167"/>
      <c r="AC95" s="167"/>
    </row>
    <row r="96">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c r="AA96" s="167"/>
      <c r="AB96" s="167"/>
      <c r="AC96" s="167"/>
    </row>
    <row r="97">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c r="AA97" s="167"/>
      <c r="AB97" s="167"/>
      <c r="AC97" s="167"/>
    </row>
    <row r="98">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c r="AA98" s="167"/>
      <c r="AB98" s="167"/>
      <c r="AC98" s="167"/>
    </row>
    <row r="99">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c r="AA99" s="167"/>
      <c r="AB99" s="167"/>
      <c r="AC99" s="167"/>
    </row>
    <row r="100">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c r="AA100" s="167"/>
      <c r="AB100" s="167"/>
      <c r="AC100" s="167"/>
    </row>
    <row r="10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c r="AA101" s="167"/>
      <c r="AB101" s="167"/>
      <c r="AC101" s="167"/>
    </row>
    <row r="102">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c r="AA102" s="167"/>
      <c r="AB102" s="167"/>
      <c r="AC102" s="167"/>
    </row>
    <row r="103">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c r="AA103" s="167"/>
      <c r="AB103" s="167"/>
      <c r="AC103" s="167"/>
    </row>
    <row r="104">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c r="AA104" s="167"/>
      <c r="AB104" s="167"/>
      <c r="AC104" s="167"/>
    </row>
    <row r="105">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c r="AA105" s="167"/>
      <c r="AB105" s="167"/>
      <c r="AC105" s="167"/>
    </row>
    <row r="106">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c r="AA106" s="167"/>
      <c r="AB106" s="167"/>
      <c r="AC106" s="167"/>
    </row>
    <row r="107">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c r="AC107" s="167"/>
    </row>
    <row r="108">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c r="AA108" s="167"/>
      <c r="AB108" s="167"/>
      <c r="AC108" s="167"/>
    </row>
    <row r="109">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row>
    <row r="110">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c r="AA110" s="167"/>
      <c r="AB110" s="167"/>
      <c r="AC110" s="167"/>
    </row>
    <row r="11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row>
    <row r="112">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c r="AA112" s="167"/>
      <c r="AB112" s="167"/>
      <c r="AC112" s="167"/>
    </row>
    <row r="113">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c r="AA113" s="167"/>
      <c r="AB113" s="167"/>
      <c r="AC113" s="167"/>
    </row>
    <row r="114">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c r="AA114" s="167"/>
      <c r="AB114" s="167"/>
      <c r="AC114" s="167"/>
    </row>
    <row r="115">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c r="AA115" s="167"/>
      <c r="AB115" s="167"/>
      <c r="AC115" s="167"/>
    </row>
    <row r="116">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c r="AA116" s="167"/>
      <c r="AB116" s="167"/>
      <c r="AC116" s="167"/>
    </row>
    <row r="117">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c r="AA117" s="167"/>
      <c r="AB117" s="167"/>
      <c r="AC117" s="167"/>
    </row>
    <row r="118">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c r="AA118" s="167"/>
      <c r="AB118" s="167"/>
      <c r="AC118" s="167"/>
    </row>
    <row r="119">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c r="AA119" s="167"/>
      <c r="AB119" s="167"/>
      <c r="AC119" s="167"/>
    </row>
    <row r="120">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c r="AA120" s="167"/>
      <c r="AB120" s="167"/>
      <c r="AC120" s="167"/>
    </row>
    <row r="12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c r="AA121" s="167"/>
      <c r="AB121" s="167"/>
      <c r="AC121" s="167"/>
    </row>
    <row r="122">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row>
    <row r="123">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c r="AA123" s="167"/>
      <c r="AB123" s="167"/>
      <c r="AC123" s="167"/>
    </row>
    <row r="124">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c r="AA124" s="167"/>
      <c r="AB124" s="167"/>
      <c r="AC124" s="167"/>
    </row>
    <row r="125">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c r="AA125" s="167"/>
      <c r="AB125" s="167"/>
      <c r="AC125" s="167"/>
    </row>
    <row r="126">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c r="AA126" s="167"/>
      <c r="AB126" s="167"/>
      <c r="AC126" s="167"/>
    </row>
    <row r="127">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c r="AA127" s="167"/>
      <c r="AB127" s="167"/>
      <c r="AC127" s="167"/>
    </row>
    <row r="128">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c r="AA128" s="167"/>
      <c r="AB128" s="167"/>
      <c r="AC128" s="167"/>
    </row>
    <row r="129">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c r="AA129" s="167"/>
      <c r="AB129" s="167"/>
      <c r="AC129" s="167"/>
    </row>
    <row r="130">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c r="AA130" s="167"/>
      <c r="AB130" s="167"/>
      <c r="AC130" s="167"/>
    </row>
    <row r="13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c r="AA131" s="167"/>
      <c r="AB131" s="167"/>
      <c r="AC131" s="167"/>
    </row>
    <row r="132">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c r="AA132" s="167"/>
      <c r="AB132" s="167"/>
      <c r="AC132" s="167"/>
    </row>
    <row r="133">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c r="AA133" s="167"/>
      <c r="AB133" s="167"/>
      <c r="AC133" s="167"/>
    </row>
    <row r="134">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c r="AA134" s="167"/>
      <c r="AB134" s="167"/>
      <c r="AC134" s="167"/>
    </row>
    <row r="135">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c r="AA135" s="167"/>
      <c r="AB135" s="167"/>
      <c r="AC135" s="167"/>
    </row>
    <row r="136">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c r="AA136" s="167"/>
      <c r="AB136" s="167"/>
      <c r="AC136" s="167"/>
    </row>
    <row r="137">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c r="AA137" s="167"/>
      <c r="AB137" s="167"/>
      <c r="AC137" s="167"/>
    </row>
    <row r="138">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row>
    <row r="139">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c r="AA139" s="167"/>
      <c r="AB139" s="167"/>
      <c r="AC139" s="167"/>
    </row>
    <row r="140">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c r="AA140" s="167"/>
      <c r="AB140" s="167"/>
      <c r="AC140" s="167"/>
    </row>
    <row r="14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c r="AA141" s="167"/>
      <c r="AB141" s="167"/>
      <c r="AC141" s="167"/>
    </row>
    <row r="142">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c r="AA142" s="167"/>
      <c r="AB142" s="167"/>
      <c r="AC142" s="167"/>
    </row>
    <row r="143">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c r="AA143" s="167"/>
      <c r="AB143" s="167"/>
      <c r="AC143" s="167"/>
    </row>
    <row r="144">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c r="AA144" s="167"/>
      <c r="AB144" s="167"/>
      <c r="AC144" s="167"/>
    </row>
    <row r="145">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c r="AA145" s="167"/>
      <c r="AB145" s="167"/>
      <c r="AC145" s="167"/>
    </row>
    <row r="146">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c r="AA146" s="167"/>
      <c r="AB146" s="167"/>
      <c r="AC146" s="167"/>
    </row>
    <row r="147">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c r="AA147" s="167"/>
      <c r="AB147" s="167"/>
      <c r="AC147" s="167"/>
    </row>
    <row r="148">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c r="AA148" s="167"/>
      <c r="AB148" s="167"/>
      <c r="AC148" s="167"/>
    </row>
    <row r="149">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c r="AA149" s="167"/>
      <c r="AB149" s="167"/>
      <c r="AC149" s="167"/>
    </row>
    <row r="150">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c r="AA150" s="167"/>
      <c r="AB150" s="167"/>
      <c r="AC150" s="167"/>
    </row>
    <row r="15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c r="AA151" s="167"/>
      <c r="AB151" s="167"/>
      <c r="AC151" s="167"/>
    </row>
    <row r="152">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c r="AA152" s="167"/>
      <c r="AB152" s="167"/>
      <c r="AC152" s="167"/>
    </row>
    <row r="153">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c r="AA153" s="167"/>
      <c r="AB153" s="167"/>
      <c r="AC153" s="167"/>
    </row>
    <row r="154">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c r="AA154" s="167"/>
      <c r="AB154" s="167"/>
      <c r="AC154" s="167"/>
    </row>
    <row r="155">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c r="AA155" s="167"/>
      <c r="AB155" s="167"/>
      <c r="AC155" s="167"/>
    </row>
    <row r="156">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c r="AA156" s="167"/>
      <c r="AB156" s="167"/>
      <c r="AC156" s="167"/>
    </row>
    <row r="157">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c r="AA157" s="167"/>
      <c r="AB157" s="167"/>
      <c r="AC157" s="167"/>
    </row>
    <row r="158">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c r="AA158" s="167"/>
      <c r="AB158" s="167"/>
      <c r="AC158" s="167"/>
    </row>
    <row r="159">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c r="AA159" s="167"/>
      <c r="AB159" s="167"/>
      <c r="AC159" s="167"/>
    </row>
    <row r="160">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c r="AA160" s="167"/>
      <c r="AB160" s="167"/>
      <c r="AC160" s="167"/>
    </row>
    <row r="16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c r="AA161" s="167"/>
      <c r="AB161" s="167"/>
      <c r="AC161" s="167"/>
    </row>
    <row r="162">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c r="AA162" s="167"/>
      <c r="AB162" s="167"/>
      <c r="AC162" s="167"/>
    </row>
    <row r="163">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c r="AA163" s="167"/>
      <c r="AB163" s="167"/>
      <c r="AC163" s="167"/>
    </row>
    <row r="164">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c r="AA164" s="167"/>
      <c r="AB164" s="167"/>
      <c r="AC164" s="167"/>
    </row>
    <row r="165">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c r="AA165" s="167"/>
      <c r="AB165" s="167"/>
      <c r="AC165" s="167"/>
    </row>
    <row r="166">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c r="AA166" s="167"/>
      <c r="AB166" s="167"/>
      <c r="AC166" s="167"/>
    </row>
    <row r="167">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c r="AA167" s="167"/>
      <c r="AB167" s="167"/>
      <c r="AC167" s="167"/>
    </row>
    <row r="168">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c r="AA168" s="167"/>
      <c r="AB168" s="167"/>
      <c r="AC168" s="167"/>
    </row>
    <row r="169">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c r="AA169" s="167"/>
      <c r="AB169" s="167"/>
      <c r="AC169" s="167"/>
    </row>
    <row r="170">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c r="AA170" s="167"/>
      <c r="AB170" s="167"/>
      <c r="AC170" s="167"/>
    </row>
    <row r="17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c r="AA171" s="167"/>
      <c r="AB171" s="167"/>
      <c r="AC171" s="167"/>
    </row>
    <row r="172">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c r="AA172" s="167"/>
      <c r="AB172" s="167"/>
      <c r="AC172" s="167"/>
    </row>
    <row r="173">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c r="AA173" s="167"/>
      <c r="AB173" s="167"/>
      <c r="AC173" s="167"/>
    </row>
    <row r="174">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c r="AA174" s="167"/>
      <c r="AB174" s="167"/>
      <c r="AC174" s="167"/>
    </row>
    <row r="175">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c r="AA175" s="167"/>
      <c r="AB175" s="167"/>
      <c r="AC175" s="167"/>
    </row>
    <row r="176">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c r="AA176" s="167"/>
      <c r="AB176" s="167"/>
      <c r="AC176" s="167"/>
    </row>
    <row r="177">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c r="AA177" s="167"/>
      <c r="AB177" s="167"/>
      <c r="AC177" s="167"/>
    </row>
    <row r="178">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c r="AA178" s="167"/>
      <c r="AB178" s="167"/>
      <c r="AC178" s="167"/>
    </row>
    <row r="179">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c r="AA179" s="167"/>
      <c r="AB179" s="167"/>
      <c r="AC179" s="167"/>
    </row>
    <row r="180">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c r="AA180" s="167"/>
      <c r="AB180" s="167"/>
      <c r="AC180" s="167"/>
    </row>
    <row r="18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c r="AA181" s="167"/>
      <c r="AB181" s="167"/>
      <c r="AC181" s="167"/>
    </row>
    <row r="182">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c r="AA182" s="167"/>
      <c r="AB182" s="167"/>
      <c r="AC182" s="167"/>
    </row>
    <row r="183">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c r="AA183" s="167"/>
      <c r="AB183" s="167"/>
      <c r="AC183" s="167"/>
    </row>
    <row r="184">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c r="AA184" s="167"/>
      <c r="AB184" s="167"/>
      <c r="AC184" s="167"/>
    </row>
    <row r="185">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c r="AA185" s="167"/>
      <c r="AB185" s="167"/>
      <c r="AC185" s="167"/>
    </row>
    <row r="186">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c r="AA186" s="167"/>
      <c r="AB186" s="167"/>
      <c r="AC186" s="167"/>
    </row>
    <row r="187">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c r="AA187" s="167"/>
      <c r="AB187" s="167"/>
      <c r="AC187" s="167"/>
    </row>
    <row r="188">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c r="AA188" s="167"/>
      <c r="AB188" s="167"/>
      <c r="AC188" s="167"/>
    </row>
    <row r="189">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c r="AA189" s="167"/>
      <c r="AB189" s="167"/>
      <c r="AC189" s="167"/>
    </row>
    <row r="190">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c r="AA190" s="167"/>
      <c r="AB190" s="167"/>
      <c r="AC190" s="167"/>
    </row>
    <row r="19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c r="AA191" s="167"/>
      <c r="AB191" s="167"/>
      <c r="AC191" s="167"/>
    </row>
    <row r="192">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c r="AA192" s="167"/>
      <c r="AB192" s="167"/>
      <c r="AC192" s="167"/>
    </row>
    <row r="193">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c r="AA193" s="167"/>
      <c r="AB193" s="167"/>
      <c r="AC193" s="167"/>
    </row>
    <row r="194">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c r="AA194" s="167"/>
      <c r="AB194" s="167"/>
      <c r="AC194" s="167"/>
    </row>
    <row r="195">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c r="AA195" s="167"/>
      <c r="AB195" s="167"/>
      <c r="AC195" s="167"/>
    </row>
    <row r="196">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c r="AA196" s="167"/>
      <c r="AB196" s="167"/>
      <c r="AC196" s="167"/>
    </row>
    <row r="197">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c r="AA197" s="167"/>
      <c r="AB197" s="167"/>
      <c r="AC197" s="167"/>
    </row>
    <row r="198">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c r="AA198" s="167"/>
      <c r="AB198" s="167"/>
      <c r="AC198" s="167"/>
    </row>
    <row r="199">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c r="AA199" s="167"/>
      <c r="AB199" s="167"/>
      <c r="AC199" s="167"/>
    </row>
    <row r="200">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c r="AA200" s="167"/>
      <c r="AB200" s="167"/>
      <c r="AC200" s="167"/>
    </row>
    <row r="20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c r="AA201" s="167"/>
      <c r="AB201" s="167"/>
      <c r="AC201" s="167"/>
    </row>
    <row r="202">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c r="AA202" s="167"/>
      <c r="AB202" s="167"/>
      <c r="AC202" s="167"/>
    </row>
    <row r="203">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c r="AA203" s="167"/>
      <c r="AB203" s="167"/>
      <c r="AC203" s="167"/>
    </row>
    <row r="204">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c r="AA204" s="167"/>
      <c r="AB204" s="167"/>
      <c r="AC204" s="167"/>
    </row>
    <row r="205">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c r="AA205" s="167"/>
      <c r="AB205" s="167"/>
      <c r="AC205" s="167"/>
    </row>
    <row r="206">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c r="AA206" s="167"/>
      <c r="AB206" s="167"/>
      <c r="AC206" s="167"/>
    </row>
    <row r="207">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c r="AA207" s="167"/>
      <c r="AB207" s="167"/>
      <c r="AC207" s="167"/>
    </row>
    <row r="208">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c r="AA208" s="167"/>
      <c r="AB208" s="167"/>
      <c r="AC208" s="167"/>
    </row>
    <row r="209">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c r="AA209" s="167"/>
      <c r="AB209" s="167"/>
      <c r="AC209" s="167"/>
    </row>
    <row r="210">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c r="AA210" s="167"/>
      <c r="AB210" s="167"/>
      <c r="AC210" s="167"/>
    </row>
    <row r="21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c r="AA211" s="167"/>
      <c r="AB211" s="167"/>
      <c r="AC211" s="167"/>
    </row>
    <row r="212">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c r="AA212" s="167"/>
      <c r="AB212" s="167"/>
      <c r="AC212" s="167"/>
    </row>
    <row r="213">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c r="AA213" s="167"/>
      <c r="AB213" s="167"/>
      <c r="AC213" s="167"/>
    </row>
    <row r="214">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c r="AA214" s="167"/>
      <c r="AB214" s="167"/>
      <c r="AC214" s="167"/>
    </row>
    <row r="215">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c r="AA215" s="167"/>
      <c r="AB215" s="167"/>
      <c r="AC215" s="167"/>
    </row>
    <row r="216">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c r="AA216" s="167"/>
      <c r="AB216" s="167"/>
      <c r="AC216" s="167"/>
    </row>
    <row r="217">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c r="AA217" s="167"/>
      <c r="AB217" s="167"/>
      <c r="AC217" s="167"/>
    </row>
    <row r="218">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c r="AA218" s="167"/>
      <c r="AB218" s="167"/>
      <c r="AC218" s="167"/>
    </row>
    <row r="219">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c r="AA219" s="167"/>
      <c r="AB219" s="167"/>
      <c r="AC219" s="167"/>
    </row>
    <row r="220">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c r="AA220" s="167"/>
      <c r="AB220" s="167"/>
      <c r="AC220" s="167"/>
    </row>
    <row r="22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c r="AA221" s="167"/>
      <c r="AB221" s="167"/>
      <c r="AC221" s="167"/>
    </row>
    <row r="222">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c r="AA222" s="167"/>
      <c r="AB222" s="167"/>
      <c r="AC222" s="167"/>
    </row>
    <row r="223">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c r="AA223" s="167"/>
      <c r="AB223" s="167"/>
      <c r="AC223" s="167"/>
    </row>
    <row r="224">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c r="AA224" s="167"/>
      <c r="AB224" s="167"/>
      <c r="AC224" s="167"/>
    </row>
    <row r="225">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c r="AA225" s="167"/>
      <c r="AB225" s="167"/>
      <c r="AC225" s="167"/>
    </row>
    <row r="226">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c r="AA226" s="167"/>
      <c r="AB226" s="167"/>
      <c r="AC226" s="167"/>
    </row>
    <row r="227">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c r="AA227" s="167"/>
      <c r="AB227" s="167"/>
      <c r="AC227" s="167"/>
    </row>
    <row r="228">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c r="AA228" s="167"/>
      <c r="AB228" s="167"/>
      <c r="AC228" s="167"/>
    </row>
    <row r="229">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c r="AA229" s="167"/>
      <c r="AB229" s="167"/>
      <c r="AC229" s="167"/>
    </row>
    <row r="230">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c r="AA230" s="167"/>
      <c r="AB230" s="167"/>
      <c r="AC230" s="167"/>
    </row>
    <row r="23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c r="AA231" s="167"/>
      <c r="AB231" s="167"/>
      <c r="AC231" s="167"/>
    </row>
    <row r="232">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c r="AA232" s="167"/>
      <c r="AB232" s="167"/>
      <c r="AC232" s="167"/>
    </row>
    <row r="233">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c r="AA233" s="167"/>
      <c r="AB233" s="167"/>
      <c r="AC233" s="167"/>
    </row>
    <row r="234">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c r="AA234" s="167"/>
      <c r="AB234" s="167"/>
      <c r="AC234" s="167"/>
    </row>
    <row r="235">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c r="AA235" s="167"/>
      <c r="AB235" s="167"/>
      <c r="AC235" s="167"/>
    </row>
    <row r="236">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c r="AA236" s="167"/>
      <c r="AB236" s="167"/>
      <c r="AC236" s="167"/>
    </row>
    <row r="237">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c r="AA237" s="167"/>
      <c r="AB237" s="167"/>
      <c r="AC237" s="167"/>
    </row>
    <row r="238">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c r="AA238" s="167"/>
      <c r="AB238" s="167"/>
      <c r="AC238" s="167"/>
    </row>
    <row r="239">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c r="AC239" s="167"/>
    </row>
    <row r="240">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c r="AA240" s="167"/>
      <c r="AB240" s="167"/>
      <c r="AC240" s="167"/>
    </row>
    <row r="24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c r="AA241" s="167"/>
      <c r="AB241" s="167"/>
      <c r="AC241" s="167"/>
    </row>
    <row r="242">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c r="AA242" s="167"/>
      <c r="AB242" s="167"/>
      <c r="AC242" s="167"/>
    </row>
    <row r="243">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c r="AA243" s="167"/>
      <c r="AB243" s="167"/>
      <c r="AC243" s="167"/>
    </row>
    <row r="244">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c r="AA244" s="167"/>
      <c r="AB244" s="167"/>
      <c r="AC244" s="167"/>
    </row>
    <row r="245">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c r="AA245" s="167"/>
      <c r="AB245" s="167"/>
      <c r="AC245" s="167"/>
    </row>
    <row r="246">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c r="AA246" s="167"/>
      <c r="AB246" s="167"/>
      <c r="AC246" s="167"/>
    </row>
    <row r="247">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c r="AA247" s="167"/>
      <c r="AB247" s="167"/>
      <c r="AC247" s="167"/>
    </row>
    <row r="248">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c r="AA248" s="167"/>
      <c r="AB248" s="167"/>
      <c r="AC248" s="167"/>
    </row>
    <row r="249">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c r="AA249" s="167"/>
      <c r="AB249" s="167"/>
      <c r="AC249" s="167"/>
    </row>
    <row r="250">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c r="AA250" s="167"/>
      <c r="AB250" s="167"/>
      <c r="AC250" s="167"/>
    </row>
    <row r="25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c r="AA251" s="167"/>
      <c r="AB251" s="167"/>
      <c r="AC251" s="167"/>
    </row>
    <row r="252">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c r="AA252" s="167"/>
      <c r="AB252" s="167"/>
      <c r="AC252" s="167"/>
    </row>
    <row r="253">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c r="AA253" s="167"/>
      <c r="AB253" s="167"/>
      <c r="AC253" s="167"/>
    </row>
    <row r="254">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c r="AA254" s="167"/>
      <c r="AB254" s="167"/>
      <c r="AC254" s="167"/>
    </row>
    <row r="255">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c r="AA255" s="167"/>
      <c r="AB255" s="167"/>
      <c r="AC255" s="167"/>
    </row>
    <row r="256">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c r="AA256" s="167"/>
      <c r="AB256" s="167"/>
      <c r="AC256" s="167"/>
    </row>
    <row r="257">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c r="AA257" s="167"/>
      <c r="AB257" s="167"/>
      <c r="AC257" s="167"/>
    </row>
    <row r="258">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c r="AA258" s="167"/>
      <c r="AB258" s="167"/>
      <c r="AC258" s="167"/>
    </row>
    <row r="259">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c r="AA259" s="167"/>
      <c r="AB259" s="167"/>
      <c r="AC259" s="167"/>
    </row>
    <row r="260">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c r="AA260" s="167"/>
      <c r="AB260" s="167"/>
      <c r="AC260" s="167"/>
    </row>
    <row r="26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c r="AA261" s="167"/>
      <c r="AB261" s="167"/>
      <c r="AC261" s="167"/>
    </row>
    <row r="262">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c r="AA262" s="167"/>
      <c r="AB262" s="167"/>
      <c r="AC262" s="167"/>
    </row>
    <row r="263">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c r="AA263" s="167"/>
      <c r="AB263" s="167"/>
      <c r="AC263" s="167"/>
    </row>
    <row r="264">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c r="AA264" s="167"/>
      <c r="AB264" s="167"/>
      <c r="AC264" s="167"/>
    </row>
    <row r="265">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c r="AA265" s="167"/>
      <c r="AB265" s="167"/>
      <c r="AC265" s="167"/>
    </row>
    <row r="266">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c r="AA266" s="167"/>
      <c r="AB266" s="167"/>
      <c r="AC266" s="167"/>
    </row>
    <row r="267">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c r="AA267" s="167"/>
      <c r="AB267" s="167"/>
      <c r="AC267" s="167"/>
    </row>
    <row r="268">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c r="AA268" s="167"/>
      <c r="AB268" s="167"/>
      <c r="AC268" s="167"/>
    </row>
    <row r="269">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c r="AA269" s="167"/>
      <c r="AB269" s="167"/>
      <c r="AC269" s="167"/>
    </row>
    <row r="270">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c r="AA270" s="167"/>
      <c r="AB270" s="167"/>
      <c r="AC270" s="167"/>
    </row>
    <row r="27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c r="AA271" s="167"/>
      <c r="AB271" s="167"/>
      <c r="AC271" s="167"/>
    </row>
    <row r="272">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c r="AA272" s="167"/>
      <c r="AB272" s="167"/>
      <c r="AC272" s="167"/>
    </row>
    <row r="273">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c r="AA273" s="167"/>
      <c r="AB273" s="167"/>
      <c r="AC273" s="167"/>
    </row>
    <row r="274">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c r="AA274" s="167"/>
      <c r="AB274" s="167"/>
      <c r="AC274" s="167"/>
    </row>
    <row r="275">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c r="AA275" s="167"/>
      <c r="AB275" s="167"/>
      <c r="AC275" s="167"/>
    </row>
    <row r="276">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c r="AA276" s="167"/>
      <c r="AB276" s="167"/>
      <c r="AC276" s="167"/>
    </row>
    <row r="277">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c r="AA277" s="167"/>
      <c r="AB277" s="167"/>
      <c r="AC277" s="167"/>
    </row>
    <row r="278">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c r="AA278" s="167"/>
      <c r="AB278" s="167"/>
      <c r="AC278" s="167"/>
    </row>
    <row r="279">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c r="AA279" s="167"/>
      <c r="AB279" s="167"/>
      <c r="AC279" s="167"/>
    </row>
    <row r="280">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c r="AA280" s="167"/>
      <c r="AB280" s="167"/>
      <c r="AC280" s="167"/>
    </row>
    <row r="28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c r="AA281" s="167"/>
      <c r="AB281" s="167"/>
      <c r="AC281" s="167"/>
    </row>
    <row r="282">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c r="AA282" s="167"/>
      <c r="AB282" s="167"/>
      <c r="AC282" s="167"/>
    </row>
    <row r="283">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c r="AA283" s="167"/>
      <c r="AB283" s="167"/>
      <c r="AC283" s="167"/>
    </row>
    <row r="284">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c r="AA284" s="167"/>
      <c r="AB284" s="167"/>
      <c r="AC284" s="167"/>
    </row>
    <row r="285">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c r="AA285" s="167"/>
      <c r="AB285" s="167"/>
      <c r="AC285" s="167"/>
    </row>
    <row r="286">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c r="AA286" s="167"/>
      <c r="AB286" s="167"/>
      <c r="AC286" s="167"/>
    </row>
    <row r="287">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c r="AA287" s="167"/>
      <c r="AB287" s="167"/>
      <c r="AC287" s="167"/>
    </row>
    <row r="288">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c r="AA288" s="167"/>
      <c r="AB288" s="167"/>
      <c r="AC288" s="167"/>
    </row>
    <row r="289">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c r="AA289" s="167"/>
      <c r="AB289" s="167"/>
      <c r="AC289" s="167"/>
    </row>
    <row r="290">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c r="AA290" s="167"/>
      <c r="AB290" s="167"/>
      <c r="AC290" s="167"/>
    </row>
    <row r="29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c r="AA291" s="167"/>
      <c r="AB291" s="167"/>
      <c r="AC291" s="167"/>
    </row>
    <row r="292">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c r="AA292" s="167"/>
      <c r="AB292" s="167"/>
      <c r="AC292" s="167"/>
    </row>
    <row r="293">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c r="AA293" s="167"/>
      <c r="AB293" s="167"/>
      <c r="AC293" s="167"/>
    </row>
    <row r="294">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c r="AA294" s="167"/>
      <c r="AB294" s="167"/>
      <c r="AC294" s="167"/>
    </row>
    <row r="295">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c r="AA295" s="167"/>
      <c r="AB295" s="167"/>
      <c r="AC295" s="167"/>
    </row>
    <row r="296">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c r="AA296" s="167"/>
      <c r="AB296" s="167"/>
      <c r="AC296" s="167"/>
    </row>
    <row r="297">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c r="AA297" s="167"/>
      <c r="AB297" s="167"/>
      <c r="AC297" s="167"/>
    </row>
    <row r="298">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c r="AA298" s="167"/>
      <c r="AB298" s="167"/>
      <c r="AC298" s="167"/>
    </row>
    <row r="299">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c r="AA299" s="167"/>
      <c r="AB299" s="167"/>
      <c r="AC299" s="167"/>
    </row>
    <row r="300">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c r="AA300" s="167"/>
      <c r="AB300" s="167"/>
      <c r="AC300" s="167"/>
    </row>
    <row r="30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c r="AA301" s="167"/>
      <c r="AB301" s="167"/>
      <c r="AC301" s="167"/>
    </row>
    <row r="302">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c r="AA302" s="167"/>
      <c r="AB302" s="167"/>
      <c r="AC302" s="167"/>
    </row>
    <row r="303">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c r="AA303" s="167"/>
      <c r="AB303" s="167"/>
      <c r="AC303" s="167"/>
    </row>
    <row r="304">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c r="AA304" s="167"/>
      <c r="AB304" s="167"/>
      <c r="AC304" s="167"/>
    </row>
    <row r="305">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c r="AA305" s="167"/>
      <c r="AB305" s="167"/>
      <c r="AC305" s="167"/>
    </row>
    <row r="306">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c r="AA306" s="167"/>
      <c r="AB306" s="167"/>
      <c r="AC306" s="167"/>
    </row>
    <row r="307">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c r="AA307" s="167"/>
      <c r="AB307" s="167"/>
      <c r="AC307" s="167"/>
    </row>
    <row r="308">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c r="AA308" s="167"/>
      <c r="AB308" s="167"/>
      <c r="AC308" s="167"/>
    </row>
    <row r="309">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c r="AA309" s="167"/>
      <c r="AB309" s="167"/>
      <c r="AC309" s="167"/>
    </row>
    <row r="310">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c r="AA310" s="167"/>
      <c r="AB310" s="167"/>
      <c r="AC310" s="167"/>
    </row>
    <row r="31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c r="AA311" s="167"/>
      <c r="AB311" s="167"/>
      <c r="AC311" s="167"/>
    </row>
    <row r="312">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c r="AA312" s="167"/>
      <c r="AB312" s="167"/>
      <c r="AC312" s="167"/>
    </row>
    <row r="313">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c r="AA313" s="167"/>
      <c r="AB313" s="167"/>
      <c r="AC313" s="167"/>
    </row>
    <row r="314">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c r="AA314" s="167"/>
      <c r="AB314" s="167"/>
      <c r="AC314" s="167"/>
    </row>
    <row r="315">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c r="AA315" s="167"/>
      <c r="AB315" s="167"/>
      <c r="AC315" s="167"/>
    </row>
    <row r="316">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c r="AA316" s="167"/>
      <c r="AB316" s="167"/>
      <c r="AC316" s="167"/>
    </row>
    <row r="317">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c r="AA317" s="167"/>
      <c r="AB317" s="167"/>
      <c r="AC317" s="167"/>
    </row>
    <row r="318">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c r="AA318" s="167"/>
      <c r="AB318" s="167"/>
      <c r="AC318" s="167"/>
    </row>
    <row r="319">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c r="AA319" s="167"/>
      <c r="AB319" s="167"/>
      <c r="AC319" s="167"/>
    </row>
    <row r="320">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c r="AA320" s="167"/>
      <c r="AB320" s="167"/>
      <c r="AC320" s="167"/>
    </row>
    <row r="32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c r="AA321" s="167"/>
      <c r="AB321" s="167"/>
      <c r="AC321" s="167"/>
    </row>
    <row r="322">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c r="AA322" s="167"/>
      <c r="AB322" s="167"/>
      <c r="AC322" s="167"/>
    </row>
    <row r="323">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c r="AA323" s="167"/>
      <c r="AB323" s="167"/>
      <c r="AC323" s="167"/>
    </row>
    <row r="324">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c r="AA324" s="167"/>
      <c r="AB324" s="167"/>
      <c r="AC324" s="167"/>
    </row>
    <row r="325">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c r="AA325" s="167"/>
      <c r="AB325" s="167"/>
      <c r="AC325" s="167"/>
    </row>
    <row r="326">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c r="AA326" s="167"/>
      <c r="AB326" s="167"/>
      <c r="AC326" s="167"/>
    </row>
    <row r="327">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c r="AA327" s="167"/>
      <c r="AB327" s="167"/>
      <c r="AC327" s="167"/>
    </row>
    <row r="328">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c r="AA328" s="167"/>
      <c r="AB328" s="167"/>
      <c r="AC328" s="167"/>
    </row>
    <row r="329">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c r="AA329" s="167"/>
      <c r="AB329" s="167"/>
      <c r="AC329" s="167"/>
    </row>
    <row r="330">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c r="AA330" s="167"/>
      <c r="AB330" s="167"/>
      <c r="AC330" s="167"/>
    </row>
    <row r="33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c r="AA331" s="167"/>
      <c r="AB331" s="167"/>
      <c r="AC331" s="167"/>
    </row>
    <row r="332">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c r="AA332" s="167"/>
      <c r="AB332" s="167"/>
      <c r="AC332" s="167"/>
    </row>
    <row r="333">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c r="AA333" s="167"/>
      <c r="AB333" s="167"/>
      <c r="AC333" s="167"/>
    </row>
    <row r="334">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c r="AA334" s="167"/>
      <c r="AB334" s="167"/>
      <c r="AC334" s="167"/>
    </row>
    <row r="335">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c r="AA335" s="167"/>
      <c r="AB335" s="167"/>
      <c r="AC335" s="167"/>
    </row>
    <row r="336">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c r="AA336" s="167"/>
      <c r="AB336" s="167"/>
      <c r="AC336" s="167"/>
    </row>
    <row r="337">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c r="AA337" s="167"/>
      <c r="AB337" s="167"/>
      <c r="AC337" s="167"/>
    </row>
    <row r="338">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c r="AA338" s="167"/>
      <c r="AB338" s="167"/>
      <c r="AC338" s="167"/>
    </row>
    <row r="339">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c r="AA339" s="167"/>
      <c r="AB339" s="167"/>
      <c r="AC339" s="167"/>
    </row>
    <row r="340">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c r="AA340" s="167"/>
      <c r="AB340" s="167"/>
      <c r="AC340" s="167"/>
    </row>
    <row r="34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c r="AA341" s="167"/>
      <c r="AB341" s="167"/>
      <c r="AC341" s="167"/>
    </row>
    <row r="342">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c r="AA342" s="167"/>
      <c r="AB342" s="167"/>
      <c r="AC342" s="167"/>
    </row>
    <row r="343">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c r="AA343" s="167"/>
      <c r="AB343" s="167"/>
      <c r="AC343" s="167"/>
    </row>
    <row r="344">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c r="AA344" s="167"/>
      <c r="AB344" s="167"/>
      <c r="AC344" s="167"/>
    </row>
    <row r="345">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c r="AA345" s="167"/>
      <c r="AB345" s="167"/>
      <c r="AC345" s="167"/>
    </row>
    <row r="346">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c r="AA346" s="167"/>
      <c r="AB346" s="167"/>
      <c r="AC346" s="167"/>
    </row>
    <row r="347">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c r="AA347" s="167"/>
      <c r="AB347" s="167"/>
      <c r="AC347" s="167"/>
    </row>
    <row r="348">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c r="AA348" s="167"/>
      <c r="AB348" s="167"/>
      <c r="AC348" s="167"/>
    </row>
    <row r="349">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c r="AA349" s="167"/>
      <c r="AB349" s="167"/>
      <c r="AC349" s="167"/>
    </row>
    <row r="350">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c r="AA350" s="167"/>
      <c r="AB350" s="167"/>
      <c r="AC350" s="167"/>
    </row>
    <row r="35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c r="AA351" s="167"/>
      <c r="AB351" s="167"/>
      <c r="AC351" s="167"/>
    </row>
    <row r="352">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c r="AA352" s="167"/>
      <c r="AB352" s="167"/>
      <c r="AC352" s="167"/>
    </row>
    <row r="353">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c r="AA353" s="167"/>
      <c r="AB353" s="167"/>
      <c r="AC353" s="167"/>
    </row>
    <row r="354">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c r="AA354" s="167"/>
      <c r="AB354" s="167"/>
      <c r="AC354" s="167"/>
    </row>
    <row r="355">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c r="AA355" s="167"/>
      <c r="AB355" s="167"/>
      <c r="AC355" s="167"/>
    </row>
    <row r="356">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c r="AA356" s="167"/>
      <c r="AB356" s="167"/>
      <c r="AC356" s="167"/>
    </row>
    <row r="357">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c r="AA357" s="167"/>
      <c r="AB357" s="167"/>
      <c r="AC357" s="167"/>
    </row>
    <row r="358">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c r="AA358" s="167"/>
      <c r="AB358" s="167"/>
      <c r="AC358" s="167"/>
    </row>
    <row r="359">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c r="AA359" s="167"/>
      <c r="AB359" s="167"/>
      <c r="AC359" s="167"/>
    </row>
    <row r="360">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c r="AA360" s="167"/>
      <c r="AB360" s="167"/>
      <c r="AC360" s="167"/>
    </row>
    <row r="36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c r="AA361" s="167"/>
      <c r="AB361" s="167"/>
      <c r="AC361" s="167"/>
    </row>
    <row r="362">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c r="AA362" s="167"/>
      <c r="AB362" s="167"/>
      <c r="AC362" s="167"/>
    </row>
    <row r="363">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c r="AA363" s="167"/>
      <c r="AB363" s="167"/>
      <c r="AC363" s="167"/>
    </row>
    <row r="364">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c r="AA364" s="167"/>
      <c r="AB364" s="167"/>
      <c r="AC364" s="167"/>
    </row>
    <row r="365">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c r="AA365" s="167"/>
      <c r="AB365" s="167"/>
      <c r="AC365" s="167"/>
    </row>
    <row r="366">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c r="AA366" s="167"/>
      <c r="AB366" s="167"/>
      <c r="AC366" s="167"/>
    </row>
    <row r="367">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c r="AA367" s="167"/>
      <c r="AB367" s="167"/>
      <c r="AC367" s="167"/>
    </row>
    <row r="368">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c r="AA368" s="167"/>
      <c r="AB368" s="167"/>
      <c r="AC368" s="167"/>
    </row>
    <row r="369">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c r="AA369" s="167"/>
      <c r="AB369" s="167"/>
      <c r="AC369" s="167"/>
    </row>
    <row r="370">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c r="AA370" s="167"/>
      <c r="AB370" s="167"/>
      <c r="AC370" s="167"/>
    </row>
    <row r="37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c r="AA371" s="167"/>
      <c r="AB371" s="167"/>
      <c r="AC371" s="167"/>
    </row>
    <row r="372">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c r="AA372" s="167"/>
      <c r="AB372" s="167"/>
      <c r="AC372" s="167"/>
    </row>
    <row r="373">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c r="AA373" s="167"/>
      <c r="AB373" s="167"/>
      <c r="AC373" s="167"/>
    </row>
    <row r="374">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c r="AA374" s="167"/>
      <c r="AB374" s="167"/>
      <c r="AC374" s="167"/>
    </row>
    <row r="375">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c r="AA375" s="167"/>
      <c r="AB375" s="167"/>
      <c r="AC375" s="167"/>
    </row>
    <row r="376">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c r="AA376" s="167"/>
      <c r="AB376" s="167"/>
      <c r="AC376" s="167"/>
    </row>
    <row r="377">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c r="AA377" s="167"/>
      <c r="AB377" s="167"/>
      <c r="AC377" s="167"/>
    </row>
    <row r="378">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c r="AA378" s="167"/>
      <c r="AB378" s="167"/>
      <c r="AC378" s="167"/>
    </row>
    <row r="379">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c r="AA379" s="167"/>
      <c r="AB379" s="167"/>
      <c r="AC379" s="167"/>
    </row>
    <row r="380">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c r="AA380" s="167"/>
      <c r="AB380" s="167"/>
      <c r="AC380" s="167"/>
    </row>
    <row r="38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c r="AA381" s="167"/>
      <c r="AB381" s="167"/>
      <c r="AC381" s="167"/>
    </row>
    <row r="382">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c r="AA382" s="167"/>
      <c r="AB382" s="167"/>
      <c r="AC382" s="167"/>
    </row>
    <row r="383">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c r="AA383" s="167"/>
      <c r="AB383" s="167"/>
      <c r="AC383" s="167"/>
    </row>
    <row r="384">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c r="AA384" s="167"/>
      <c r="AB384" s="167"/>
      <c r="AC384" s="167"/>
    </row>
    <row r="385">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c r="AA385" s="167"/>
      <c r="AB385" s="167"/>
      <c r="AC385" s="167"/>
    </row>
    <row r="386">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c r="AA386" s="167"/>
      <c r="AB386" s="167"/>
      <c r="AC386" s="167"/>
    </row>
    <row r="387">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c r="AA387" s="167"/>
      <c r="AB387" s="167"/>
      <c r="AC387" s="167"/>
    </row>
    <row r="388">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c r="AA388" s="167"/>
      <c r="AB388" s="167"/>
      <c r="AC388" s="167"/>
    </row>
    <row r="389">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c r="AA389" s="167"/>
      <c r="AB389" s="167"/>
      <c r="AC389" s="167"/>
    </row>
    <row r="390">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c r="AA390" s="167"/>
      <c r="AB390" s="167"/>
      <c r="AC390" s="167"/>
    </row>
    <row r="39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c r="AA391" s="167"/>
      <c r="AB391" s="167"/>
      <c r="AC391" s="167"/>
    </row>
    <row r="392">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c r="AA392" s="167"/>
      <c r="AB392" s="167"/>
      <c r="AC392" s="167"/>
    </row>
    <row r="393">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c r="AA393" s="167"/>
      <c r="AB393" s="167"/>
      <c r="AC393" s="167"/>
    </row>
    <row r="394">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c r="AA394" s="167"/>
      <c r="AB394" s="167"/>
      <c r="AC394" s="167"/>
    </row>
    <row r="395">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c r="AA395" s="167"/>
      <c r="AB395" s="167"/>
      <c r="AC395" s="167"/>
    </row>
    <row r="396">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c r="AA396" s="167"/>
      <c r="AB396" s="167"/>
      <c r="AC396" s="167"/>
    </row>
    <row r="397">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c r="AA397" s="167"/>
      <c r="AB397" s="167"/>
      <c r="AC397" s="167"/>
    </row>
    <row r="398">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c r="AA398" s="167"/>
      <c r="AB398" s="167"/>
      <c r="AC398" s="167"/>
    </row>
    <row r="399">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c r="AA399" s="167"/>
      <c r="AB399" s="167"/>
      <c r="AC399" s="167"/>
    </row>
    <row r="400">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c r="AA400" s="167"/>
      <c r="AB400" s="167"/>
      <c r="AC400" s="167"/>
    </row>
    <row r="40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c r="AA401" s="167"/>
      <c r="AB401" s="167"/>
      <c r="AC401" s="167"/>
    </row>
    <row r="402">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c r="AA402" s="167"/>
      <c r="AB402" s="167"/>
      <c r="AC402" s="167"/>
    </row>
    <row r="403">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c r="AA403" s="167"/>
      <c r="AB403" s="167"/>
      <c r="AC403" s="167"/>
    </row>
    <row r="404">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c r="AA404" s="167"/>
      <c r="AB404" s="167"/>
      <c r="AC404" s="167"/>
    </row>
    <row r="405">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c r="AA405" s="167"/>
      <c r="AB405" s="167"/>
      <c r="AC405" s="167"/>
    </row>
    <row r="406">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c r="AA406" s="167"/>
      <c r="AB406" s="167"/>
      <c r="AC406" s="167"/>
    </row>
    <row r="407">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c r="AA407" s="167"/>
      <c r="AB407" s="167"/>
      <c r="AC407" s="167"/>
    </row>
    <row r="408">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c r="AA408" s="167"/>
      <c r="AB408" s="167"/>
      <c r="AC408" s="167"/>
    </row>
    <row r="409">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c r="AA409" s="167"/>
      <c r="AB409" s="167"/>
      <c r="AC409" s="167"/>
    </row>
    <row r="410">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c r="AA410" s="167"/>
      <c r="AB410" s="167"/>
      <c r="AC410" s="167"/>
    </row>
    <row r="41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c r="AA411" s="167"/>
      <c r="AB411" s="167"/>
      <c r="AC411" s="167"/>
    </row>
    <row r="412">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c r="AA412" s="167"/>
      <c r="AB412" s="167"/>
      <c r="AC412" s="167"/>
    </row>
    <row r="413">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c r="AA413" s="167"/>
      <c r="AB413" s="167"/>
      <c r="AC413" s="167"/>
    </row>
    <row r="414">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c r="AA414" s="167"/>
      <c r="AB414" s="167"/>
      <c r="AC414" s="167"/>
    </row>
    <row r="415">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c r="AA415" s="167"/>
      <c r="AB415" s="167"/>
      <c r="AC415" s="167"/>
    </row>
    <row r="416">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c r="AA416" s="167"/>
      <c r="AB416" s="167"/>
      <c r="AC416" s="167"/>
    </row>
    <row r="417">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c r="AA417" s="167"/>
      <c r="AB417" s="167"/>
      <c r="AC417" s="167"/>
    </row>
    <row r="418">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c r="AA418" s="167"/>
      <c r="AB418" s="167"/>
      <c r="AC418" s="167"/>
    </row>
    <row r="419">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c r="AA419" s="167"/>
      <c r="AB419" s="167"/>
      <c r="AC419" s="167"/>
    </row>
    <row r="420">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c r="AA420" s="167"/>
      <c r="AB420" s="167"/>
      <c r="AC420" s="167"/>
    </row>
    <row r="42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c r="AA421" s="167"/>
      <c r="AB421" s="167"/>
      <c r="AC421" s="167"/>
    </row>
    <row r="422">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c r="AA422" s="167"/>
      <c r="AB422" s="167"/>
      <c r="AC422" s="167"/>
    </row>
    <row r="423">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c r="AA423" s="167"/>
      <c r="AB423" s="167"/>
      <c r="AC423" s="167"/>
    </row>
    <row r="424">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c r="AA424" s="167"/>
      <c r="AB424" s="167"/>
      <c r="AC424" s="167"/>
    </row>
    <row r="425">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c r="AA425" s="167"/>
      <c r="AB425" s="167"/>
      <c r="AC425" s="167"/>
    </row>
    <row r="426">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c r="AA426" s="167"/>
      <c r="AB426" s="167"/>
      <c r="AC426" s="167"/>
    </row>
    <row r="427">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c r="AA427" s="167"/>
      <c r="AB427" s="167"/>
      <c r="AC427" s="167"/>
    </row>
    <row r="428">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c r="AA428" s="167"/>
      <c r="AB428" s="167"/>
      <c r="AC428" s="167"/>
    </row>
    <row r="429">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c r="AA429" s="167"/>
      <c r="AB429" s="167"/>
      <c r="AC429" s="167"/>
    </row>
    <row r="430">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c r="AA430" s="167"/>
      <c r="AB430" s="167"/>
      <c r="AC430" s="167"/>
    </row>
    <row r="43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c r="AA431" s="167"/>
      <c r="AB431" s="167"/>
      <c r="AC431" s="167"/>
    </row>
    <row r="432">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c r="AA432" s="167"/>
      <c r="AB432" s="167"/>
      <c r="AC432" s="167"/>
    </row>
    <row r="433">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c r="AA433" s="167"/>
      <c r="AB433" s="167"/>
      <c r="AC433" s="167"/>
    </row>
    <row r="434">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c r="AA434" s="167"/>
      <c r="AB434" s="167"/>
      <c r="AC434" s="167"/>
    </row>
    <row r="435">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c r="AA435" s="167"/>
      <c r="AB435" s="167"/>
      <c r="AC435" s="167"/>
    </row>
    <row r="436">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c r="AA436" s="167"/>
      <c r="AB436" s="167"/>
      <c r="AC436" s="167"/>
    </row>
    <row r="437">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c r="AA437" s="167"/>
      <c r="AB437" s="167"/>
      <c r="AC437" s="167"/>
    </row>
    <row r="438">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c r="AA438" s="167"/>
      <c r="AB438" s="167"/>
      <c r="AC438" s="167"/>
    </row>
    <row r="439">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c r="AA439" s="167"/>
      <c r="AB439" s="167"/>
      <c r="AC439" s="167"/>
    </row>
    <row r="440">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c r="AA440" s="167"/>
      <c r="AB440" s="167"/>
      <c r="AC440" s="167"/>
    </row>
    <row r="44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c r="AA441" s="167"/>
      <c r="AB441" s="167"/>
      <c r="AC441" s="167"/>
    </row>
    <row r="442">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c r="AA442" s="167"/>
      <c r="AB442" s="167"/>
      <c r="AC442" s="167"/>
    </row>
    <row r="443">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c r="AA443" s="167"/>
      <c r="AB443" s="167"/>
      <c r="AC443" s="167"/>
    </row>
    <row r="444">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c r="AA444" s="167"/>
      <c r="AB444" s="167"/>
      <c r="AC444" s="167"/>
    </row>
    <row r="445">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c r="AA445" s="167"/>
      <c r="AB445" s="167"/>
      <c r="AC445" s="167"/>
    </row>
    <row r="446">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c r="AA446" s="167"/>
      <c r="AB446" s="167"/>
      <c r="AC446" s="167"/>
    </row>
    <row r="447">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c r="AA447" s="167"/>
      <c r="AB447" s="167"/>
      <c r="AC447" s="167"/>
    </row>
    <row r="448">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c r="AA448" s="167"/>
      <c r="AB448" s="167"/>
      <c r="AC448" s="167"/>
    </row>
    <row r="449">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c r="AA449" s="167"/>
      <c r="AB449" s="167"/>
      <c r="AC449" s="167"/>
    </row>
    <row r="450">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c r="AA450" s="167"/>
      <c r="AB450" s="167"/>
      <c r="AC450" s="167"/>
    </row>
    <row r="45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c r="AA451" s="167"/>
      <c r="AB451" s="167"/>
      <c r="AC451" s="167"/>
    </row>
    <row r="452">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c r="AA452" s="167"/>
      <c r="AB452" s="167"/>
      <c r="AC452" s="167"/>
    </row>
    <row r="453">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c r="AA453" s="167"/>
      <c r="AB453" s="167"/>
      <c r="AC453" s="167"/>
    </row>
    <row r="454">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c r="AA454" s="167"/>
      <c r="AB454" s="167"/>
      <c r="AC454" s="167"/>
    </row>
    <row r="455">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c r="AA455" s="167"/>
      <c r="AB455" s="167"/>
      <c r="AC455" s="167"/>
    </row>
    <row r="456">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c r="AA456" s="167"/>
      <c r="AB456" s="167"/>
      <c r="AC456" s="167"/>
    </row>
    <row r="457">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c r="AA457" s="167"/>
      <c r="AB457" s="167"/>
      <c r="AC457" s="167"/>
    </row>
    <row r="458">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c r="AA458" s="167"/>
      <c r="AB458" s="167"/>
      <c r="AC458" s="167"/>
    </row>
    <row r="459">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c r="AA459" s="167"/>
      <c r="AB459" s="167"/>
      <c r="AC459" s="167"/>
    </row>
    <row r="460">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c r="AA460" s="167"/>
      <c r="AB460" s="167"/>
      <c r="AC460" s="167"/>
    </row>
    <row r="46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c r="AA461" s="167"/>
      <c r="AB461" s="167"/>
      <c r="AC461" s="167"/>
    </row>
    <row r="462">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c r="AA462" s="167"/>
      <c r="AB462" s="167"/>
      <c r="AC462" s="167"/>
    </row>
    <row r="463">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c r="AA463" s="167"/>
      <c r="AB463" s="167"/>
      <c r="AC463" s="167"/>
    </row>
    <row r="464">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c r="AA464" s="167"/>
      <c r="AB464" s="167"/>
      <c r="AC464" s="167"/>
    </row>
    <row r="465">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c r="AA465" s="167"/>
      <c r="AB465" s="167"/>
      <c r="AC465" s="167"/>
    </row>
    <row r="466">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c r="AA466" s="167"/>
      <c r="AB466" s="167"/>
      <c r="AC466" s="167"/>
    </row>
    <row r="467">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c r="AA467" s="167"/>
      <c r="AB467" s="167"/>
      <c r="AC467" s="167"/>
    </row>
    <row r="468">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c r="AA468" s="167"/>
      <c r="AB468" s="167"/>
      <c r="AC468" s="167"/>
    </row>
    <row r="469">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c r="AA469" s="167"/>
      <c r="AB469" s="167"/>
      <c r="AC469" s="167"/>
    </row>
    <row r="470">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c r="AA470" s="167"/>
      <c r="AB470" s="167"/>
      <c r="AC470" s="167"/>
    </row>
    <row r="47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c r="AA471" s="167"/>
      <c r="AB471" s="167"/>
      <c r="AC471" s="167"/>
    </row>
    <row r="472">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c r="AA472" s="167"/>
      <c r="AB472" s="167"/>
      <c r="AC472" s="167"/>
    </row>
    <row r="473">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c r="AA473" s="167"/>
      <c r="AB473" s="167"/>
      <c r="AC473" s="167"/>
    </row>
    <row r="474">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c r="AA474" s="167"/>
      <c r="AB474" s="167"/>
      <c r="AC474" s="167"/>
    </row>
    <row r="475">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c r="AA475" s="167"/>
      <c r="AB475" s="167"/>
      <c r="AC475" s="167"/>
    </row>
    <row r="476">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c r="AA476" s="167"/>
      <c r="AB476" s="167"/>
      <c r="AC476" s="167"/>
    </row>
    <row r="477">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c r="AA477" s="167"/>
      <c r="AB477" s="167"/>
      <c r="AC477" s="167"/>
    </row>
    <row r="478">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c r="AA478" s="167"/>
      <c r="AB478" s="167"/>
      <c r="AC478" s="167"/>
    </row>
    <row r="479">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c r="AA479" s="167"/>
      <c r="AB479" s="167"/>
      <c r="AC479" s="167"/>
    </row>
    <row r="480">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c r="AA480" s="167"/>
      <c r="AB480" s="167"/>
      <c r="AC480" s="167"/>
    </row>
    <row r="48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c r="AA481" s="167"/>
      <c r="AB481" s="167"/>
      <c r="AC481" s="167"/>
    </row>
    <row r="482">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c r="AA482" s="167"/>
      <c r="AB482" s="167"/>
      <c r="AC482" s="167"/>
    </row>
    <row r="483">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c r="AA483" s="167"/>
      <c r="AB483" s="167"/>
      <c r="AC483" s="167"/>
    </row>
    <row r="484">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c r="AA484" s="167"/>
      <c r="AB484" s="167"/>
      <c r="AC484" s="167"/>
    </row>
    <row r="485">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c r="AA485" s="167"/>
      <c r="AB485" s="167"/>
      <c r="AC485" s="167"/>
    </row>
    <row r="486">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c r="AA486" s="167"/>
      <c r="AB486" s="167"/>
      <c r="AC486" s="167"/>
    </row>
    <row r="487">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c r="AA487" s="167"/>
      <c r="AB487" s="167"/>
      <c r="AC487" s="167"/>
    </row>
    <row r="488">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c r="AA488" s="167"/>
      <c r="AB488" s="167"/>
      <c r="AC488" s="167"/>
    </row>
    <row r="489">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c r="AA489" s="167"/>
      <c r="AB489" s="167"/>
      <c r="AC489" s="167"/>
    </row>
    <row r="490">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c r="AA490" s="167"/>
      <c r="AB490" s="167"/>
      <c r="AC490" s="167"/>
    </row>
    <row r="49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c r="AA491" s="167"/>
      <c r="AB491" s="167"/>
      <c r="AC491" s="167"/>
    </row>
    <row r="492">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c r="AA492" s="167"/>
      <c r="AB492" s="167"/>
      <c r="AC492" s="167"/>
    </row>
    <row r="493">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c r="AA493" s="167"/>
      <c r="AB493" s="167"/>
      <c r="AC493" s="167"/>
    </row>
    <row r="494">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c r="AA494" s="167"/>
      <c r="AB494" s="167"/>
      <c r="AC494" s="167"/>
    </row>
    <row r="495">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c r="AA495" s="167"/>
      <c r="AB495" s="167"/>
      <c r="AC495" s="167"/>
    </row>
    <row r="496">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c r="AA496" s="167"/>
      <c r="AB496" s="167"/>
      <c r="AC496" s="167"/>
    </row>
    <row r="497">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c r="AA497" s="167"/>
      <c r="AB497" s="167"/>
      <c r="AC497" s="167"/>
    </row>
    <row r="498">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c r="AA498" s="167"/>
      <c r="AB498" s="167"/>
      <c r="AC498" s="167"/>
    </row>
    <row r="499">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c r="AA499" s="167"/>
      <c r="AB499" s="167"/>
      <c r="AC499" s="167"/>
    </row>
    <row r="500">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c r="AA500" s="167"/>
      <c r="AB500" s="167"/>
      <c r="AC500" s="167"/>
    </row>
    <row r="50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c r="AA501" s="167"/>
      <c r="AB501" s="167"/>
      <c r="AC501" s="167"/>
    </row>
    <row r="502">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c r="AA502" s="167"/>
      <c r="AB502" s="167"/>
      <c r="AC502" s="167"/>
    </row>
    <row r="503">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c r="AA503" s="167"/>
      <c r="AB503" s="167"/>
      <c r="AC503" s="167"/>
    </row>
    <row r="504">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c r="AA504" s="167"/>
      <c r="AB504" s="167"/>
      <c r="AC504" s="167"/>
    </row>
    <row r="505">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c r="AA505" s="167"/>
      <c r="AB505" s="167"/>
      <c r="AC505" s="167"/>
    </row>
    <row r="506">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c r="AA506" s="167"/>
      <c r="AB506" s="167"/>
      <c r="AC506" s="167"/>
    </row>
    <row r="507">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c r="AA507" s="167"/>
      <c r="AB507" s="167"/>
      <c r="AC507" s="167"/>
    </row>
    <row r="508">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c r="AA508" s="167"/>
      <c r="AB508" s="167"/>
      <c r="AC508" s="167"/>
    </row>
    <row r="509">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c r="AA509" s="167"/>
      <c r="AB509" s="167"/>
      <c r="AC509" s="167"/>
    </row>
    <row r="510">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c r="AA510" s="167"/>
      <c r="AB510" s="167"/>
      <c r="AC510" s="167"/>
    </row>
    <row r="51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c r="AA511" s="167"/>
      <c r="AB511" s="167"/>
      <c r="AC511" s="167"/>
    </row>
    <row r="512">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c r="AA512" s="167"/>
      <c r="AB512" s="167"/>
      <c r="AC512" s="167"/>
    </row>
    <row r="513">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c r="AA513" s="167"/>
      <c r="AB513" s="167"/>
      <c r="AC513" s="167"/>
    </row>
    <row r="514">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c r="AA514" s="167"/>
      <c r="AB514" s="167"/>
      <c r="AC514" s="167"/>
    </row>
    <row r="515">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c r="AA515" s="167"/>
      <c r="AB515" s="167"/>
      <c r="AC515" s="167"/>
    </row>
    <row r="516">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c r="AA516" s="167"/>
      <c r="AB516" s="167"/>
      <c r="AC516" s="167"/>
    </row>
    <row r="517">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c r="AA517" s="167"/>
      <c r="AB517" s="167"/>
      <c r="AC517" s="167"/>
    </row>
    <row r="518">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c r="AA518" s="167"/>
      <c r="AB518" s="167"/>
      <c r="AC518" s="167"/>
    </row>
    <row r="519">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c r="AA519" s="167"/>
      <c r="AB519" s="167"/>
      <c r="AC519" s="167"/>
    </row>
    <row r="520">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c r="AA520" s="167"/>
      <c r="AB520" s="167"/>
      <c r="AC520" s="167"/>
    </row>
    <row r="52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c r="AA521" s="167"/>
      <c r="AB521" s="167"/>
      <c r="AC521" s="167"/>
    </row>
    <row r="522">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c r="AA522" s="167"/>
      <c r="AB522" s="167"/>
      <c r="AC522" s="167"/>
    </row>
    <row r="523">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c r="AA523" s="167"/>
      <c r="AB523" s="167"/>
      <c r="AC523" s="167"/>
    </row>
    <row r="524">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c r="AA524" s="167"/>
      <c r="AB524" s="167"/>
      <c r="AC524" s="167"/>
    </row>
    <row r="525">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c r="AA525" s="167"/>
      <c r="AB525" s="167"/>
      <c r="AC525" s="167"/>
    </row>
    <row r="526">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c r="AA526" s="167"/>
      <c r="AB526" s="167"/>
      <c r="AC526" s="167"/>
    </row>
    <row r="527">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c r="AA527" s="167"/>
      <c r="AB527" s="167"/>
      <c r="AC527" s="167"/>
    </row>
    <row r="528">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c r="AA528" s="167"/>
      <c r="AB528" s="167"/>
      <c r="AC528" s="167"/>
    </row>
    <row r="529">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c r="AA529" s="167"/>
      <c r="AB529" s="167"/>
      <c r="AC529" s="167"/>
    </row>
    <row r="530">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c r="AA530" s="167"/>
      <c r="AB530" s="167"/>
      <c r="AC530" s="167"/>
    </row>
    <row r="53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c r="AA531" s="167"/>
      <c r="AB531" s="167"/>
      <c r="AC531" s="167"/>
    </row>
    <row r="532">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c r="AA532" s="167"/>
      <c r="AB532" s="167"/>
      <c r="AC532" s="167"/>
    </row>
    <row r="533">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c r="AA533" s="167"/>
      <c r="AB533" s="167"/>
      <c r="AC533" s="167"/>
    </row>
    <row r="534">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c r="AA534" s="167"/>
      <c r="AB534" s="167"/>
      <c r="AC534" s="167"/>
    </row>
    <row r="535">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c r="AA535" s="167"/>
      <c r="AB535" s="167"/>
      <c r="AC535" s="167"/>
    </row>
    <row r="536">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c r="AA536" s="167"/>
      <c r="AB536" s="167"/>
      <c r="AC536" s="167"/>
    </row>
    <row r="537">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c r="AA537" s="167"/>
      <c r="AB537" s="167"/>
      <c r="AC537" s="167"/>
    </row>
    <row r="538">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c r="AA538" s="167"/>
      <c r="AB538" s="167"/>
      <c r="AC538" s="167"/>
    </row>
    <row r="539">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c r="AA539" s="167"/>
      <c r="AB539" s="167"/>
      <c r="AC539" s="167"/>
    </row>
    <row r="540">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c r="AA540" s="167"/>
      <c r="AB540" s="167"/>
      <c r="AC540" s="167"/>
    </row>
    <row r="54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c r="AA541" s="167"/>
      <c r="AB541" s="167"/>
      <c r="AC541" s="167"/>
    </row>
    <row r="542">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c r="AA542" s="167"/>
      <c r="AB542" s="167"/>
      <c r="AC542" s="167"/>
    </row>
    <row r="543">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c r="AA543" s="167"/>
      <c r="AB543" s="167"/>
      <c r="AC543" s="167"/>
    </row>
    <row r="544">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c r="AA544" s="167"/>
      <c r="AB544" s="167"/>
      <c r="AC544" s="167"/>
    </row>
    <row r="545">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c r="AA545" s="167"/>
      <c r="AB545" s="167"/>
      <c r="AC545" s="167"/>
    </row>
    <row r="546">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c r="AA546" s="167"/>
      <c r="AB546" s="167"/>
      <c r="AC546" s="167"/>
    </row>
    <row r="547">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c r="AA547" s="167"/>
      <c r="AB547" s="167"/>
      <c r="AC547" s="167"/>
    </row>
    <row r="548">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c r="AA548" s="167"/>
      <c r="AB548" s="167"/>
      <c r="AC548" s="167"/>
    </row>
    <row r="549">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c r="AA549" s="167"/>
      <c r="AB549" s="167"/>
      <c r="AC549" s="167"/>
    </row>
    <row r="550">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c r="AA550" s="167"/>
      <c r="AB550" s="167"/>
      <c r="AC550" s="167"/>
    </row>
    <row r="55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c r="AA551" s="167"/>
      <c r="AB551" s="167"/>
      <c r="AC551" s="167"/>
    </row>
    <row r="552">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c r="AA552" s="167"/>
      <c r="AB552" s="167"/>
      <c r="AC552" s="167"/>
    </row>
    <row r="553">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c r="AA553" s="167"/>
      <c r="AB553" s="167"/>
      <c r="AC553" s="167"/>
    </row>
    <row r="554">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c r="AA554" s="167"/>
      <c r="AB554" s="167"/>
      <c r="AC554" s="167"/>
    </row>
    <row r="555">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c r="AA555" s="167"/>
      <c r="AB555" s="167"/>
      <c r="AC555" s="167"/>
    </row>
    <row r="556">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c r="AA556" s="167"/>
      <c r="AB556" s="167"/>
      <c r="AC556" s="167"/>
    </row>
    <row r="557">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c r="AA557" s="167"/>
      <c r="AB557" s="167"/>
      <c r="AC557" s="167"/>
    </row>
    <row r="558">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c r="AA558" s="167"/>
      <c r="AB558" s="167"/>
      <c r="AC558" s="167"/>
    </row>
    <row r="559">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c r="AA559" s="167"/>
      <c r="AB559" s="167"/>
      <c r="AC559" s="167"/>
    </row>
    <row r="560">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c r="AA560" s="167"/>
      <c r="AB560" s="167"/>
      <c r="AC560" s="167"/>
    </row>
    <row r="56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c r="AA561" s="167"/>
      <c r="AB561" s="167"/>
      <c r="AC561" s="167"/>
    </row>
    <row r="562">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c r="AA562" s="167"/>
      <c r="AB562" s="167"/>
      <c r="AC562" s="167"/>
    </row>
    <row r="563">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c r="AA563" s="167"/>
      <c r="AB563" s="167"/>
      <c r="AC563" s="167"/>
    </row>
    <row r="564">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c r="AA564" s="167"/>
      <c r="AB564" s="167"/>
      <c r="AC564" s="167"/>
    </row>
    <row r="565">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c r="AA565" s="167"/>
      <c r="AB565" s="167"/>
      <c r="AC565" s="167"/>
    </row>
    <row r="566">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c r="AA566" s="167"/>
      <c r="AB566" s="167"/>
      <c r="AC566" s="167"/>
    </row>
    <row r="567">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c r="AA567" s="167"/>
      <c r="AB567" s="167"/>
      <c r="AC567" s="167"/>
    </row>
    <row r="568">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c r="AA568" s="167"/>
      <c r="AB568" s="167"/>
      <c r="AC568" s="167"/>
    </row>
    <row r="569">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c r="AA569" s="167"/>
      <c r="AB569" s="167"/>
      <c r="AC569" s="167"/>
    </row>
    <row r="570">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c r="AA570" s="167"/>
      <c r="AB570" s="167"/>
      <c r="AC570" s="167"/>
    </row>
    <row r="57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c r="AA571" s="167"/>
      <c r="AB571" s="167"/>
      <c r="AC571" s="167"/>
    </row>
    <row r="572">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c r="AA572" s="167"/>
      <c r="AB572" s="167"/>
      <c r="AC572" s="167"/>
    </row>
    <row r="573">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c r="AA573" s="167"/>
      <c r="AB573" s="167"/>
      <c r="AC573" s="167"/>
    </row>
    <row r="574">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c r="AA574" s="167"/>
      <c r="AB574" s="167"/>
      <c r="AC574" s="167"/>
    </row>
    <row r="575">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c r="AA575" s="167"/>
      <c r="AB575" s="167"/>
      <c r="AC575" s="167"/>
    </row>
    <row r="576">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c r="AA576" s="167"/>
      <c r="AB576" s="167"/>
      <c r="AC576" s="167"/>
    </row>
    <row r="577">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c r="AA577" s="167"/>
      <c r="AB577" s="167"/>
      <c r="AC577" s="167"/>
    </row>
    <row r="578">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c r="AA578" s="167"/>
      <c r="AB578" s="167"/>
      <c r="AC578" s="167"/>
    </row>
    <row r="579">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c r="AA579" s="167"/>
      <c r="AB579" s="167"/>
      <c r="AC579" s="167"/>
    </row>
    <row r="580">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c r="AA580" s="167"/>
      <c r="AB580" s="167"/>
      <c r="AC580" s="167"/>
    </row>
    <row r="58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c r="AA581" s="167"/>
      <c r="AB581" s="167"/>
      <c r="AC581" s="167"/>
    </row>
    <row r="582">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c r="AA582" s="167"/>
      <c r="AB582" s="167"/>
      <c r="AC582" s="167"/>
    </row>
    <row r="583">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c r="AA583" s="167"/>
      <c r="AB583" s="167"/>
      <c r="AC583" s="167"/>
    </row>
    <row r="584">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c r="AA584" s="167"/>
      <c r="AB584" s="167"/>
      <c r="AC584" s="167"/>
    </row>
    <row r="585">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c r="AA585" s="167"/>
      <c r="AB585" s="167"/>
      <c r="AC585" s="167"/>
    </row>
    <row r="586">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c r="AA586" s="167"/>
      <c r="AB586" s="167"/>
      <c r="AC586" s="167"/>
    </row>
    <row r="587">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c r="AA587" s="167"/>
      <c r="AB587" s="167"/>
      <c r="AC587" s="167"/>
    </row>
    <row r="588">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c r="AA588" s="167"/>
      <c r="AB588" s="167"/>
      <c r="AC588" s="167"/>
    </row>
    <row r="589">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c r="AA589" s="167"/>
      <c r="AB589" s="167"/>
      <c r="AC589" s="167"/>
    </row>
    <row r="590">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c r="AA590" s="167"/>
      <c r="AB590" s="167"/>
      <c r="AC590" s="167"/>
    </row>
    <row r="59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c r="AA591" s="167"/>
      <c r="AB591" s="167"/>
      <c r="AC591" s="167"/>
    </row>
    <row r="592">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c r="AA592" s="167"/>
      <c r="AB592" s="167"/>
      <c r="AC592" s="167"/>
    </row>
    <row r="593">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c r="AA593" s="167"/>
      <c r="AB593" s="167"/>
      <c r="AC593" s="167"/>
    </row>
    <row r="594">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c r="AA594" s="167"/>
      <c r="AB594" s="167"/>
      <c r="AC594" s="167"/>
    </row>
    <row r="595">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c r="AA595" s="167"/>
      <c r="AB595" s="167"/>
      <c r="AC595" s="167"/>
    </row>
    <row r="596">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c r="AA596" s="167"/>
      <c r="AB596" s="167"/>
      <c r="AC596" s="167"/>
    </row>
    <row r="597">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c r="AA597" s="167"/>
      <c r="AB597" s="167"/>
      <c r="AC597" s="167"/>
    </row>
    <row r="598">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c r="AA598" s="167"/>
      <c r="AB598" s="167"/>
      <c r="AC598" s="167"/>
    </row>
    <row r="599">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c r="AA599" s="167"/>
      <c r="AB599" s="167"/>
      <c r="AC599" s="167"/>
    </row>
    <row r="600">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c r="AA600" s="167"/>
      <c r="AB600" s="167"/>
      <c r="AC600" s="167"/>
    </row>
    <row r="60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c r="AA601" s="167"/>
      <c r="AB601" s="167"/>
      <c r="AC601" s="167"/>
    </row>
    <row r="602">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c r="AA602" s="167"/>
      <c r="AB602" s="167"/>
      <c r="AC602" s="167"/>
    </row>
    <row r="603">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c r="AA603" s="167"/>
      <c r="AB603" s="167"/>
      <c r="AC603" s="167"/>
    </row>
    <row r="604">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c r="AA604" s="167"/>
      <c r="AB604" s="167"/>
      <c r="AC604" s="167"/>
    </row>
    <row r="605">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c r="AA605" s="167"/>
      <c r="AB605" s="167"/>
      <c r="AC605" s="167"/>
    </row>
    <row r="606">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c r="AA606" s="167"/>
      <c r="AB606" s="167"/>
      <c r="AC606" s="167"/>
    </row>
    <row r="607">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c r="AA607" s="167"/>
      <c r="AB607" s="167"/>
      <c r="AC607" s="167"/>
    </row>
    <row r="608">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c r="AA608" s="167"/>
      <c r="AB608" s="167"/>
      <c r="AC608" s="167"/>
    </row>
    <row r="609">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c r="AA609" s="167"/>
      <c r="AB609" s="167"/>
      <c r="AC609" s="167"/>
    </row>
    <row r="610">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c r="AA610" s="167"/>
      <c r="AB610" s="167"/>
      <c r="AC610" s="167"/>
    </row>
    <row r="61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c r="AA611" s="167"/>
      <c r="AB611" s="167"/>
      <c r="AC611" s="167"/>
    </row>
    <row r="612">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c r="AA612" s="167"/>
      <c r="AB612" s="167"/>
      <c r="AC612" s="167"/>
    </row>
    <row r="613">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c r="AA613" s="167"/>
      <c r="AB613" s="167"/>
      <c r="AC613" s="167"/>
    </row>
    <row r="614">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c r="AA614" s="167"/>
      <c r="AB614" s="167"/>
      <c r="AC614" s="167"/>
    </row>
    <row r="615">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c r="AA615" s="167"/>
      <c r="AB615" s="167"/>
      <c r="AC615" s="167"/>
    </row>
    <row r="616">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c r="AA616" s="167"/>
      <c r="AB616" s="167"/>
      <c r="AC616" s="167"/>
    </row>
    <row r="617">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c r="AA617" s="167"/>
      <c r="AB617" s="167"/>
      <c r="AC617" s="167"/>
    </row>
    <row r="618">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c r="AA618" s="167"/>
      <c r="AB618" s="167"/>
      <c r="AC618" s="167"/>
    </row>
    <row r="619">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c r="AA619" s="167"/>
      <c r="AB619" s="167"/>
      <c r="AC619" s="167"/>
    </row>
    <row r="620">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c r="AA620" s="167"/>
      <c r="AB620" s="167"/>
      <c r="AC620" s="167"/>
    </row>
    <row r="62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c r="AA621" s="167"/>
      <c r="AB621" s="167"/>
      <c r="AC621" s="167"/>
    </row>
    <row r="622">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c r="AA622" s="167"/>
      <c r="AB622" s="167"/>
      <c r="AC622" s="167"/>
    </row>
    <row r="623">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c r="AA623" s="167"/>
      <c r="AB623" s="167"/>
      <c r="AC623" s="167"/>
    </row>
    <row r="624">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c r="AA624" s="167"/>
      <c r="AB624" s="167"/>
      <c r="AC624" s="167"/>
    </row>
    <row r="625">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c r="AA625" s="167"/>
      <c r="AB625" s="167"/>
      <c r="AC625" s="167"/>
    </row>
    <row r="626">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c r="AA626" s="167"/>
      <c r="AB626" s="167"/>
      <c r="AC626" s="167"/>
    </row>
    <row r="627">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c r="AA627" s="167"/>
      <c r="AB627" s="167"/>
      <c r="AC627" s="167"/>
    </row>
    <row r="628">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c r="AA628" s="167"/>
      <c r="AB628" s="167"/>
      <c r="AC628" s="167"/>
    </row>
    <row r="629">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c r="AA629" s="167"/>
      <c r="AB629" s="167"/>
      <c r="AC629" s="167"/>
    </row>
    <row r="630">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c r="AA630" s="167"/>
      <c r="AB630" s="167"/>
      <c r="AC630" s="167"/>
    </row>
    <row r="63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c r="AA631" s="167"/>
      <c r="AB631" s="167"/>
      <c r="AC631" s="167"/>
    </row>
    <row r="632">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c r="AA632" s="167"/>
      <c r="AB632" s="167"/>
      <c r="AC632" s="167"/>
    </row>
    <row r="633">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c r="AA633" s="167"/>
      <c r="AB633" s="167"/>
      <c r="AC633" s="167"/>
    </row>
    <row r="634">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c r="AA634" s="167"/>
      <c r="AB634" s="167"/>
      <c r="AC634" s="167"/>
    </row>
    <row r="635">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c r="AA635" s="167"/>
      <c r="AB635" s="167"/>
      <c r="AC635" s="167"/>
    </row>
    <row r="636">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c r="AA636" s="167"/>
      <c r="AB636" s="167"/>
      <c r="AC636" s="167"/>
    </row>
    <row r="637">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c r="AA637" s="167"/>
      <c r="AB637" s="167"/>
      <c r="AC637" s="167"/>
    </row>
    <row r="638">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c r="AA638" s="167"/>
      <c r="AB638" s="167"/>
      <c r="AC638" s="167"/>
    </row>
    <row r="639">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c r="AA639" s="167"/>
      <c r="AB639" s="167"/>
      <c r="AC639" s="167"/>
    </row>
    <row r="640">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c r="AA640" s="167"/>
      <c r="AB640" s="167"/>
      <c r="AC640" s="167"/>
    </row>
    <row r="64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c r="AA641" s="167"/>
      <c r="AB641" s="167"/>
      <c r="AC641" s="167"/>
    </row>
    <row r="642">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c r="AA642" s="167"/>
      <c r="AB642" s="167"/>
      <c r="AC642" s="167"/>
    </row>
    <row r="643">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c r="AA643" s="167"/>
      <c r="AB643" s="167"/>
      <c r="AC643" s="167"/>
    </row>
    <row r="644">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c r="AA644" s="167"/>
      <c r="AB644" s="167"/>
      <c r="AC644" s="167"/>
    </row>
    <row r="645">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c r="AA645" s="167"/>
      <c r="AB645" s="167"/>
      <c r="AC645" s="167"/>
    </row>
    <row r="646">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c r="AA646" s="167"/>
      <c r="AB646" s="167"/>
      <c r="AC646" s="167"/>
    </row>
    <row r="647">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c r="AA647" s="167"/>
      <c r="AB647" s="167"/>
      <c r="AC647" s="167"/>
    </row>
    <row r="648">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c r="AA648" s="167"/>
      <c r="AB648" s="167"/>
      <c r="AC648" s="167"/>
    </row>
    <row r="649">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c r="AA649" s="167"/>
      <c r="AB649" s="167"/>
      <c r="AC649" s="167"/>
    </row>
    <row r="650">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c r="AA650" s="167"/>
      <c r="AB650" s="167"/>
      <c r="AC650" s="167"/>
    </row>
    <row r="65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c r="AA651" s="167"/>
      <c r="AB651" s="167"/>
      <c r="AC651" s="167"/>
    </row>
    <row r="652">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c r="AA652" s="167"/>
      <c r="AB652" s="167"/>
      <c r="AC652" s="167"/>
    </row>
    <row r="653">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c r="AA653" s="167"/>
      <c r="AB653" s="167"/>
      <c r="AC653" s="167"/>
    </row>
    <row r="654">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c r="AA654" s="167"/>
      <c r="AB654" s="167"/>
      <c r="AC654" s="167"/>
    </row>
    <row r="655">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c r="AA655" s="167"/>
      <c r="AB655" s="167"/>
      <c r="AC655" s="167"/>
    </row>
    <row r="656">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c r="AA656" s="167"/>
      <c r="AB656" s="167"/>
      <c r="AC656" s="167"/>
    </row>
    <row r="657">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c r="AA657" s="167"/>
      <c r="AB657" s="167"/>
      <c r="AC657" s="167"/>
    </row>
    <row r="658">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c r="AA658" s="167"/>
      <c r="AB658" s="167"/>
      <c r="AC658" s="167"/>
    </row>
    <row r="659">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c r="AA659" s="167"/>
      <c r="AB659" s="167"/>
      <c r="AC659" s="167"/>
    </row>
    <row r="660">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c r="AA660" s="167"/>
      <c r="AB660" s="167"/>
      <c r="AC660" s="167"/>
    </row>
    <row r="66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c r="AA661" s="167"/>
      <c r="AB661" s="167"/>
      <c r="AC661" s="167"/>
    </row>
    <row r="662">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c r="AA662" s="167"/>
      <c r="AB662" s="167"/>
      <c r="AC662" s="167"/>
    </row>
    <row r="663">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c r="AA663" s="167"/>
      <c r="AB663" s="167"/>
      <c r="AC663" s="167"/>
    </row>
    <row r="664">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c r="AA664" s="167"/>
      <c r="AB664" s="167"/>
      <c r="AC664" s="167"/>
    </row>
    <row r="665">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c r="AA665" s="167"/>
      <c r="AB665" s="167"/>
      <c r="AC665" s="167"/>
    </row>
    <row r="666">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c r="AA666" s="167"/>
      <c r="AB666" s="167"/>
      <c r="AC666" s="167"/>
    </row>
    <row r="667">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c r="AA667" s="167"/>
      <c r="AB667" s="167"/>
      <c r="AC667" s="167"/>
    </row>
    <row r="668">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c r="AA668" s="167"/>
      <c r="AB668" s="167"/>
      <c r="AC668" s="167"/>
    </row>
    <row r="669">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c r="AA669" s="167"/>
      <c r="AB669" s="167"/>
      <c r="AC669" s="167"/>
    </row>
    <row r="670">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c r="AA670" s="167"/>
      <c r="AB670" s="167"/>
      <c r="AC670" s="167"/>
    </row>
    <row r="67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c r="AA671" s="167"/>
      <c r="AB671" s="167"/>
      <c r="AC671" s="167"/>
    </row>
    <row r="672">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c r="AA672" s="167"/>
      <c r="AB672" s="167"/>
      <c r="AC672" s="167"/>
    </row>
    <row r="673">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c r="AA673" s="167"/>
      <c r="AB673" s="167"/>
      <c r="AC673" s="167"/>
    </row>
    <row r="674">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c r="AA674" s="167"/>
      <c r="AB674" s="167"/>
      <c r="AC674" s="167"/>
    </row>
    <row r="675">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c r="AA675" s="167"/>
      <c r="AB675" s="167"/>
      <c r="AC675" s="167"/>
    </row>
    <row r="676">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c r="AA676" s="167"/>
      <c r="AB676" s="167"/>
      <c r="AC676" s="167"/>
    </row>
    <row r="677">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c r="AA677" s="167"/>
      <c r="AB677" s="167"/>
      <c r="AC677" s="167"/>
    </row>
    <row r="678">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c r="AA678" s="167"/>
      <c r="AB678" s="167"/>
      <c r="AC678" s="167"/>
    </row>
    <row r="679">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c r="AA679" s="167"/>
      <c r="AB679" s="167"/>
      <c r="AC679" s="167"/>
    </row>
    <row r="680">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c r="AA680" s="167"/>
      <c r="AB680" s="167"/>
      <c r="AC680" s="167"/>
    </row>
    <row r="68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c r="AA681" s="167"/>
      <c r="AB681" s="167"/>
      <c r="AC681" s="167"/>
    </row>
    <row r="682">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c r="AA682" s="167"/>
      <c r="AB682" s="167"/>
      <c r="AC682" s="167"/>
    </row>
    <row r="683">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c r="AA683" s="167"/>
      <c r="AB683" s="167"/>
      <c r="AC683" s="167"/>
    </row>
    <row r="684">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c r="AA684" s="167"/>
      <c r="AB684" s="167"/>
      <c r="AC684" s="167"/>
    </row>
    <row r="685">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c r="AA685" s="167"/>
      <c r="AB685" s="167"/>
      <c r="AC685" s="167"/>
    </row>
    <row r="686">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c r="AA686" s="167"/>
      <c r="AB686" s="167"/>
      <c r="AC686" s="167"/>
    </row>
    <row r="687">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c r="AA687" s="167"/>
      <c r="AB687" s="167"/>
      <c r="AC687" s="167"/>
    </row>
    <row r="688">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c r="AA688" s="167"/>
      <c r="AB688" s="167"/>
      <c r="AC688" s="167"/>
    </row>
    <row r="689">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c r="AA689" s="167"/>
      <c r="AB689" s="167"/>
      <c r="AC689" s="167"/>
    </row>
    <row r="690">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c r="AA690" s="167"/>
      <c r="AB690" s="167"/>
      <c r="AC690" s="167"/>
    </row>
    <row r="69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c r="AA691" s="167"/>
      <c r="AB691" s="167"/>
      <c r="AC691" s="167"/>
    </row>
    <row r="692">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c r="AA692" s="167"/>
      <c r="AB692" s="167"/>
      <c r="AC692" s="167"/>
    </row>
    <row r="693">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c r="AA693" s="167"/>
      <c r="AB693" s="167"/>
      <c r="AC693" s="167"/>
    </row>
    <row r="694">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c r="AA694" s="167"/>
      <c r="AB694" s="167"/>
      <c r="AC694" s="167"/>
    </row>
    <row r="695">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c r="AA695" s="167"/>
      <c r="AB695" s="167"/>
      <c r="AC695" s="167"/>
    </row>
    <row r="696">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c r="AA696" s="167"/>
      <c r="AB696" s="167"/>
      <c r="AC696" s="167"/>
    </row>
    <row r="697">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c r="AA697" s="167"/>
      <c r="AB697" s="167"/>
      <c r="AC697" s="167"/>
    </row>
    <row r="698">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c r="AA698" s="167"/>
      <c r="AB698" s="167"/>
      <c r="AC698" s="167"/>
    </row>
    <row r="699">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c r="AA699" s="167"/>
      <c r="AB699" s="167"/>
      <c r="AC699" s="167"/>
    </row>
    <row r="700">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c r="AA700" s="167"/>
      <c r="AB700" s="167"/>
      <c r="AC700" s="167"/>
    </row>
    <row r="70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c r="AA701" s="167"/>
      <c r="AB701" s="167"/>
      <c r="AC701" s="167"/>
    </row>
    <row r="702">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c r="AA702" s="167"/>
      <c r="AB702" s="167"/>
      <c r="AC702" s="167"/>
    </row>
    <row r="703">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c r="AA703" s="167"/>
      <c r="AB703" s="167"/>
      <c r="AC703" s="167"/>
    </row>
    <row r="704">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c r="AA704" s="167"/>
      <c r="AB704" s="167"/>
      <c r="AC704" s="167"/>
    </row>
    <row r="705">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c r="AA705" s="167"/>
      <c r="AB705" s="167"/>
      <c r="AC705" s="167"/>
    </row>
    <row r="706">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c r="AA706" s="167"/>
      <c r="AB706" s="167"/>
      <c r="AC706" s="167"/>
    </row>
    <row r="707">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c r="AA707" s="167"/>
      <c r="AB707" s="167"/>
      <c r="AC707" s="167"/>
    </row>
    <row r="708">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c r="AA708" s="167"/>
      <c r="AB708" s="167"/>
      <c r="AC708" s="167"/>
    </row>
    <row r="709">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c r="AA709" s="167"/>
      <c r="AB709" s="167"/>
      <c r="AC709" s="167"/>
    </row>
    <row r="710">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c r="AA710" s="167"/>
      <c r="AB710" s="167"/>
      <c r="AC710" s="167"/>
    </row>
    <row r="71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c r="AA711" s="167"/>
      <c r="AB711" s="167"/>
      <c r="AC711" s="167"/>
    </row>
    <row r="712">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c r="AA712" s="167"/>
      <c r="AB712" s="167"/>
      <c r="AC712" s="167"/>
    </row>
    <row r="713">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c r="AA713" s="167"/>
      <c r="AB713" s="167"/>
      <c r="AC713" s="167"/>
    </row>
    <row r="714">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c r="AA714" s="167"/>
      <c r="AB714" s="167"/>
      <c r="AC714" s="167"/>
    </row>
    <row r="715">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c r="AA715" s="167"/>
      <c r="AB715" s="167"/>
      <c r="AC715" s="167"/>
    </row>
    <row r="716">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c r="AA716" s="167"/>
      <c r="AB716" s="167"/>
      <c r="AC716" s="167"/>
    </row>
    <row r="717">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c r="AA717" s="167"/>
      <c r="AB717" s="167"/>
      <c r="AC717" s="167"/>
    </row>
    <row r="718">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c r="AA718" s="167"/>
      <c r="AB718" s="167"/>
      <c r="AC718" s="167"/>
    </row>
    <row r="719">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c r="AA719" s="167"/>
      <c r="AB719" s="167"/>
      <c r="AC719" s="167"/>
    </row>
    <row r="720">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c r="AA720" s="167"/>
      <c r="AB720" s="167"/>
      <c r="AC720" s="167"/>
    </row>
    <row r="72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c r="AA721" s="167"/>
      <c r="AB721" s="167"/>
      <c r="AC721" s="167"/>
    </row>
    <row r="722">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c r="AA722" s="167"/>
      <c r="AB722" s="167"/>
      <c r="AC722" s="167"/>
    </row>
    <row r="723">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c r="AA723" s="167"/>
      <c r="AB723" s="167"/>
      <c r="AC723" s="167"/>
    </row>
    <row r="724">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c r="AA724" s="167"/>
      <c r="AB724" s="167"/>
      <c r="AC724" s="167"/>
    </row>
    <row r="725">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c r="AA725" s="167"/>
      <c r="AB725" s="167"/>
      <c r="AC725" s="167"/>
    </row>
    <row r="726">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c r="AA726" s="167"/>
      <c r="AB726" s="167"/>
      <c r="AC726" s="167"/>
    </row>
    <row r="727">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c r="AA727" s="167"/>
      <c r="AB727" s="167"/>
      <c r="AC727" s="167"/>
    </row>
    <row r="728">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c r="AA728" s="167"/>
      <c r="AB728" s="167"/>
      <c r="AC728" s="167"/>
    </row>
    <row r="729">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c r="AA729" s="167"/>
      <c r="AB729" s="167"/>
      <c r="AC729" s="167"/>
    </row>
    <row r="730">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c r="AA730" s="167"/>
      <c r="AB730" s="167"/>
      <c r="AC730" s="167"/>
    </row>
    <row r="73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c r="AA731" s="167"/>
      <c r="AB731" s="167"/>
      <c r="AC731" s="167"/>
    </row>
    <row r="732">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c r="AA732" s="167"/>
      <c r="AB732" s="167"/>
      <c r="AC732" s="167"/>
    </row>
    <row r="733">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c r="AA733" s="167"/>
      <c r="AB733" s="167"/>
      <c r="AC733" s="167"/>
    </row>
    <row r="734">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c r="AA734" s="167"/>
      <c r="AB734" s="167"/>
      <c r="AC734" s="167"/>
    </row>
    <row r="735">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c r="AA735" s="167"/>
      <c r="AB735" s="167"/>
      <c r="AC735" s="167"/>
    </row>
    <row r="736">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c r="AA736" s="167"/>
      <c r="AB736" s="167"/>
      <c r="AC736" s="167"/>
    </row>
    <row r="737">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c r="AA737" s="167"/>
      <c r="AB737" s="167"/>
      <c r="AC737" s="167"/>
    </row>
    <row r="738">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c r="AA738" s="167"/>
      <c r="AB738" s="167"/>
      <c r="AC738" s="167"/>
    </row>
    <row r="739">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c r="AA739" s="167"/>
      <c r="AB739" s="167"/>
      <c r="AC739" s="167"/>
    </row>
    <row r="740">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c r="AA740" s="167"/>
      <c r="AB740" s="167"/>
      <c r="AC740" s="167"/>
    </row>
    <row r="74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c r="AA741" s="167"/>
      <c r="AB741" s="167"/>
      <c r="AC741" s="167"/>
    </row>
    <row r="742">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c r="AA742" s="167"/>
      <c r="AB742" s="167"/>
      <c r="AC742" s="167"/>
    </row>
    <row r="743">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c r="AA743" s="167"/>
      <c r="AB743" s="167"/>
      <c r="AC743" s="167"/>
    </row>
    <row r="744">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c r="AA744" s="167"/>
      <c r="AB744" s="167"/>
      <c r="AC744" s="167"/>
    </row>
    <row r="745">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c r="AA745" s="167"/>
      <c r="AB745" s="167"/>
      <c r="AC745" s="167"/>
    </row>
    <row r="746">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c r="AA746" s="167"/>
      <c r="AB746" s="167"/>
      <c r="AC746" s="167"/>
    </row>
    <row r="747">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c r="AA747" s="167"/>
      <c r="AB747" s="167"/>
      <c r="AC747" s="167"/>
    </row>
    <row r="748">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c r="AA748" s="167"/>
      <c r="AB748" s="167"/>
      <c r="AC748" s="167"/>
    </row>
    <row r="749">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c r="AA749" s="167"/>
      <c r="AB749" s="167"/>
      <c r="AC749" s="167"/>
    </row>
    <row r="750">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c r="AA750" s="167"/>
      <c r="AB750" s="167"/>
      <c r="AC750" s="167"/>
    </row>
    <row r="75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c r="AA751" s="167"/>
      <c r="AB751" s="167"/>
      <c r="AC751" s="167"/>
    </row>
    <row r="752">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c r="AA752" s="167"/>
      <c r="AB752" s="167"/>
      <c r="AC752" s="167"/>
    </row>
    <row r="753">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c r="AA753" s="167"/>
      <c r="AB753" s="167"/>
      <c r="AC753" s="167"/>
    </row>
    <row r="754">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c r="AA754" s="167"/>
      <c r="AB754" s="167"/>
      <c r="AC754" s="167"/>
    </row>
    <row r="755">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c r="AA755" s="167"/>
      <c r="AB755" s="167"/>
      <c r="AC755" s="167"/>
    </row>
    <row r="756">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c r="AA756" s="167"/>
      <c r="AB756" s="167"/>
      <c r="AC756" s="167"/>
    </row>
    <row r="757">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c r="AA757" s="167"/>
      <c r="AB757" s="167"/>
      <c r="AC757" s="167"/>
    </row>
    <row r="758">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c r="AA758" s="167"/>
      <c r="AB758" s="167"/>
      <c r="AC758" s="167"/>
    </row>
    <row r="759">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c r="AA759" s="167"/>
      <c r="AB759" s="167"/>
      <c r="AC759" s="167"/>
    </row>
    <row r="760">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c r="AA760" s="167"/>
      <c r="AB760" s="167"/>
      <c r="AC760" s="167"/>
    </row>
    <row r="76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c r="AA761" s="167"/>
      <c r="AB761" s="167"/>
      <c r="AC761" s="167"/>
    </row>
    <row r="762">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c r="AA762" s="167"/>
      <c r="AB762" s="167"/>
      <c r="AC762" s="167"/>
    </row>
    <row r="763">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c r="AA763" s="167"/>
      <c r="AB763" s="167"/>
      <c r="AC763" s="167"/>
    </row>
    <row r="764">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c r="AA764" s="167"/>
      <c r="AB764" s="167"/>
      <c r="AC764" s="167"/>
    </row>
    <row r="765">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c r="AA765" s="167"/>
      <c r="AB765" s="167"/>
      <c r="AC765" s="167"/>
    </row>
    <row r="766">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c r="AA766" s="167"/>
      <c r="AB766" s="167"/>
      <c r="AC766" s="167"/>
    </row>
    <row r="767">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c r="AA767" s="167"/>
      <c r="AB767" s="167"/>
      <c r="AC767" s="167"/>
    </row>
    <row r="768">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c r="AA768" s="167"/>
      <c r="AB768" s="167"/>
      <c r="AC768" s="167"/>
    </row>
    <row r="769">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c r="AA769" s="167"/>
      <c r="AB769" s="167"/>
      <c r="AC769" s="167"/>
    </row>
    <row r="770">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c r="AA770" s="167"/>
      <c r="AB770" s="167"/>
      <c r="AC770" s="167"/>
    </row>
    <row r="77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c r="AA771" s="167"/>
      <c r="AB771" s="167"/>
      <c r="AC771" s="167"/>
    </row>
    <row r="772">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c r="AA772" s="167"/>
      <c r="AB772" s="167"/>
      <c r="AC772" s="167"/>
    </row>
    <row r="773">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c r="AA773" s="167"/>
      <c r="AB773" s="167"/>
      <c r="AC773" s="167"/>
    </row>
    <row r="774">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c r="AA774" s="167"/>
      <c r="AB774" s="167"/>
      <c r="AC774" s="167"/>
    </row>
    <row r="775">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c r="AA775" s="167"/>
      <c r="AB775" s="167"/>
      <c r="AC775" s="167"/>
    </row>
    <row r="776">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c r="AA776" s="167"/>
      <c r="AB776" s="167"/>
      <c r="AC776" s="167"/>
    </row>
    <row r="777">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c r="AA777" s="167"/>
      <c r="AB777" s="167"/>
      <c r="AC777" s="167"/>
    </row>
    <row r="778">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c r="AA778" s="167"/>
      <c r="AB778" s="167"/>
      <c r="AC778" s="167"/>
    </row>
    <row r="779">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c r="AA779" s="167"/>
      <c r="AB779" s="167"/>
      <c r="AC779" s="167"/>
    </row>
    <row r="780">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c r="AA780" s="167"/>
      <c r="AB780" s="167"/>
      <c r="AC780" s="167"/>
    </row>
    <row r="78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c r="AA781" s="167"/>
      <c r="AB781" s="167"/>
      <c r="AC781" s="167"/>
    </row>
    <row r="782">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c r="AA782" s="167"/>
      <c r="AB782" s="167"/>
      <c r="AC782" s="167"/>
    </row>
    <row r="783">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c r="AA783" s="167"/>
      <c r="AB783" s="167"/>
      <c r="AC783" s="167"/>
    </row>
    <row r="784">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c r="AA784" s="167"/>
      <c r="AB784" s="167"/>
      <c r="AC784" s="167"/>
    </row>
    <row r="785">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c r="AA785" s="167"/>
      <c r="AB785" s="167"/>
      <c r="AC785" s="167"/>
    </row>
    <row r="786">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c r="AA786" s="167"/>
      <c r="AB786" s="167"/>
      <c r="AC786" s="167"/>
    </row>
    <row r="787">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c r="AA787" s="167"/>
      <c r="AB787" s="167"/>
      <c r="AC787" s="167"/>
    </row>
    <row r="788">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c r="AA788" s="167"/>
      <c r="AB788" s="167"/>
      <c r="AC788" s="167"/>
    </row>
    <row r="789">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c r="AA789" s="167"/>
      <c r="AB789" s="167"/>
      <c r="AC789" s="167"/>
    </row>
    <row r="790">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c r="AA790" s="167"/>
      <c r="AB790" s="167"/>
      <c r="AC790" s="167"/>
    </row>
    <row r="79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c r="AA791" s="167"/>
      <c r="AB791" s="167"/>
      <c r="AC791" s="167"/>
    </row>
    <row r="792">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c r="AA792" s="167"/>
      <c r="AB792" s="167"/>
      <c r="AC792" s="167"/>
    </row>
    <row r="793">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c r="AA793" s="167"/>
      <c r="AB793" s="167"/>
      <c r="AC793" s="167"/>
    </row>
    <row r="794">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c r="AA794" s="167"/>
      <c r="AB794" s="167"/>
      <c r="AC794" s="167"/>
    </row>
    <row r="795">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c r="AA795" s="167"/>
      <c r="AB795" s="167"/>
      <c r="AC795" s="167"/>
    </row>
    <row r="796">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c r="AA796" s="167"/>
      <c r="AB796" s="167"/>
      <c r="AC796" s="167"/>
    </row>
    <row r="797">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c r="AA797" s="167"/>
      <c r="AB797" s="167"/>
      <c r="AC797" s="167"/>
    </row>
    <row r="798">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c r="AA798" s="167"/>
      <c r="AB798" s="167"/>
      <c r="AC798" s="167"/>
    </row>
    <row r="799">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c r="AA799" s="167"/>
      <c r="AB799" s="167"/>
      <c r="AC799" s="167"/>
    </row>
    <row r="800">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c r="AA800" s="167"/>
      <c r="AB800" s="167"/>
      <c r="AC800" s="167"/>
    </row>
    <row r="80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c r="AA801" s="167"/>
      <c r="AB801" s="167"/>
      <c r="AC801" s="167"/>
    </row>
    <row r="802">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c r="AA802" s="167"/>
      <c r="AB802" s="167"/>
      <c r="AC802" s="167"/>
    </row>
    <row r="803">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c r="AA803" s="167"/>
      <c r="AB803" s="167"/>
      <c r="AC803" s="167"/>
    </row>
    <row r="804">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c r="AA804" s="167"/>
      <c r="AB804" s="167"/>
      <c r="AC804" s="167"/>
    </row>
    <row r="805">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c r="AA805" s="167"/>
      <c r="AB805" s="167"/>
      <c r="AC805" s="167"/>
    </row>
    <row r="806">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c r="AA806" s="167"/>
      <c r="AB806" s="167"/>
      <c r="AC806" s="167"/>
    </row>
    <row r="807">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c r="AA807" s="167"/>
      <c r="AB807" s="167"/>
      <c r="AC807" s="167"/>
    </row>
    <row r="808">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c r="AA808" s="167"/>
      <c r="AB808" s="167"/>
      <c r="AC808" s="167"/>
    </row>
    <row r="809">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c r="AA809" s="167"/>
      <c r="AB809" s="167"/>
      <c r="AC809" s="167"/>
    </row>
    <row r="810">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c r="AA810" s="167"/>
      <c r="AB810" s="167"/>
      <c r="AC810" s="167"/>
    </row>
    <row r="81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c r="AA811" s="167"/>
      <c r="AB811" s="167"/>
      <c r="AC811" s="167"/>
    </row>
    <row r="812">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c r="AA812" s="167"/>
      <c r="AB812" s="167"/>
      <c r="AC812" s="167"/>
    </row>
    <row r="813">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c r="AA813" s="167"/>
      <c r="AB813" s="167"/>
      <c r="AC813" s="167"/>
    </row>
    <row r="814">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c r="AA814" s="167"/>
      <c r="AB814" s="167"/>
      <c r="AC814" s="167"/>
    </row>
    <row r="815">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c r="AA815" s="167"/>
      <c r="AB815" s="167"/>
      <c r="AC815" s="167"/>
    </row>
    <row r="816">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c r="AA816" s="167"/>
      <c r="AB816" s="167"/>
      <c r="AC816" s="167"/>
    </row>
    <row r="817">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c r="AA817" s="167"/>
      <c r="AB817" s="167"/>
      <c r="AC817" s="167"/>
    </row>
    <row r="818">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c r="AA818" s="167"/>
      <c r="AB818" s="167"/>
      <c r="AC818" s="167"/>
    </row>
    <row r="819">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c r="AA819" s="167"/>
      <c r="AB819" s="167"/>
      <c r="AC819" s="167"/>
    </row>
    <row r="820">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c r="AA820" s="167"/>
      <c r="AB820" s="167"/>
      <c r="AC820" s="167"/>
    </row>
    <row r="82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c r="AA821" s="167"/>
      <c r="AB821" s="167"/>
      <c r="AC821" s="167"/>
    </row>
    <row r="822">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c r="AA822" s="167"/>
      <c r="AB822" s="167"/>
      <c r="AC822" s="167"/>
    </row>
    <row r="823">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c r="AA823" s="167"/>
      <c r="AB823" s="167"/>
      <c r="AC823" s="167"/>
    </row>
    <row r="824">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c r="AA824" s="167"/>
      <c r="AB824" s="167"/>
      <c r="AC824" s="167"/>
    </row>
    <row r="825">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c r="AA825" s="167"/>
      <c r="AB825" s="167"/>
      <c r="AC825" s="167"/>
    </row>
    <row r="826">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c r="AA826" s="167"/>
      <c r="AB826" s="167"/>
      <c r="AC826" s="167"/>
    </row>
    <row r="827">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c r="AA827" s="167"/>
      <c r="AB827" s="167"/>
      <c r="AC827" s="167"/>
    </row>
    <row r="828">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c r="AA828" s="167"/>
      <c r="AB828" s="167"/>
      <c r="AC828" s="167"/>
    </row>
    <row r="829">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c r="AA829" s="167"/>
      <c r="AB829" s="167"/>
      <c r="AC829" s="167"/>
    </row>
    <row r="830">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c r="AA830" s="167"/>
      <c r="AB830" s="167"/>
      <c r="AC830" s="167"/>
    </row>
    <row r="83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c r="AA831" s="167"/>
      <c r="AB831" s="167"/>
      <c r="AC831" s="167"/>
    </row>
    <row r="832">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c r="AA832" s="167"/>
      <c r="AB832" s="167"/>
      <c r="AC832" s="167"/>
    </row>
    <row r="833">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c r="AA833" s="167"/>
      <c r="AB833" s="167"/>
      <c r="AC833" s="167"/>
    </row>
    <row r="834">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c r="AA834" s="167"/>
      <c r="AB834" s="167"/>
      <c r="AC834" s="167"/>
    </row>
    <row r="835">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c r="AA835" s="167"/>
      <c r="AB835" s="167"/>
      <c r="AC835" s="167"/>
    </row>
    <row r="836">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c r="AA836" s="167"/>
      <c r="AB836" s="167"/>
      <c r="AC836" s="167"/>
    </row>
    <row r="837">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c r="AA837" s="167"/>
      <c r="AB837" s="167"/>
      <c r="AC837" s="167"/>
    </row>
    <row r="838">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c r="AA838" s="167"/>
      <c r="AB838" s="167"/>
      <c r="AC838" s="167"/>
    </row>
    <row r="839">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c r="AA839" s="167"/>
      <c r="AB839" s="167"/>
      <c r="AC839" s="167"/>
    </row>
    <row r="840">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c r="AA840" s="167"/>
      <c r="AB840" s="167"/>
      <c r="AC840" s="167"/>
    </row>
    <row r="84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c r="AA841" s="167"/>
      <c r="AB841" s="167"/>
      <c r="AC841" s="167"/>
    </row>
    <row r="842">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c r="AA842" s="167"/>
      <c r="AB842" s="167"/>
      <c r="AC842" s="167"/>
    </row>
    <row r="843">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c r="AA843" s="167"/>
      <c r="AB843" s="167"/>
      <c r="AC843" s="167"/>
    </row>
    <row r="844">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c r="AA844" s="167"/>
      <c r="AB844" s="167"/>
      <c r="AC844" s="167"/>
    </row>
    <row r="845">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c r="AA845" s="167"/>
      <c r="AB845" s="167"/>
      <c r="AC845" s="167"/>
    </row>
    <row r="846">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c r="AA846" s="167"/>
      <c r="AB846" s="167"/>
      <c r="AC846" s="167"/>
    </row>
    <row r="847">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c r="AA847" s="167"/>
      <c r="AB847" s="167"/>
      <c r="AC847" s="167"/>
    </row>
    <row r="848">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c r="AA848" s="167"/>
      <c r="AB848" s="167"/>
      <c r="AC848" s="167"/>
    </row>
    <row r="849">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c r="AA849" s="167"/>
      <c r="AB849" s="167"/>
      <c r="AC849" s="167"/>
    </row>
    <row r="850">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c r="AA850" s="167"/>
      <c r="AB850" s="167"/>
      <c r="AC850" s="167"/>
    </row>
    <row r="85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c r="AA851" s="167"/>
      <c r="AB851" s="167"/>
      <c r="AC851" s="167"/>
    </row>
    <row r="852">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c r="AA852" s="167"/>
      <c r="AB852" s="167"/>
      <c r="AC852" s="167"/>
    </row>
    <row r="853">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c r="AA853" s="167"/>
      <c r="AB853" s="167"/>
      <c r="AC853" s="167"/>
    </row>
    <row r="854">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c r="AA854" s="167"/>
      <c r="AB854" s="167"/>
      <c r="AC854" s="167"/>
    </row>
    <row r="855">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c r="AA855" s="167"/>
      <c r="AB855" s="167"/>
      <c r="AC855" s="167"/>
    </row>
    <row r="856">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c r="AA856" s="167"/>
      <c r="AB856" s="167"/>
      <c r="AC856" s="167"/>
    </row>
    <row r="857">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c r="AA857" s="167"/>
      <c r="AB857" s="167"/>
      <c r="AC857" s="167"/>
    </row>
    <row r="858">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c r="AA858" s="167"/>
      <c r="AB858" s="167"/>
      <c r="AC858" s="167"/>
    </row>
    <row r="859">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c r="AA859" s="167"/>
      <c r="AB859" s="167"/>
      <c r="AC859" s="167"/>
    </row>
    <row r="860">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c r="AA860" s="167"/>
      <c r="AB860" s="167"/>
      <c r="AC860" s="167"/>
    </row>
    <row r="86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c r="AA861" s="167"/>
      <c r="AB861" s="167"/>
      <c r="AC861" s="167"/>
    </row>
    <row r="862">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c r="AA862" s="167"/>
      <c r="AB862" s="167"/>
      <c r="AC862" s="167"/>
    </row>
    <row r="863">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c r="AA863" s="167"/>
      <c r="AB863" s="167"/>
      <c r="AC863" s="167"/>
    </row>
    <row r="864">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c r="AA864" s="167"/>
      <c r="AB864" s="167"/>
      <c r="AC864" s="167"/>
    </row>
    <row r="865">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c r="AA865" s="167"/>
      <c r="AB865" s="167"/>
      <c r="AC865" s="167"/>
    </row>
    <row r="866">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c r="AA866" s="167"/>
      <c r="AB866" s="167"/>
      <c r="AC866" s="167"/>
    </row>
    <row r="867">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c r="AA867" s="167"/>
      <c r="AB867" s="167"/>
      <c r="AC867" s="167"/>
    </row>
    <row r="868">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c r="AA868" s="167"/>
      <c r="AB868" s="167"/>
      <c r="AC868" s="167"/>
    </row>
    <row r="869">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c r="AA869" s="167"/>
      <c r="AB869" s="167"/>
      <c r="AC869" s="167"/>
    </row>
    <row r="870">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c r="AA870" s="167"/>
      <c r="AB870" s="167"/>
      <c r="AC870" s="167"/>
    </row>
    <row r="87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c r="AA871" s="167"/>
      <c r="AB871" s="167"/>
      <c r="AC871" s="167"/>
    </row>
    <row r="872">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c r="AA872" s="167"/>
      <c r="AB872" s="167"/>
      <c r="AC872" s="167"/>
    </row>
    <row r="873">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c r="AA873" s="167"/>
      <c r="AB873" s="167"/>
      <c r="AC873" s="167"/>
    </row>
    <row r="874">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c r="AA874" s="167"/>
      <c r="AB874" s="167"/>
      <c r="AC874" s="167"/>
    </row>
    <row r="875">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c r="AA875" s="167"/>
      <c r="AB875" s="167"/>
      <c r="AC875" s="167"/>
    </row>
    <row r="876">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c r="AA876" s="167"/>
      <c r="AB876" s="167"/>
      <c r="AC876" s="167"/>
    </row>
    <row r="877">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c r="AA877" s="167"/>
      <c r="AB877" s="167"/>
      <c r="AC877" s="167"/>
    </row>
    <row r="878">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c r="AA878" s="167"/>
      <c r="AB878" s="167"/>
      <c r="AC878" s="167"/>
    </row>
    <row r="879">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c r="AA879" s="167"/>
      <c r="AB879" s="167"/>
      <c r="AC879" s="167"/>
    </row>
    <row r="880">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c r="AA880" s="167"/>
      <c r="AB880" s="167"/>
      <c r="AC880" s="167"/>
    </row>
    <row r="88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c r="AA881" s="167"/>
      <c r="AB881" s="167"/>
      <c r="AC881" s="167"/>
    </row>
    <row r="882">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c r="AA882" s="167"/>
      <c r="AB882" s="167"/>
      <c r="AC882" s="167"/>
    </row>
    <row r="883">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c r="AA883" s="167"/>
      <c r="AB883" s="167"/>
      <c r="AC883" s="167"/>
    </row>
    <row r="884">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c r="AA884" s="167"/>
      <c r="AB884" s="167"/>
      <c r="AC884" s="167"/>
    </row>
    <row r="885">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c r="AA885" s="167"/>
      <c r="AB885" s="167"/>
      <c r="AC885" s="167"/>
    </row>
    <row r="886">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c r="AA886" s="167"/>
      <c r="AB886" s="167"/>
      <c r="AC886" s="167"/>
    </row>
    <row r="887">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c r="AA887" s="167"/>
      <c r="AB887" s="167"/>
      <c r="AC887" s="167"/>
    </row>
    <row r="888">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c r="AA888" s="167"/>
      <c r="AB888" s="167"/>
      <c r="AC888" s="167"/>
    </row>
    <row r="889">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c r="AA889" s="167"/>
      <c r="AB889" s="167"/>
      <c r="AC889" s="167"/>
    </row>
    <row r="890">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c r="AA890" s="167"/>
      <c r="AB890" s="167"/>
      <c r="AC890" s="167"/>
    </row>
    <row r="89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c r="AA891" s="167"/>
      <c r="AB891" s="167"/>
      <c r="AC891" s="167"/>
    </row>
    <row r="892">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c r="AA892" s="167"/>
      <c r="AB892" s="167"/>
      <c r="AC892" s="167"/>
    </row>
    <row r="893">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c r="AA893" s="167"/>
      <c r="AB893" s="167"/>
      <c r="AC893" s="167"/>
    </row>
    <row r="894">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c r="AA894" s="167"/>
      <c r="AB894" s="167"/>
      <c r="AC894" s="167"/>
    </row>
    <row r="895">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c r="AA895" s="167"/>
      <c r="AB895" s="167"/>
      <c r="AC895" s="167"/>
    </row>
    <row r="896">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c r="AA896" s="167"/>
      <c r="AB896" s="167"/>
      <c r="AC896" s="167"/>
    </row>
    <row r="897">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c r="AA897" s="167"/>
      <c r="AB897" s="167"/>
      <c r="AC897" s="167"/>
    </row>
    <row r="898">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c r="AA898" s="167"/>
      <c r="AB898" s="167"/>
      <c r="AC898" s="167"/>
    </row>
    <row r="899">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c r="AA899" s="167"/>
      <c r="AB899" s="167"/>
      <c r="AC899" s="167"/>
    </row>
    <row r="900">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c r="AA900" s="167"/>
      <c r="AB900" s="167"/>
      <c r="AC900" s="167"/>
    </row>
    <row r="90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c r="AA901" s="167"/>
      <c r="AB901" s="167"/>
      <c r="AC901" s="167"/>
    </row>
    <row r="902">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c r="AA902" s="167"/>
      <c r="AB902" s="167"/>
      <c r="AC902" s="167"/>
    </row>
    <row r="903">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c r="AA903" s="167"/>
      <c r="AB903" s="167"/>
      <c r="AC903" s="167"/>
    </row>
    <row r="904">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c r="AA904" s="167"/>
      <c r="AB904" s="167"/>
      <c r="AC904" s="167"/>
    </row>
    <row r="905">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c r="AA905" s="167"/>
      <c r="AB905" s="167"/>
      <c r="AC905" s="167"/>
    </row>
    <row r="906">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c r="AA906" s="167"/>
      <c r="AB906" s="167"/>
      <c r="AC906" s="167"/>
    </row>
    <row r="907">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c r="AA907" s="167"/>
      <c r="AB907" s="167"/>
      <c r="AC907" s="167"/>
    </row>
    <row r="908">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c r="AA908" s="167"/>
      <c r="AB908" s="167"/>
      <c r="AC908" s="167"/>
    </row>
    <row r="909">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c r="AA909" s="167"/>
      <c r="AB909" s="167"/>
      <c r="AC909" s="167"/>
    </row>
    <row r="910">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c r="AA910" s="167"/>
      <c r="AB910" s="167"/>
      <c r="AC910" s="167"/>
    </row>
    <row r="91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c r="AA911" s="167"/>
      <c r="AB911" s="167"/>
      <c r="AC911" s="167"/>
    </row>
    <row r="912">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c r="AA912" s="167"/>
      <c r="AB912" s="167"/>
      <c r="AC912" s="167"/>
    </row>
    <row r="913">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c r="AA913" s="167"/>
      <c r="AB913" s="167"/>
      <c r="AC913" s="167"/>
    </row>
    <row r="914">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c r="AA914" s="167"/>
      <c r="AB914" s="167"/>
      <c r="AC914" s="167"/>
    </row>
    <row r="915">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c r="AA915" s="167"/>
      <c r="AB915" s="167"/>
      <c r="AC915" s="167"/>
    </row>
    <row r="916">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c r="AA916" s="167"/>
      <c r="AB916" s="167"/>
      <c r="AC916" s="167"/>
    </row>
    <row r="917">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c r="AA917" s="167"/>
      <c r="AB917" s="167"/>
      <c r="AC917" s="167"/>
    </row>
    <row r="918">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c r="AA918" s="167"/>
      <c r="AB918" s="167"/>
      <c r="AC918" s="167"/>
    </row>
    <row r="919">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c r="AA919" s="167"/>
      <c r="AB919" s="167"/>
      <c r="AC919" s="167"/>
    </row>
    <row r="920">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c r="AA920" s="167"/>
      <c r="AB920" s="167"/>
      <c r="AC920" s="167"/>
    </row>
    <row r="92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c r="AA921" s="167"/>
      <c r="AB921" s="167"/>
      <c r="AC921" s="167"/>
    </row>
    <row r="922">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c r="AA922" s="167"/>
      <c r="AB922" s="167"/>
      <c r="AC922" s="167"/>
    </row>
    <row r="923">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c r="AA923" s="167"/>
      <c r="AB923" s="167"/>
      <c r="AC923" s="167"/>
    </row>
    <row r="924">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c r="AA924" s="167"/>
      <c r="AB924" s="167"/>
      <c r="AC924" s="167"/>
    </row>
    <row r="925">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c r="AA925" s="167"/>
      <c r="AB925" s="167"/>
      <c r="AC925" s="167"/>
    </row>
    <row r="926">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c r="AA926" s="167"/>
      <c r="AB926" s="167"/>
      <c r="AC926" s="167"/>
    </row>
    <row r="927">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c r="AA927" s="167"/>
      <c r="AB927" s="167"/>
      <c r="AC927" s="167"/>
    </row>
    <row r="928">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c r="AA928" s="167"/>
      <c r="AB928" s="167"/>
      <c r="AC928" s="167"/>
    </row>
    <row r="929">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c r="AA929" s="167"/>
      <c r="AB929" s="167"/>
      <c r="AC929" s="167"/>
    </row>
    <row r="930">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c r="AA930" s="167"/>
      <c r="AB930" s="167"/>
      <c r="AC930" s="167"/>
    </row>
    <row r="93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c r="AA931" s="167"/>
      <c r="AB931" s="167"/>
      <c r="AC931" s="167"/>
    </row>
    <row r="932">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c r="AA932" s="167"/>
      <c r="AB932" s="167"/>
      <c r="AC932" s="167"/>
    </row>
    <row r="933">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c r="AA933" s="167"/>
      <c r="AB933" s="167"/>
      <c r="AC933" s="167"/>
    </row>
    <row r="934">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c r="AA934" s="167"/>
      <c r="AB934" s="167"/>
      <c r="AC934" s="167"/>
    </row>
    <row r="935">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c r="AA935" s="167"/>
      <c r="AB935" s="167"/>
      <c r="AC935" s="167"/>
    </row>
    <row r="936">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c r="AA936" s="167"/>
      <c r="AB936" s="167"/>
      <c r="AC936" s="167"/>
    </row>
    <row r="937">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c r="AA937" s="167"/>
      <c r="AB937" s="167"/>
      <c r="AC937" s="167"/>
    </row>
    <row r="938">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c r="AA938" s="167"/>
      <c r="AB938" s="167"/>
      <c r="AC938" s="167"/>
    </row>
    <row r="939">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c r="AA939" s="167"/>
      <c r="AB939" s="167"/>
      <c r="AC939" s="167"/>
    </row>
    <row r="940">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c r="AA940" s="167"/>
      <c r="AB940" s="167"/>
      <c r="AC940" s="167"/>
    </row>
    <row r="94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c r="AA941" s="167"/>
      <c r="AB941" s="167"/>
      <c r="AC941" s="167"/>
    </row>
    <row r="942">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c r="AA942" s="167"/>
      <c r="AB942" s="167"/>
      <c r="AC942" s="167"/>
    </row>
    <row r="943">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c r="AA943" s="167"/>
      <c r="AB943" s="167"/>
      <c r="AC943" s="167"/>
    </row>
    <row r="944">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c r="AA944" s="167"/>
      <c r="AB944" s="167"/>
      <c r="AC944" s="167"/>
    </row>
    <row r="945">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c r="AA945" s="167"/>
      <c r="AB945" s="167"/>
      <c r="AC945" s="167"/>
    </row>
    <row r="946">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c r="AA946" s="167"/>
      <c r="AB946" s="167"/>
      <c r="AC946" s="167"/>
    </row>
    <row r="947">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c r="AA947" s="167"/>
      <c r="AB947" s="167"/>
      <c r="AC947" s="167"/>
    </row>
    <row r="948">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c r="AA948" s="167"/>
      <c r="AB948" s="167"/>
      <c r="AC948" s="167"/>
    </row>
    <row r="949">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c r="AA949" s="167"/>
      <c r="AB949" s="167"/>
      <c r="AC949" s="167"/>
    </row>
    <row r="950">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c r="AA950" s="167"/>
      <c r="AB950" s="167"/>
      <c r="AC950" s="167"/>
    </row>
    <row r="95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c r="AA951" s="167"/>
      <c r="AB951" s="167"/>
      <c r="AC951" s="167"/>
    </row>
    <row r="952">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c r="AA952" s="167"/>
      <c r="AB952" s="167"/>
      <c r="AC952" s="167"/>
    </row>
    <row r="953">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c r="AA953" s="167"/>
      <c r="AB953" s="167"/>
      <c r="AC953" s="167"/>
    </row>
    <row r="954">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c r="AA954" s="167"/>
      <c r="AB954" s="167"/>
      <c r="AC954" s="167"/>
    </row>
    <row r="955">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c r="AA955" s="167"/>
      <c r="AB955" s="167"/>
      <c r="AC955" s="167"/>
    </row>
    <row r="956">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c r="AA956" s="167"/>
      <c r="AB956" s="167"/>
      <c r="AC956" s="167"/>
    </row>
    <row r="957">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c r="AA957" s="167"/>
      <c r="AB957" s="167"/>
      <c r="AC957" s="167"/>
    </row>
    <row r="958">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c r="AA958" s="167"/>
      <c r="AB958" s="167"/>
      <c r="AC958" s="167"/>
    </row>
    <row r="959">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c r="AA959" s="167"/>
      <c r="AB959" s="167"/>
      <c r="AC959" s="167"/>
    </row>
    <row r="960">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c r="AA960" s="167"/>
      <c r="AB960" s="167"/>
      <c r="AC960" s="167"/>
    </row>
    <row r="96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c r="AA961" s="167"/>
      <c r="AB961" s="167"/>
      <c r="AC961" s="167"/>
    </row>
    <row r="962">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c r="AA962" s="167"/>
      <c r="AB962" s="167"/>
      <c r="AC962" s="167"/>
    </row>
    <row r="963">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c r="AA963" s="167"/>
      <c r="AB963" s="167"/>
      <c r="AC963" s="167"/>
    </row>
    <row r="964">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c r="AA964" s="167"/>
      <c r="AB964" s="167"/>
      <c r="AC964" s="167"/>
    </row>
    <row r="965">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c r="AA965" s="167"/>
      <c r="AB965" s="167"/>
      <c r="AC965" s="167"/>
    </row>
    <row r="966">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c r="AA966" s="167"/>
      <c r="AB966" s="167"/>
      <c r="AC966" s="167"/>
    </row>
    <row r="967">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c r="AA967" s="167"/>
      <c r="AB967" s="167"/>
      <c r="AC967" s="167"/>
    </row>
    <row r="968">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c r="AA968" s="167"/>
      <c r="AB968" s="167"/>
      <c r="AC968" s="167"/>
    </row>
    <row r="969">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c r="AA969" s="167"/>
      <c r="AB969" s="167"/>
      <c r="AC969" s="167"/>
    </row>
    <row r="970">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c r="AA970" s="167"/>
      <c r="AB970" s="167"/>
      <c r="AC970" s="167"/>
    </row>
    <row r="97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c r="AA971" s="167"/>
      <c r="AB971" s="167"/>
      <c r="AC971" s="167"/>
    </row>
    <row r="972">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c r="AA972" s="167"/>
      <c r="AB972" s="167"/>
      <c r="AC972" s="167"/>
    </row>
    <row r="973">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c r="AA973" s="167"/>
      <c r="AB973" s="167"/>
      <c r="AC973" s="167"/>
    </row>
    <row r="974">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c r="AA974" s="167"/>
      <c r="AB974" s="167"/>
      <c r="AC974" s="167"/>
    </row>
    <row r="975">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c r="AA975" s="167"/>
      <c r="AB975" s="167"/>
      <c r="AC975" s="167"/>
    </row>
    <row r="976">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c r="AA976" s="167"/>
      <c r="AB976" s="167"/>
      <c r="AC976" s="167"/>
    </row>
    <row r="977">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c r="AA977" s="167"/>
      <c r="AB977" s="167"/>
      <c r="AC977" s="167"/>
    </row>
    <row r="978">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c r="AA978" s="167"/>
      <c r="AB978" s="167"/>
      <c r="AC978" s="167"/>
    </row>
    <row r="979">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c r="AA979" s="167"/>
      <c r="AB979" s="167"/>
      <c r="AC979" s="167"/>
    </row>
    <row r="980">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c r="AA980" s="167"/>
      <c r="AB980" s="167"/>
      <c r="AC980" s="167"/>
    </row>
    <row r="98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c r="AA981" s="167"/>
      <c r="AB981" s="167"/>
      <c r="AC981" s="167"/>
    </row>
    <row r="982">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c r="AA982" s="167"/>
      <c r="AB982" s="167"/>
      <c r="AC982" s="167"/>
    </row>
    <row r="983">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c r="AA983" s="167"/>
      <c r="AB983" s="167"/>
      <c r="AC983" s="167"/>
    </row>
    <row r="984">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c r="AA984" s="167"/>
      <c r="AB984" s="167"/>
      <c r="AC984" s="167"/>
    </row>
    <row r="985">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c r="AA985" s="167"/>
      <c r="AB985" s="167"/>
      <c r="AC985" s="167"/>
    </row>
    <row r="986">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c r="AA986" s="167"/>
      <c r="AB986" s="167"/>
      <c r="AC986" s="167"/>
    </row>
    <row r="987">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c r="AA987" s="167"/>
      <c r="AB987" s="167"/>
      <c r="AC987" s="167"/>
    </row>
    <row r="988">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c r="AA988" s="167"/>
      <c r="AB988" s="167"/>
      <c r="AC988" s="167"/>
    </row>
    <row r="989">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c r="AA989" s="167"/>
      <c r="AB989" s="167"/>
      <c r="AC989" s="167"/>
    </row>
    <row r="990">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c r="AA990" s="167"/>
      <c r="AB990" s="167"/>
      <c r="AC990" s="167"/>
    </row>
    <row r="99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c r="AA991" s="167"/>
      <c r="AB991" s="167"/>
      <c r="AC991" s="167"/>
    </row>
    <row r="992">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c r="AA992" s="167"/>
      <c r="AB992" s="167"/>
      <c r="AC992" s="167"/>
    </row>
    <row r="993">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c r="AA993" s="167"/>
      <c r="AB993" s="167"/>
      <c r="AC993" s="167"/>
    </row>
    <row r="994">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c r="AA994" s="167"/>
      <c r="AB994" s="167"/>
      <c r="AC994" s="167"/>
    </row>
    <row r="995">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c r="AA995" s="167"/>
      <c r="AB995" s="167"/>
      <c r="AC995" s="167"/>
    </row>
    <row r="996">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c r="AA996" s="167"/>
      <c r="AB996" s="167"/>
      <c r="AC996" s="167"/>
    </row>
    <row r="997">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c r="AA997" s="167"/>
      <c r="AB997" s="167"/>
      <c r="AC997" s="167"/>
    </row>
    <row r="998">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c r="AA998" s="167"/>
      <c r="AB998" s="167"/>
      <c r="AC998" s="167"/>
    </row>
    <row r="999">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c r="AA999" s="167"/>
      <c r="AB999" s="167"/>
      <c r="AC999" s="167"/>
    </row>
    <row r="1000">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c r="AA1000" s="167"/>
      <c r="AB1000" s="167"/>
      <c r="AC1000" s="167"/>
    </row>
    <row r="1001">
      <c r="A1001" s="167"/>
      <c r="B1001" s="167"/>
      <c r="C1001" s="167"/>
      <c r="D1001" s="167"/>
      <c r="E1001" s="167"/>
      <c r="F1001" s="167"/>
      <c r="G1001" s="167"/>
      <c r="H1001" s="167"/>
      <c r="I1001" s="167"/>
      <c r="J1001" s="167"/>
      <c r="K1001" s="167"/>
      <c r="L1001" s="167"/>
      <c r="M1001" s="167"/>
      <c r="N1001" s="167"/>
      <c r="O1001" s="167"/>
      <c r="P1001" s="167"/>
      <c r="Q1001" s="167"/>
      <c r="R1001" s="167"/>
      <c r="S1001" s="167"/>
      <c r="T1001" s="167"/>
      <c r="U1001" s="167"/>
      <c r="V1001" s="167"/>
      <c r="W1001" s="167"/>
      <c r="X1001" s="167"/>
      <c r="Y1001" s="167"/>
      <c r="Z1001" s="167"/>
      <c r="AA1001" s="167"/>
      <c r="AB1001" s="167"/>
      <c r="AC1001" s="167"/>
    </row>
  </sheetData>
  <mergeCells count="5">
    <mergeCell ref="A1:L1"/>
    <mergeCell ref="A3:A5"/>
    <mergeCell ref="F3:F5"/>
    <mergeCell ref="J3:J5"/>
    <mergeCell ref="A6:A9"/>
  </mergeCells>
  <hyperlinks>
    <hyperlink r:id="rId1" location="gid=1767686966" ref="N6"/>
    <hyperlink r:id="rId2" location="gid=188143662" ref="O6"/>
    <hyperlink r:id="rId3" ref="N7"/>
    <hyperlink r:id="rId4" location="gid=188143662" ref="O7"/>
    <hyperlink r:id="rId5" ref="P7"/>
    <hyperlink r:id="rId6" ref="N8"/>
    <hyperlink r:id="rId7" location="gid=188143662" ref="O8"/>
  </hyperlinks>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88"/>
    <col customWidth="1" min="2" max="3" width="17.63"/>
    <col customWidth="1" min="4" max="4" width="17.38"/>
    <col customWidth="1" min="5" max="6" width="15.13"/>
    <col customWidth="1" min="7" max="7" width="17.63"/>
    <col customWidth="1" min="8" max="8" width="12.63"/>
    <col customWidth="1" min="9" max="9" width="12.0"/>
    <col customWidth="1" min="10" max="11" width="20.13"/>
    <col customWidth="1" min="14" max="14" width="14.88"/>
  </cols>
  <sheetData>
    <row r="1">
      <c r="A1" s="183" t="s">
        <v>2501</v>
      </c>
      <c r="B1" s="183" t="s">
        <v>2502</v>
      </c>
      <c r="C1" s="183" t="s">
        <v>2503</v>
      </c>
      <c r="E1" s="183" t="s">
        <v>2504</v>
      </c>
      <c r="F1" s="183" t="s">
        <v>2502</v>
      </c>
      <c r="G1" s="183" t="s">
        <v>2503</v>
      </c>
    </row>
    <row r="2">
      <c r="A2" s="184" t="s">
        <v>393</v>
      </c>
      <c r="B2" s="183">
        <v>103.0</v>
      </c>
      <c r="C2" s="183">
        <v>15.0</v>
      </c>
      <c r="E2" s="184" t="s">
        <v>393</v>
      </c>
      <c r="F2" s="183">
        <v>38.0</v>
      </c>
      <c r="G2" s="183">
        <v>10.0</v>
      </c>
    </row>
    <row r="3">
      <c r="A3" s="184" t="s">
        <v>242</v>
      </c>
      <c r="B3" s="183">
        <v>177.0</v>
      </c>
      <c r="C3" s="183">
        <v>67.0</v>
      </c>
      <c r="E3" s="184" t="s">
        <v>1833</v>
      </c>
      <c r="F3" s="183">
        <v>2.0</v>
      </c>
      <c r="G3" s="183">
        <v>0.0</v>
      </c>
    </row>
    <row r="4">
      <c r="A4" s="184" t="s">
        <v>930</v>
      </c>
      <c r="B4" s="183">
        <v>12.0</v>
      </c>
      <c r="C4" s="183">
        <v>4.0</v>
      </c>
      <c r="E4" s="184" t="s">
        <v>242</v>
      </c>
      <c r="F4" s="183">
        <v>38.0</v>
      </c>
      <c r="G4" s="183">
        <v>12.0</v>
      </c>
    </row>
    <row r="5">
      <c r="A5" s="184" t="s">
        <v>2505</v>
      </c>
      <c r="B5" s="183">
        <v>292.0</v>
      </c>
      <c r="C5" s="183">
        <v>81.0</v>
      </c>
      <c r="E5" s="184" t="s">
        <v>930</v>
      </c>
      <c r="F5" s="183">
        <v>3.0</v>
      </c>
      <c r="G5" s="183">
        <v>1.0</v>
      </c>
    </row>
    <row r="6">
      <c r="A6" s="184"/>
      <c r="B6" s="183"/>
      <c r="C6" s="183"/>
      <c r="E6" s="184" t="s">
        <v>2505</v>
      </c>
      <c r="F6" s="183">
        <v>81.0</v>
      </c>
      <c r="G6" s="183">
        <v>22.0</v>
      </c>
    </row>
    <row r="7">
      <c r="A7" s="184"/>
      <c r="B7" s="183"/>
      <c r="C7" s="183"/>
      <c r="F7" s="183"/>
      <c r="G7" s="183"/>
    </row>
    <row r="8">
      <c r="B8" s="183"/>
      <c r="C8" s="183"/>
      <c r="E8" s="183" t="s">
        <v>2506</v>
      </c>
      <c r="F8" s="183" t="s">
        <v>2507</v>
      </c>
      <c r="G8" s="183" t="s">
        <v>2508</v>
      </c>
    </row>
    <row r="9">
      <c r="E9" s="153" t="s">
        <v>393</v>
      </c>
      <c r="F9" s="183">
        <v>117.0</v>
      </c>
      <c r="G9" s="183">
        <v>2.0</v>
      </c>
    </row>
    <row r="10">
      <c r="E10" s="153" t="s">
        <v>2505</v>
      </c>
      <c r="F10" s="183">
        <v>117.0</v>
      </c>
      <c r="G10" s="183">
        <v>2.0</v>
      </c>
    </row>
    <row r="11">
      <c r="F11" s="183"/>
      <c r="G11" s="183"/>
    </row>
    <row r="12">
      <c r="E12" s="183"/>
      <c r="F12" s="183"/>
    </row>
    <row r="13">
      <c r="C13" s="183"/>
    </row>
    <row r="14">
      <c r="C14" s="183"/>
      <c r="P14" s="183"/>
      <c r="Q14" s="183"/>
    </row>
    <row r="15">
      <c r="C15" s="183"/>
    </row>
    <row r="16">
      <c r="C16" s="183"/>
    </row>
    <row r="17">
      <c r="C17" s="183"/>
    </row>
    <row r="18">
      <c r="C18" s="183"/>
    </row>
    <row r="19">
      <c r="C19" s="183"/>
    </row>
    <row r="20">
      <c r="C20" s="183"/>
    </row>
    <row r="21">
      <c r="C21" s="183"/>
    </row>
    <row r="22">
      <c r="C22" s="183"/>
    </row>
    <row r="23">
      <c r="C23" s="183"/>
    </row>
    <row r="24">
      <c r="C24" s="183"/>
      <c r="M24" s="183"/>
      <c r="N24" s="183"/>
      <c r="O24" s="183"/>
    </row>
    <row r="25">
      <c r="C25" s="183"/>
    </row>
    <row r="26">
      <c r="C26" s="183"/>
      <c r="D26" s="187"/>
      <c r="E26" s="183"/>
      <c r="F26" s="183"/>
    </row>
    <row r="27">
      <c r="C27" s="183"/>
      <c r="D27" s="187"/>
      <c r="E27" s="183"/>
      <c r="F27" s="183"/>
    </row>
    <row r="28">
      <c r="C28" s="183"/>
      <c r="E28" s="183"/>
      <c r="F28" s="183"/>
    </row>
    <row r="29">
      <c r="C29" s="183"/>
      <c r="E29" s="183"/>
      <c r="F29" s="183"/>
      <c r="L29" s="146"/>
    </row>
    <row r="30">
      <c r="B30" s="183"/>
      <c r="C30" s="183"/>
      <c r="E30" s="183"/>
      <c r="F30" s="183"/>
      <c r="L30" s="146"/>
    </row>
    <row r="31">
      <c r="L31" s="146"/>
    </row>
    <row r="32" ht="18.0" customHeight="1">
      <c r="A32" s="186" t="e">
        <v>#REF!</v>
      </c>
      <c r="B32" s="183"/>
      <c r="C32" s="183"/>
      <c r="E32" s="183"/>
      <c r="F32" s="183"/>
      <c r="L32" s="146"/>
    </row>
    <row r="33" ht="18.0" customHeight="1">
      <c r="B33" s="183"/>
      <c r="C33" s="183"/>
      <c r="D33" s="188"/>
      <c r="E33" s="183"/>
      <c r="F33" s="183"/>
      <c r="L33" s="146"/>
    </row>
    <row r="34">
      <c r="B34" s="183"/>
      <c r="C34" s="183"/>
      <c r="E34" s="183"/>
      <c r="F34" s="183"/>
      <c r="L34" s="146"/>
    </row>
    <row r="35">
      <c r="B35" s="183"/>
      <c r="C35" s="183"/>
      <c r="E35" s="183"/>
      <c r="F35" s="183"/>
    </row>
    <row r="36">
      <c r="B36" s="183"/>
      <c r="C36" s="183"/>
      <c r="E36" s="183"/>
      <c r="F36" s="183"/>
    </row>
    <row r="37">
      <c r="B37" s="183"/>
      <c r="C37" s="183"/>
      <c r="E37" s="183"/>
      <c r="F37" s="183"/>
    </row>
    <row r="38">
      <c r="B38" s="183"/>
      <c r="C38" s="183"/>
      <c r="E38" s="183"/>
      <c r="F38" s="183"/>
    </row>
    <row r="39">
      <c r="B39" s="183"/>
      <c r="C39" s="183"/>
      <c r="E39" s="183"/>
      <c r="F39" s="183"/>
    </row>
    <row r="40">
      <c r="B40" s="183"/>
      <c r="C40" s="183"/>
      <c r="E40" s="183"/>
      <c r="F40" s="183"/>
    </row>
    <row r="41">
      <c r="B41" s="183"/>
      <c r="C41" s="183"/>
      <c r="E41" s="183"/>
      <c r="F41" s="183"/>
    </row>
    <row r="42">
      <c r="B42" s="183"/>
      <c r="C42" s="183"/>
      <c r="E42" s="183"/>
      <c r="F42" s="183"/>
    </row>
    <row r="43">
      <c r="B43" s="183"/>
      <c r="C43" s="183"/>
      <c r="E43" s="183"/>
      <c r="F43" s="183"/>
    </row>
    <row r="44">
      <c r="B44" s="183"/>
      <c r="C44" s="183"/>
      <c r="E44" s="183"/>
      <c r="F44" s="183"/>
    </row>
    <row r="45">
      <c r="B45" s="183"/>
      <c r="C45" s="183"/>
      <c r="E45" s="183"/>
      <c r="F45" s="183"/>
    </row>
    <row r="46">
      <c r="B46" s="183"/>
      <c r="C46" s="183"/>
      <c r="E46" s="183"/>
      <c r="F46" s="183"/>
    </row>
    <row r="47">
      <c r="B47" s="183"/>
      <c r="C47" s="183"/>
      <c r="E47" s="183"/>
      <c r="F47" s="183"/>
    </row>
    <row r="48">
      <c r="B48" s="183"/>
      <c r="C48" s="183"/>
      <c r="E48" s="183"/>
      <c r="F48" s="183"/>
    </row>
    <row r="49">
      <c r="B49" s="183"/>
      <c r="C49" s="183"/>
      <c r="E49" s="183"/>
      <c r="F49" s="183"/>
    </row>
    <row r="50">
      <c r="B50" s="183"/>
      <c r="C50" s="183"/>
      <c r="E50" s="183"/>
      <c r="F50" s="183"/>
    </row>
    <row r="51">
      <c r="B51" s="183"/>
      <c r="C51" s="183"/>
      <c r="E51" s="183"/>
      <c r="F51" s="183"/>
    </row>
    <row r="52">
      <c r="B52" s="183"/>
      <c r="C52" s="183"/>
      <c r="E52" s="183"/>
      <c r="F52" s="183"/>
    </row>
    <row r="53">
      <c r="B53" s="183"/>
      <c r="C53" s="183"/>
      <c r="E53" s="183"/>
      <c r="F53" s="183"/>
    </row>
    <row r="54">
      <c r="B54" s="183"/>
      <c r="C54" s="183"/>
      <c r="E54" s="183"/>
      <c r="F54" s="183"/>
    </row>
    <row r="55">
      <c r="B55" s="183"/>
      <c r="C55" s="183"/>
      <c r="E55" s="183"/>
      <c r="F55" s="183"/>
    </row>
    <row r="56">
      <c r="B56" s="183"/>
      <c r="C56" s="183"/>
      <c r="E56" s="183"/>
      <c r="F56" s="183"/>
    </row>
    <row r="57">
      <c r="B57" s="183"/>
      <c r="C57" s="183"/>
      <c r="E57" s="183"/>
      <c r="F57" s="183"/>
    </row>
    <row r="58">
      <c r="B58" s="183"/>
      <c r="C58" s="183"/>
      <c r="E58" s="183"/>
      <c r="F58" s="183"/>
    </row>
    <row r="59">
      <c r="B59" s="183"/>
      <c r="C59" s="183"/>
      <c r="E59" s="183"/>
      <c r="F59" s="183"/>
    </row>
    <row r="60">
      <c r="B60" s="183"/>
      <c r="C60" s="183"/>
      <c r="E60" s="183"/>
      <c r="F60" s="183"/>
    </row>
    <row r="61">
      <c r="B61" s="183"/>
      <c r="C61" s="183"/>
      <c r="E61" s="183"/>
      <c r="F61" s="183"/>
    </row>
    <row r="62">
      <c r="B62" s="183"/>
      <c r="C62" s="183"/>
      <c r="E62" s="183"/>
      <c r="F62" s="183"/>
    </row>
    <row r="63">
      <c r="B63" s="183"/>
      <c r="C63" s="183"/>
      <c r="E63" s="183"/>
      <c r="F63" s="183"/>
    </row>
    <row r="64">
      <c r="B64" s="183"/>
      <c r="C64" s="183"/>
      <c r="E64" s="183"/>
      <c r="F64" s="183"/>
    </row>
    <row r="65">
      <c r="B65" s="183"/>
      <c r="C65" s="183"/>
      <c r="E65" s="183"/>
      <c r="F65" s="183"/>
    </row>
    <row r="66">
      <c r="B66" s="183"/>
      <c r="C66" s="183"/>
      <c r="E66" s="183"/>
      <c r="F66" s="183"/>
    </row>
    <row r="67">
      <c r="B67" s="183"/>
      <c r="C67" s="183"/>
      <c r="E67" s="183"/>
      <c r="F67" s="183"/>
    </row>
    <row r="68">
      <c r="B68" s="183"/>
      <c r="C68" s="183"/>
      <c r="E68" s="183"/>
      <c r="F68" s="183"/>
    </row>
    <row r="69">
      <c r="B69" s="183"/>
      <c r="C69" s="183"/>
      <c r="E69" s="183"/>
      <c r="F69" s="183"/>
    </row>
    <row r="70">
      <c r="B70" s="183"/>
      <c r="C70" s="183"/>
      <c r="E70" s="183"/>
      <c r="F70" s="183"/>
    </row>
    <row r="71">
      <c r="B71" s="183"/>
      <c r="C71" s="183"/>
      <c r="E71" s="183"/>
      <c r="F71" s="183"/>
    </row>
    <row r="72">
      <c r="B72" s="183"/>
      <c r="C72" s="183"/>
      <c r="E72" s="183"/>
      <c r="F72" s="183"/>
    </row>
    <row r="73">
      <c r="B73" s="183"/>
      <c r="C73" s="183"/>
      <c r="E73" s="183"/>
      <c r="F73" s="183"/>
    </row>
    <row r="74">
      <c r="B74" s="183"/>
      <c r="C74" s="183"/>
      <c r="E74" s="183"/>
      <c r="F74" s="183"/>
    </row>
    <row r="75">
      <c r="B75" s="183"/>
      <c r="C75" s="183"/>
      <c r="E75" s="183"/>
      <c r="F75" s="183"/>
    </row>
    <row r="76">
      <c r="B76" s="183"/>
      <c r="C76" s="183"/>
      <c r="E76" s="183"/>
      <c r="F76" s="183"/>
    </row>
    <row r="77">
      <c r="B77" s="183"/>
      <c r="C77" s="183"/>
      <c r="E77" s="183"/>
      <c r="F77" s="183"/>
    </row>
    <row r="78">
      <c r="B78" s="183"/>
      <c r="C78" s="183"/>
      <c r="E78" s="183"/>
      <c r="F78" s="183"/>
    </row>
    <row r="79">
      <c r="B79" s="183"/>
      <c r="C79" s="183"/>
      <c r="E79" s="183"/>
      <c r="F79" s="183"/>
    </row>
    <row r="80">
      <c r="B80" s="183"/>
      <c r="C80" s="183"/>
      <c r="E80" s="183"/>
      <c r="F80" s="183"/>
    </row>
    <row r="81">
      <c r="B81" s="183"/>
      <c r="C81" s="183"/>
      <c r="E81" s="183"/>
      <c r="F81" s="183"/>
    </row>
    <row r="82">
      <c r="B82" s="183"/>
      <c r="C82" s="183"/>
      <c r="E82" s="183"/>
      <c r="F82" s="183"/>
    </row>
    <row r="83">
      <c r="B83" s="183"/>
      <c r="C83" s="183"/>
      <c r="E83" s="183"/>
      <c r="F83" s="183"/>
    </row>
    <row r="84">
      <c r="B84" s="183"/>
      <c r="C84" s="183"/>
      <c r="E84" s="183"/>
      <c r="F84" s="183"/>
    </row>
    <row r="85">
      <c r="B85" s="183"/>
      <c r="C85" s="183"/>
      <c r="E85" s="183"/>
      <c r="F85" s="183"/>
    </row>
    <row r="86">
      <c r="B86" s="183"/>
      <c r="C86" s="183"/>
      <c r="E86" s="183"/>
      <c r="F86" s="183"/>
    </row>
    <row r="87">
      <c r="B87" s="183"/>
      <c r="C87" s="183"/>
      <c r="E87" s="183"/>
      <c r="F87" s="183"/>
    </row>
    <row r="88">
      <c r="B88" s="183"/>
      <c r="C88" s="183"/>
      <c r="E88" s="183"/>
      <c r="F88" s="183"/>
    </row>
    <row r="89">
      <c r="B89" s="183"/>
      <c r="C89" s="183"/>
      <c r="E89" s="183"/>
      <c r="F89" s="183"/>
    </row>
    <row r="90">
      <c r="B90" s="183"/>
      <c r="C90" s="183"/>
      <c r="E90" s="183"/>
      <c r="F90" s="183"/>
    </row>
    <row r="91">
      <c r="B91" s="183"/>
      <c r="C91" s="183"/>
      <c r="E91" s="183"/>
      <c r="F91" s="183"/>
    </row>
    <row r="92">
      <c r="B92" s="183"/>
      <c r="C92" s="183"/>
      <c r="E92" s="183"/>
      <c r="F92" s="183"/>
    </row>
    <row r="93">
      <c r="B93" s="183"/>
      <c r="C93" s="183"/>
      <c r="E93" s="183"/>
      <c r="F93" s="183"/>
    </row>
    <row r="94">
      <c r="B94" s="183"/>
      <c r="C94" s="183"/>
      <c r="E94" s="183"/>
      <c r="F94" s="183"/>
    </row>
    <row r="95">
      <c r="B95" s="183"/>
      <c r="C95" s="183"/>
      <c r="E95" s="183"/>
      <c r="F95" s="183"/>
    </row>
    <row r="96">
      <c r="B96" s="183"/>
      <c r="C96" s="183"/>
      <c r="E96" s="183"/>
      <c r="F96" s="183"/>
    </row>
    <row r="97">
      <c r="B97" s="183"/>
      <c r="C97" s="183"/>
      <c r="E97" s="183"/>
      <c r="F97" s="183"/>
    </row>
    <row r="98">
      <c r="B98" s="183"/>
      <c r="C98" s="183"/>
      <c r="E98" s="183"/>
      <c r="F98" s="183"/>
    </row>
    <row r="99">
      <c r="B99" s="183"/>
      <c r="C99" s="183"/>
      <c r="E99" s="183"/>
      <c r="F99" s="183"/>
    </row>
    <row r="100">
      <c r="B100" s="183"/>
      <c r="C100" s="183"/>
      <c r="E100" s="183"/>
      <c r="F100" s="183"/>
    </row>
    <row r="101">
      <c r="B101" s="183"/>
      <c r="C101" s="183"/>
      <c r="E101" s="183"/>
      <c r="F101" s="183"/>
    </row>
    <row r="102">
      <c r="B102" s="183"/>
      <c r="C102" s="183"/>
      <c r="E102" s="183"/>
      <c r="F102" s="183"/>
    </row>
    <row r="103">
      <c r="B103" s="183"/>
      <c r="C103" s="183"/>
      <c r="E103" s="183"/>
      <c r="F103" s="183"/>
    </row>
    <row r="104">
      <c r="B104" s="183"/>
      <c r="C104" s="183"/>
      <c r="E104" s="183"/>
      <c r="F104" s="183"/>
    </row>
    <row r="105">
      <c r="B105" s="183"/>
      <c r="C105" s="183"/>
      <c r="E105" s="183"/>
      <c r="F105" s="183"/>
    </row>
    <row r="106">
      <c r="B106" s="183"/>
      <c r="C106" s="183"/>
      <c r="E106" s="183"/>
      <c r="F106" s="183"/>
    </row>
    <row r="107">
      <c r="B107" s="183"/>
      <c r="C107" s="183"/>
      <c r="E107" s="183"/>
      <c r="F107" s="183"/>
    </row>
    <row r="108">
      <c r="B108" s="183"/>
      <c r="C108" s="183"/>
      <c r="E108" s="183"/>
      <c r="F108" s="183"/>
    </row>
    <row r="109">
      <c r="B109" s="183"/>
      <c r="C109" s="183"/>
      <c r="E109" s="183"/>
      <c r="F109" s="183"/>
    </row>
    <row r="110">
      <c r="B110" s="183"/>
      <c r="C110" s="183"/>
      <c r="E110" s="183"/>
      <c r="F110" s="183"/>
    </row>
    <row r="111">
      <c r="B111" s="183"/>
      <c r="C111" s="183"/>
      <c r="E111" s="183"/>
      <c r="F111" s="183"/>
    </row>
    <row r="112">
      <c r="B112" s="183"/>
      <c r="C112" s="183"/>
      <c r="E112" s="183"/>
      <c r="F112" s="183"/>
    </row>
    <row r="113">
      <c r="B113" s="183"/>
      <c r="C113" s="183"/>
      <c r="E113" s="183"/>
      <c r="F113" s="183"/>
    </row>
    <row r="114">
      <c r="B114" s="183"/>
      <c r="C114" s="183"/>
      <c r="E114" s="183"/>
      <c r="F114" s="183"/>
    </row>
    <row r="115">
      <c r="B115" s="183"/>
      <c r="C115" s="183"/>
      <c r="E115" s="183"/>
      <c r="F115" s="183"/>
    </row>
    <row r="116">
      <c r="B116" s="183"/>
      <c r="C116" s="183"/>
      <c r="E116" s="183"/>
      <c r="F116" s="183"/>
    </row>
    <row r="117">
      <c r="B117" s="183"/>
      <c r="C117" s="183"/>
      <c r="E117" s="183"/>
      <c r="F117" s="183"/>
    </row>
    <row r="118">
      <c r="B118" s="183"/>
      <c r="C118" s="183"/>
      <c r="E118" s="183"/>
      <c r="F118" s="183"/>
    </row>
    <row r="119">
      <c r="B119" s="183"/>
      <c r="C119" s="183"/>
      <c r="E119" s="183"/>
      <c r="F119" s="183"/>
    </row>
    <row r="120">
      <c r="B120" s="183"/>
      <c r="C120" s="183"/>
      <c r="E120" s="183"/>
      <c r="F120" s="183"/>
    </row>
    <row r="121">
      <c r="B121" s="183"/>
      <c r="C121" s="183"/>
      <c r="E121" s="183"/>
      <c r="F121" s="183"/>
    </row>
    <row r="122">
      <c r="B122" s="183"/>
      <c r="C122" s="183"/>
      <c r="E122" s="183"/>
      <c r="F122" s="183"/>
    </row>
    <row r="123">
      <c r="B123" s="183"/>
      <c r="C123" s="183"/>
      <c r="E123" s="183"/>
      <c r="F123" s="183"/>
    </row>
    <row r="124">
      <c r="B124" s="183"/>
      <c r="C124" s="183"/>
      <c r="E124" s="183"/>
      <c r="F124" s="183"/>
    </row>
    <row r="125">
      <c r="B125" s="183"/>
      <c r="C125" s="183"/>
      <c r="E125" s="183"/>
      <c r="F125" s="183"/>
    </row>
    <row r="126">
      <c r="B126" s="183"/>
      <c r="C126" s="183"/>
      <c r="E126" s="183"/>
      <c r="F126" s="183"/>
    </row>
    <row r="127">
      <c r="B127" s="183"/>
      <c r="C127" s="183"/>
      <c r="E127" s="183"/>
      <c r="F127" s="183"/>
    </row>
    <row r="128">
      <c r="B128" s="183"/>
      <c r="C128" s="183"/>
      <c r="E128" s="183"/>
      <c r="F128" s="183"/>
    </row>
    <row r="129">
      <c r="B129" s="183"/>
      <c r="C129" s="183"/>
      <c r="E129" s="183"/>
      <c r="F129" s="183"/>
    </row>
    <row r="130">
      <c r="B130" s="183"/>
      <c r="C130" s="183"/>
      <c r="E130" s="183"/>
      <c r="F130" s="183"/>
    </row>
    <row r="131">
      <c r="B131" s="183"/>
      <c r="C131" s="183"/>
      <c r="E131" s="183"/>
      <c r="F131" s="183"/>
    </row>
    <row r="132">
      <c r="B132" s="183"/>
      <c r="C132" s="183"/>
      <c r="E132" s="183"/>
      <c r="F132" s="183"/>
    </row>
    <row r="133">
      <c r="B133" s="183"/>
      <c r="C133" s="183"/>
      <c r="E133" s="183"/>
      <c r="F133" s="183"/>
    </row>
    <row r="134">
      <c r="B134" s="183"/>
      <c r="C134" s="183"/>
      <c r="E134" s="183"/>
      <c r="F134" s="183"/>
    </row>
    <row r="135">
      <c r="B135" s="183"/>
      <c r="C135" s="183"/>
      <c r="E135" s="183"/>
      <c r="F135" s="183"/>
    </row>
    <row r="136">
      <c r="B136" s="183"/>
      <c r="C136" s="183"/>
      <c r="E136" s="183"/>
      <c r="F136" s="183"/>
    </row>
    <row r="137">
      <c r="B137" s="183"/>
      <c r="C137" s="183"/>
      <c r="E137" s="183"/>
      <c r="F137" s="183"/>
    </row>
    <row r="138">
      <c r="B138" s="183"/>
      <c r="C138" s="183"/>
      <c r="E138" s="183"/>
      <c r="F138" s="183"/>
    </row>
    <row r="139">
      <c r="B139" s="183"/>
      <c r="C139" s="183"/>
      <c r="E139" s="183"/>
      <c r="F139" s="183"/>
    </row>
    <row r="140">
      <c r="B140" s="183"/>
      <c r="C140" s="183"/>
      <c r="E140" s="183"/>
      <c r="F140" s="183"/>
    </row>
    <row r="141">
      <c r="B141" s="183"/>
      <c r="C141" s="183"/>
      <c r="E141" s="183"/>
      <c r="F141" s="183"/>
    </row>
    <row r="142">
      <c r="B142" s="183"/>
      <c r="C142" s="183"/>
      <c r="E142" s="183"/>
      <c r="F142" s="183"/>
    </row>
    <row r="143">
      <c r="B143" s="183"/>
      <c r="C143" s="183"/>
      <c r="E143" s="183"/>
      <c r="F143" s="183"/>
    </row>
    <row r="144">
      <c r="B144" s="183"/>
      <c r="C144" s="183"/>
      <c r="E144" s="183"/>
      <c r="F144" s="183"/>
    </row>
    <row r="145">
      <c r="B145" s="183"/>
      <c r="C145" s="183"/>
      <c r="E145" s="183"/>
      <c r="F145" s="183"/>
    </row>
    <row r="146">
      <c r="B146" s="183"/>
      <c r="C146" s="183"/>
      <c r="E146" s="183"/>
      <c r="F146" s="183"/>
    </row>
    <row r="147">
      <c r="B147" s="183"/>
      <c r="C147" s="183"/>
      <c r="E147" s="183"/>
      <c r="F147" s="183"/>
    </row>
    <row r="148">
      <c r="B148" s="183"/>
      <c r="C148" s="183"/>
      <c r="E148" s="183"/>
      <c r="F148" s="183"/>
    </row>
    <row r="149">
      <c r="B149" s="183"/>
      <c r="C149" s="183"/>
      <c r="E149" s="183"/>
      <c r="F149" s="183"/>
    </row>
    <row r="150">
      <c r="B150" s="183"/>
      <c r="C150" s="183"/>
      <c r="E150" s="183"/>
      <c r="F150" s="183"/>
    </row>
    <row r="151">
      <c r="B151" s="183"/>
      <c r="C151" s="183"/>
      <c r="E151" s="183"/>
      <c r="F151" s="183"/>
    </row>
    <row r="152">
      <c r="B152" s="183"/>
      <c r="C152" s="183"/>
      <c r="E152" s="183"/>
      <c r="F152" s="183"/>
    </row>
    <row r="153">
      <c r="B153" s="183"/>
      <c r="C153" s="183"/>
      <c r="E153" s="183"/>
      <c r="F153" s="183"/>
    </row>
    <row r="154">
      <c r="B154" s="183"/>
      <c r="C154" s="183"/>
      <c r="E154" s="183"/>
      <c r="F154" s="183"/>
    </row>
    <row r="155">
      <c r="B155" s="183"/>
      <c r="C155" s="183"/>
      <c r="E155" s="183"/>
      <c r="F155" s="183"/>
    </row>
    <row r="156">
      <c r="B156" s="183"/>
      <c r="C156" s="183"/>
      <c r="E156" s="183"/>
      <c r="F156" s="183"/>
    </row>
    <row r="157">
      <c r="B157" s="183"/>
      <c r="C157" s="183"/>
      <c r="E157" s="183"/>
      <c r="F157" s="183"/>
    </row>
    <row r="158">
      <c r="B158" s="183"/>
      <c r="C158" s="183"/>
      <c r="E158" s="183"/>
      <c r="F158" s="183"/>
    </row>
    <row r="159">
      <c r="B159" s="183"/>
      <c r="C159" s="183"/>
      <c r="E159" s="183"/>
      <c r="F159" s="183"/>
    </row>
    <row r="160">
      <c r="B160" s="183"/>
      <c r="C160" s="183"/>
      <c r="E160" s="183"/>
      <c r="F160" s="183"/>
    </row>
    <row r="161">
      <c r="B161" s="183"/>
      <c r="C161" s="183"/>
      <c r="E161" s="183"/>
      <c r="F161" s="183"/>
    </row>
    <row r="162">
      <c r="B162" s="183"/>
      <c r="C162" s="183"/>
      <c r="E162" s="183"/>
      <c r="F162" s="183"/>
    </row>
    <row r="163">
      <c r="B163" s="183"/>
      <c r="C163" s="183"/>
      <c r="E163" s="183"/>
      <c r="F163" s="183"/>
    </row>
    <row r="164">
      <c r="B164" s="183"/>
      <c r="C164" s="183"/>
      <c r="E164" s="183"/>
      <c r="F164" s="183"/>
    </row>
    <row r="165">
      <c r="B165" s="183"/>
      <c r="C165" s="183"/>
      <c r="E165" s="183"/>
      <c r="F165" s="183"/>
    </row>
    <row r="166">
      <c r="B166" s="183"/>
      <c r="C166" s="183"/>
      <c r="E166" s="183"/>
      <c r="F166" s="183"/>
    </row>
    <row r="167">
      <c r="B167" s="183"/>
      <c r="C167" s="183"/>
      <c r="E167" s="183"/>
      <c r="F167" s="183"/>
    </row>
    <row r="168">
      <c r="B168" s="183"/>
      <c r="C168" s="183"/>
      <c r="E168" s="183"/>
      <c r="F168" s="183"/>
    </row>
    <row r="169">
      <c r="B169" s="183"/>
      <c r="C169" s="183"/>
      <c r="E169" s="183"/>
      <c r="F169" s="183"/>
    </row>
    <row r="170">
      <c r="B170" s="183"/>
      <c r="C170" s="183"/>
      <c r="E170" s="183"/>
      <c r="F170" s="183"/>
    </row>
    <row r="171">
      <c r="B171" s="183"/>
      <c r="C171" s="183"/>
      <c r="E171" s="183"/>
      <c r="F171" s="183"/>
    </row>
    <row r="172">
      <c r="B172" s="183"/>
      <c r="C172" s="183"/>
      <c r="E172" s="183"/>
      <c r="F172" s="183"/>
    </row>
    <row r="173">
      <c r="B173" s="183"/>
      <c r="C173" s="183"/>
      <c r="E173" s="183"/>
      <c r="F173" s="183"/>
    </row>
    <row r="174">
      <c r="B174" s="183"/>
      <c r="C174" s="183"/>
      <c r="E174" s="183"/>
      <c r="F174" s="183"/>
    </row>
    <row r="175">
      <c r="B175" s="183"/>
      <c r="C175" s="183"/>
      <c r="E175" s="183"/>
      <c r="F175" s="183"/>
    </row>
    <row r="176">
      <c r="B176" s="183"/>
      <c r="C176" s="183"/>
      <c r="E176" s="183"/>
      <c r="F176" s="183"/>
    </row>
    <row r="177">
      <c r="B177" s="183"/>
      <c r="C177" s="183"/>
      <c r="E177" s="183"/>
      <c r="F177" s="183"/>
    </row>
    <row r="178">
      <c r="B178" s="183"/>
      <c r="C178" s="183"/>
      <c r="E178" s="183"/>
      <c r="F178" s="183"/>
    </row>
    <row r="179">
      <c r="B179" s="183"/>
      <c r="C179" s="183"/>
      <c r="E179" s="183"/>
      <c r="F179" s="183"/>
    </row>
    <row r="180">
      <c r="B180" s="183"/>
      <c r="C180" s="183"/>
      <c r="E180" s="183"/>
      <c r="F180" s="183"/>
    </row>
    <row r="181">
      <c r="B181" s="183"/>
      <c r="C181" s="183"/>
      <c r="E181" s="183"/>
      <c r="F181" s="183"/>
    </row>
    <row r="182">
      <c r="B182" s="183"/>
      <c r="C182" s="183"/>
      <c r="E182" s="183"/>
      <c r="F182" s="183"/>
    </row>
    <row r="183">
      <c r="B183" s="183"/>
      <c r="C183" s="183"/>
      <c r="E183" s="183"/>
      <c r="F183" s="183"/>
    </row>
    <row r="184">
      <c r="B184" s="183"/>
      <c r="C184" s="183"/>
      <c r="E184" s="183"/>
      <c r="F184" s="183"/>
    </row>
    <row r="185">
      <c r="B185" s="183"/>
      <c r="C185" s="183"/>
      <c r="E185" s="183"/>
      <c r="F185" s="183"/>
    </row>
    <row r="186">
      <c r="B186" s="183"/>
      <c r="C186" s="183"/>
      <c r="E186" s="183"/>
      <c r="F186" s="183"/>
    </row>
    <row r="187">
      <c r="B187" s="183"/>
      <c r="C187" s="183"/>
      <c r="E187" s="183"/>
      <c r="F187" s="183"/>
    </row>
    <row r="188">
      <c r="B188" s="183"/>
      <c r="C188" s="183"/>
      <c r="E188" s="183"/>
      <c r="F188" s="183"/>
    </row>
    <row r="189">
      <c r="B189" s="183"/>
      <c r="C189" s="183"/>
      <c r="E189" s="183"/>
      <c r="F189" s="183"/>
    </row>
    <row r="190">
      <c r="B190" s="183"/>
      <c r="C190" s="183"/>
      <c r="E190" s="183"/>
      <c r="F190" s="183"/>
    </row>
    <row r="191">
      <c r="B191" s="183"/>
      <c r="C191" s="183"/>
      <c r="E191" s="183"/>
      <c r="F191" s="183"/>
    </row>
    <row r="192">
      <c r="B192" s="183"/>
      <c r="C192" s="183"/>
      <c r="E192" s="183"/>
      <c r="F192" s="183"/>
    </row>
    <row r="193">
      <c r="B193" s="183"/>
      <c r="C193" s="183"/>
      <c r="E193" s="183"/>
      <c r="F193" s="183"/>
    </row>
    <row r="194">
      <c r="B194" s="183"/>
      <c r="C194" s="183"/>
      <c r="E194" s="183"/>
      <c r="F194" s="183"/>
    </row>
    <row r="195">
      <c r="B195" s="183"/>
      <c r="C195" s="183"/>
      <c r="E195" s="183"/>
      <c r="F195" s="183"/>
    </row>
    <row r="196">
      <c r="B196" s="183"/>
      <c r="C196" s="183"/>
      <c r="E196" s="183"/>
      <c r="F196" s="183"/>
    </row>
    <row r="197">
      <c r="B197" s="183"/>
      <c r="C197" s="183"/>
      <c r="E197" s="183"/>
      <c r="F197" s="183"/>
    </row>
    <row r="198">
      <c r="B198" s="183"/>
      <c r="C198" s="183"/>
      <c r="E198" s="183"/>
      <c r="F198" s="183"/>
    </row>
    <row r="199">
      <c r="B199" s="183"/>
      <c r="C199" s="183"/>
      <c r="E199" s="183"/>
      <c r="F199" s="183"/>
    </row>
    <row r="200">
      <c r="B200" s="183"/>
      <c r="C200" s="183"/>
      <c r="E200" s="183"/>
      <c r="F200" s="183"/>
    </row>
    <row r="201">
      <c r="B201" s="183"/>
      <c r="C201" s="183"/>
      <c r="E201" s="183"/>
      <c r="F201" s="183"/>
    </row>
    <row r="202">
      <c r="B202" s="183"/>
      <c r="C202" s="183"/>
      <c r="E202" s="183"/>
      <c r="F202" s="183"/>
    </row>
    <row r="203">
      <c r="B203" s="183"/>
      <c r="C203" s="183"/>
      <c r="E203" s="183"/>
      <c r="F203" s="183"/>
    </row>
    <row r="204">
      <c r="B204" s="183"/>
      <c r="C204" s="183"/>
      <c r="E204" s="183"/>
      <c r="F204" s="183"/>
    </row>
    <row r="205">
      <c r="B205" s="183"/>
      <c r="C205" s="183"/>
      <c r="E205" s="183"/>
      <c r="F205" s="183"/>
    </row>
    <row r="206">
      <c r="B206" s="183"/>
      <c r="C206" s="183"/>
      <c r="E206" s="183"/>
      <c r="F206" s="183"/>
    </row>
    <row r="207">
      <c r="B207" s="183"/>
      <c r="C207" s="183"/>
      <c r="E207" s="183"/>
      <c r="F207" s="183"/>
    </row>
    <row r="208">
      <c r="B208" s="183"/>
      <c r="C208" s="183"/>
      <c r="E208" s="183"/>
      <c r="F208" s="183"/>
    </row>
    <row r="209">
      <c r="B209" s="183"/>
      <c r="C209" s="183"/>
      <c r="E209" s="183"/>
      <c r="F209" s="183"/>
    </row>
    <row r="210">
      <c r="B210" s="183"/>
      <c r="C210" s="183"/>
      <c r="E210" s="183"/>
      <c r="F210" s="183"/>
    </row>
    <row r="211">
      <c r="B211" s="183"/>
      <c r="C211" s="183"/>
      <c r="E211" s="183"/>
      <c r="F211" s="183"/>
    </row>
    <row r="212">
      <c r="B212" s="183"/>
      <c r="C212" s="183"/>
      <c r="E212" s="183"/>
      <c r="F212" s="183"/>
    </row>
    <row r="213">
      <c r="B213" s="183"/>
      <c r="C213" s="183"/>
      <c r="E213" s="183"/>
      <c r="F213" s="183"/>
    </row>
    <row r="214">
      <c r="B214" s="183"/>
      <c r="C214" s="183"/>
      <c r="E214" s="183"/>
      <c r="F214" s="183"/>
    </row>
    <row r="215">
      <c r="B215" s="183"/>
      <c r="C215" s="183"/>
      <c r="E215" s="183"/>
      <c r="F215" s="183"/>
    </row>
    <row r="216">
      <c r="B216" s="183"/>
      <c r="C216" s="183"/>
      <c r="E216" s="183"/>
      <c r="F216" s="183"/>
    </row>
    <row r="217">
      <c r="B217" s="183"/>
      <c r="C217" s="183"/>
      <c r="E217" s="183"/>
      <c r="F217" s="183"/>
    </row>
    <row r="218">
      <c r="B218" s="183"/>
      <c r="C218" s="183"/>
      <c r="E218" s="183"/>
      <c r="F218" s="183"/>
    </row>
    <row r="219">
      <c r="B219" s="183"/>
      <c r="C219" s="183"/>
      <c r="E219" s="183"/>
      <c r="F219" s="183"/>
    </row>
    <row r="220">
      <c r="B220" s="183"/>
      <c r="C220" s="183"/>
      <c r="E220" s="183"/>
      <c r="F220" s="183"/>
    </row>
    <row r="221">
      <c r="B221" s="183"/>
      <c r="C221" s="183"/>
      <c r="E221" s="183"/>
      <c r="F221" s="183"/>
    </row>
    <row r="222">
      <c r="B222" s="183"/>
      <c r="C222" s="183"/>
      <c r="E222" s="183"/>
      <c r="F222" s="183"/>
    </row>
    <row r="223">
      <c r="B223" s="183"/>
      <c r="C223" s="183"/>
      <c r="E223" s="183"/>
      <c r="F223" s="183"/>
    </row>
    <row r="224">
      <c r="B224" s="183"/>
      <c r="C224" s="183"/>
      <c r="E224" s="183"/>
      <c r="F224" s="183"/>
    </row>
    <row r="225">
      <c r="B225" s="183"/>
      <c r="C225" s="183"/>
      <c r="E225" s="183"/>
      <c r="F225" s="183"/>
    </row>
    <row r="226">
      <c r="B226" s="183"/>
      <c r="C226" s="183"/>
      <c r="E226" s="183"/>
      <c r="F226" s="183"/>
    </row>
    <row r="227">
      <c r="B227" s="183"/>
      <c r="C227" s="183"/>
      <c r="E227" s="183"/>
      <c r="F227" s="183"/>
    </row>
    <row r="228">
      <c r="B228" s="183"/>
      <c r="C228" s="183"/>
      <c r="E228" s="183"/>
      <c r="F228" s="183"/>
    </row>
    <row r="229">
      <c r="B229" s="183"/>
      <c r="C229" s="183"/>
      <c r="E229" s="183"/>
      <c r="F229" s="183"/>
    </row>
    <row r="230">
      <c r="B230" s="183"/>
      <c r="C230" s="183"/>
      <c r="E230" s="183"/>
      <c r="F230" s="183"/>
    </row>
    <row r="231">
      <c r="B231" s="183"/>
      <c r="C231" s="183"/>
      <c r="E231" s="183"/>
      <c r="F231" s="183"/>
    </row>
    <row r="232">
      <c r="B232" s="183"/>
      <c r="C232" s="183"/>
      <c r="E232" s="183"/>
      <c r="F232" s="183"/>
    </row>
    <row r="233">
      <c r="B233" s="183"/>
      <c r="C233" s="183"/>
      <c r="E233" s="183"/>
      <c r="F233" s="183"/>
    </row>
    <row r="234">
      <c r="B234" s="183"/>
      <c r="C234" s="183"/>
      <c r="E234" s="183"/>
      <c r="F234" s="183"/>
    </row>
    <row r="235">
      <c r="B235" s="183"/>
      <c r="C235" s="183"/>
      <c r="E235" s="183"/>
      <c r="F235" s="183"/>
    </row>
    <row r="236">
      <c r="B236" s="183"/>
      <c r="C236" s="183"/>
      <c r="E236" s="183"/>
      <c r="F236" s="183"/>
    </row>
    <row r="237">
      <c r="B237" s="183"/>
      <c r="C237" s="183"/>
      <c r="E237" s="183"/>
      <c r="F237" s="183"/>
    </row>
    <row r="238">
      <c r="B238" s="183"/>
      <c r="C238" s="183"/>
      <c r="E238" s="183"/>
      <c r="F238" s="183"/>
    </row>
    <row r="239">
      <c r="B239" s="183"/>
      <c r="C239" s="183"/>
      <c r="E239" s="183"/>
      <c r="F239" s="183"/>
    </row>
    <row r="240">
      <c r="B240" s="183"/>
      <c r="C240" s="183"/>
      <c r="E240" s="183"/>
      <c r="F240" s="183"/>
    </row>
    <row r="241">
      <c r="B241" s="183"/>
      <c r="C241" s="183"/>
      <c r="E241" s="183"/>
      <c r="F241" s="183"/>
    </row>
    <row r="242">
      <c r="B242" s="183"/>
      <c r="C242" s="183"/>
      <c r="E242" s="183"/>
      <c r="F242" s="183"/>
    </row>
    <row r="243">
      <c r="B243" s="183"/>
      <c r="C243" s="183"/>
      <c r="E243" s="183"/>
      <c r="F243" s="183"/>
    </row>
    <row r="244">
      <c r="B244" s="183"/>
      <c r="C244" s="183"/>
      <c r="E244" s="183"/>
      <c r="F244" s="183"/>
    </row>
    <row r="245">
      <c r="B245" s="183"/>
      <c r="C245" s="183"/>
      <c r="E245" s="183"/>
      <c r="F245" s="183"/>
    </row>
    <row r="246">
      <c r="B246" s="183"/>
      <c r="C246" s="183"/>
      <c r="E246" s="183"/>
      <c r="F246" s="183"/>
    </row>
    <row r="247">
      <c r="B247" s="183"/>
      <c r="C247" s="183"/>
      <c r="E247" s="183"/>
      <c r="F247" s="183"/>
    </row>
    <row r="248">
      <c r="B248" s="183"/>
      <c r="C248" s="183"/>
      <c r="E248" s="183"/>
      <c r="F248" s="183"/>
    </row>
    <row r="249">
      <c r="B249" s="183"/>
      <c r="C249" s="183"/>
      <c r="E249" s="183"/>
      <c r="F249" s="183"/>
    </row>
    <row r="250">
      <c r="B250" s="183"/>
      <c r="C250" s="183"/>
      <c r="E250" s="183"/>
      <c r="F250" s="183"/>
    </row>
    <row r="251">
      <c r="B251" s="183"/>
      <c r="C251" s="183"/>
      <c r="E251" s="183"/>
      <c r="F251" s="183"/>
    </row>
    <row r="252">
      <c r="B252" s="183"/>
      <c r="C252" s="183"/>
      <c r="E252" s="183"/>
      <c r="F252" s="183"/>
    </row>
    <row r="253">
      <c r="B253" s="183"/>
      <c r="C253" s="183"/>
      <c r="E253" s="183"/>
      <c r="F253" s="183"/>
    </row>
    <row r="254">
      <c r="B254" s="183"/>
      <c r="C254" s="183"/>
      <c r="E254" s="183"/>
      <c r="F254" s="183"/>
    </row>
    <row r="255">
      <c r="B255" s="183"/>
      <c r="C255" s="183"/>
      <c r="E255" s="183"/>
      <c r="F255" s="183"/>
    </row>
    <row r="256">
      <c r="B256" s="183"/>
      <c r="C256" s="183"/>
      <c r="E256" s="183"/>
      <c r="F256" s="183"/>
    </row>
    <row r="257">
      <c r="B257" s="183"/>
      <c r="C257" s="183"/>
      <c r="E257" s="183"/>
      <c r="F257" s="183"/>
    </row>
    <row r="258">
      <c r="B258" s="183"/>
      <c r="C258" s="183"/>
      <c r="E258" s="183"/>
      <c r="F258" s="183"/>
    </row>
    <row r="259">
      <c r="B259" s="183"/>
      <c r="C259" s="183"/>
      <c r="E259" s="183"/>
      <c r="F259" s="183"/>
    </row>
    <row r="260">
      <c r="B260" s="183"/>
      <c r="C260" s="183"/>
      <c r="E260" s="183"/>
      <c r="F260" s="183"/>
    </row>
    <row r="261">
      <c r="B261" s="183"/>
      <c r="C261" s="183"/>
      <c r="E261" s="183"/>
      <c r="F261" s="183"/>
    </row>
    <row r="262">
      <c r="B262" s="183"/>
      <c r="C262" s="183"/>
      <c r="E262" s="183"/>
      <c r="F262" s="183"/>
    </row>
    <row r="263">
      <c r="B263" s="183"/>
      <c r="C263" s="183"/>
      <c r="E263" s="183"/>
      <c r="F263" s="183"/>
    </row>
    <row r="264">
      <c r="B264" s="183"/>
      <c r="C264" s="183"/>
      <c r="E264" s="183"/>
      <c r="F264" s="183"/>
    </row>
    <row r="265">
      <c r="B265" s="183"/>
      <c r="C265" s="183"/>
      <c r="E265" s="183"/>
      <c r="F265" s="183"/>
    </row>
    <row r="266">
      <c r="B266" s="183"/>
      <c r="C266" s="183"/>
      <c r="E266" s="183"/>
      <c r="F266" s="183"/>
    </row>
    <row r="267">
      <c r="B267" s="183"/>
      <c r="C267" s="183"/>
      <c r="E267" s="183"/>
      <c r="F267" s="183"/>
    </row>
    <row r="268">
      <c r="B268" s="183"/>
      <c r="C268" s="183"/>
      <c r="E268" s="183"/>
      <c r="F268" s="183"/>
    </row>
    <row r="269">
      <c r="B269" s="183"/>
      <c r="C269" s="183"/>
      <c r="E269" s="183"/>
      <c r="F269" s="183"/>
    </row>
    <row r="270">
      <c r="B270" s="183"/>
      <c r="C270" s="183"/>
      <c r="E270" s="183"/>
      <c r="F270" s="183"/>
    </row>
    <row r="271">
      <c r="B271" s="183"/>
      <c r="C271" s="183"/>
      <c r="E271" s="183"/>
      <c r="F271" s="183"/>
    </row>
    <row r="272">
      <c r="B272" s="183"/>
      <c r="C272" s="183"/>
      <c r="E272" s="183"/>
      <c r="F272" s="183"/>
    </row>
    <row r="273">
      <c r="B273" s="183"/>
      <c r="C273" s="183"/>
      <c r="E273" s="183"/>
      <c r="F273" s="183"/>
    </row>
    <row r="274">
      <c r="B274" s="183"/>
      <c r="C274" s="183"/>
      <c r="E274" s="183"/>
      <c r="F274" s="183"/>
    </row>
    <row r="275">
      <c r="B275" s="183"/>
      <c r="C275" s="183"/>
      <c r="E275" s="183"/>
      <c r="F275" s="183"/>
    </row>
    <row r="276">
      <c r="B276" s="183"/>
      <c r="C276" s="183"/>
      <c r="E276" s="183"/>
      <c r="F276" s="183"/>
    </row>
    <row r="277">
      <c r="B277" s="183"/>
      <c r="C277" s="183"/>
      <c r="E277" s="183"/>
      <c r="F277" s="183"/>
    </row>
    <row r="278">
      <c r="B278" s="183"/>
      <c r="C278" s="183"/>
      <c r="E278" s="183"/>
      <c r="F278" s="183"/>
    </row>
    <row r="279">
      <c r="B279" s="183"/>
      <c r="C279" s="183"/>
      <c r="E279" s="183"/>
      <c r="F279" s="183"/>
    </row>
    <row r="280">
      <c r="B280" s="183"/>
      <c r="C280" s="183"/>
      <c r="E280" s="183"/>
      <c r="F280" s="183"/>
    </row>
    <row r="281">
      <c r="B281" s="183"/>
      <c r="C281" s="183"/>
      <c r="E281" s="183"/>
      <c r="F281" s="183"/>
    </row>
    <row r="282">
      <c r="B282" s="183"/>
      <c r="C282" s="183"/>
      <c r="E282" s="183"/>
      <c r="F282" s="183"/>
    </row>
    <row r="283">
      <c r="B283" s="183"/>
      <c r="C283" s="183"/>
      <c r="E283" s="183"/>
      <c r="F283" s="183"/>
    </row>
    <row r="284">
      <c r="B284" s="183"/>
      <c r="C284" s="183"/>
      <c r="E284" s="183"/>
      <c r="F284" s="183"/>
    </row>
    <row r="285">
      <c r="B285" s="183"/>
      <c r="C285" s="183"/>
      <c r="E285" s="183"/>
      <c r="F285" s="183"/>
    </row>
    <row r="286">
      <c r="B286" s="183"/>
      <c r="C286" s="183"/>
      <c r="E286" s="183"/>
      <c r="F286" s="183"/>
    </row>
    <row r="287">
      <c r="B287" s="183"/>
      <c r="C287" s="183"/>
      <c r="E287" s="183"/>
      <c r="F287" s="183"/>
    </row>
    <row r="288">
      <c r="B288" s="183"/>
      <c r="C288" s="183"/>
      <c r="E288" s="183"/>
      <c r="F288" s="183"/>
    </row>
    <row r="289">
      <c r="B289" s="183"/>
      <c r="C289" s="183"/>
      <c r="E289" s="183"/>
      <c r="F289" s="183"/>
    </row>
    <row r="290">
      <c r="B290" s="183"/>
      <c r="C290" s="183"/>
      <c r="E290" s="183"/>
      <c r="F290" s="183"/>
    </row>
    <row r="291">
      <c r="B291" s="183"/>
      <c r="C291" s="183"/>
      <c r="E291" s="183"/>
      <c r="F291" s="183"/>
    </row>
    <row r="292">
      <c r="B292" s="183"/>
      <c r="C292" s="183"/>
      <c r="E292" s="183"/>
      <c r="F292" s="183"/>
    </row>
    <row r="293">
      <c r="B293" s="183"/>
      <c r="C293" s="183"/>
      <c r="E293" s="183"/>
      <c r="F293" s="183"/>
    </row>
    <row r="294">
      <c r="B294" s="183"/>
      <c r="C294" s="183"/>
      <c r="E294" s="183"/>
      <c r="F294" s="183"/>
    </row>
    <row r="295">
      <c r="B295" s="183"/>
      <c r="C295" s="183"/>
      <c r="E295" s="183"/>
      <c r="F295" s="183"/>
    </row>
    <row r="296">
      <c r="B296" s="183"/>
      <c r="C296" s="183"/>
      <c r="E296" s="183"/>
      <c r="F296" s="183"/>
    </row>
    <row r="297">
      <c r="B297" s="183"/>
      <c r="C297" s="183"/>
      <c r="E297" s="183"/>
      <c r="F297" s="183"/>
    </row>
    <row r="298">
      <c r="B298" s="183"/>
      <c r="C298" s="183"/>
      <c r="E298" s="183"/>
      <c r="F298" s="183"/>
    </row>
    <row r="299">
      <c r="B299" s="183"/>
      <c r="C299" s="183"/>
      <c r="E299" s="183"/>
      <c r="F299" s="183"/>
    </row>
    <row r="300">
      <c r="B300" s="183"/>
      <c r="C300" s="183"/>
      <c r="E300" s="183"/>
      <c r="F300" s="183"/>
    </row>
    <row r="301">
      <c r="B301" s="183"/>
      <c r="C301" s="183"/>
      <c r="E301" s="183"/>
      <c r="F301" s="183"/>
    </row>
    <row r="302">
      <c r="B302" s="183"/>
      <c r="C302" s="183"/>
      <c r="E302" s="183"/>
      <c r="F302" s="183"/>
    </row>
    <row r="303">
      <c r="B303" s="183"/>
      <c r="C303" s="183"/>
      <c r="E303" s="183"/>
      <c r="F303" s="183"/>
    </row>
    <row r="304">
      <c r="B304" s="183"/>
      <c r="C304" s="183"/>
      <c r="E304" s="183"/>
      <c r="F304" s="183"/>
    </row>
    <row r="305">
      <c r="B305" s="183"/>
      <c r="C305" s="183"/>
      <c r="E305" s="183"/>
      <c r="F305" s="183"/>
    </row>
    <row r="306">
      <c r="B306" s="183"/>
      <c r="C306" s="183"/>
      <c r="E306" s="183"/>
      <c r="F306" s="183"/>
    </row>
    <row r="307">
      <c r="B307" s="183"/>
      <c r="C307" s="183"/>
      <c r="E307" s="183"/>
      <c r="F307" s="183"/>
    </row>
    <row r="308">
      <c r="B308" s="183"/>
      <c r="C308" s="183"/>
      <c r="E308" s="183"/>
      <c r="F308" s="183"/>
    </row>
    <row r="309">
      <c r="B309" s="183"/>
      <c r="C309" s="183"/>
      <c r="E309" s="183"/>
      <c r="F309" s="183"/>
    </row>
    <row r="310">
      <c r="B310" s="183"/>
      <c r="C310" s="183"/>
      <c r="E310" s="183"/>
      <c r="F310" s="183"/>
    </row>
    <row r="311">
      <c r="B311" s="183"/>
      <c r="C311" s="183"/>
      <c r="E311" s="183"/>
      <c r="F311" s="183"/>
    </row>
    <row r="312">
      <c r="B312" s="183"/>
      <c r="C312" s="183"/>
      <c r="E312" s="183"/>
      <c r="F312" s="183"/>
    </row>
    <row r="313">
      <c r="B313" s="183"/>
      <c r="C313" s="183"/>
      <c r="E313" s="183"/>
      <c r="F313" s="183"/>
    </row>
    <row r="314">
      <c r="B314" s="183"/>
      <c r="C314" s="183"/>
      <c r="E314" s="183"/>
      <c r="F314" s="183"/>
    </row>
    <row r="315">
      <c r="B315" s="183"/>
      <c r="C315" s="183"/>
      <c r="E315" s="183"/>
      <c r="F315" s="183"/>
    </row>
    <row r="316">
      <c r="B316" s="183"/>
      <c r="C316" s="183"/>
      <c r="E316" s="183"/>
      <c r="F316" s="183"/>
    </row>
    <row r="317">
      <c r="B317" s="183"/>
      <c r="C317" s="183"/>
      <c r="E317" s="183"/>
      <c r="F317" s="183"/>
    </row>
    <row r="318">
      <c r="B318" s="183"/>
      <c r="C318" s="183"/>
      <c r="E318" s="183"/>
      <c r="F318" s="183"/>
    </row>
    <row r="319">
      <c r="B319" s="183"/>
      <c r="C319" s="183"/>
      <c r="E319" s="183"/>
      <c r="F319" s="183"/>
    </row>
    <row r="320">
      <c r="B320" s="183"/>
      <c r="C320" s="183"/>
      <c r="E320" s="183"/>
      <c r="F320" s="183"/>
    </row>
    <row r="321">
      <c r="B321" s="183"/>
      <c r="C321" s="183"/>
      <c r="E321" s="183"/>
      <c r="F321" s="183"/>
    </row>
    <row r="322">
      <c r="B322" s="183"/>
      <c r="C322" s="183"/>
      <c r="E322" s="183"/>
      <c r="F322" s="183"/>
    </row>
    <row r="323">
      <c r="B323" s="183"/>
      <c r="C323" s="183"/>
      <c r="E323" s="183"/>
      <c r="F323" s="183"/>
    </row>
    <row r="324">
      <c r="B324" s="183"/>
      <c r="C324" s="183"/>
      <c r="E324" s="183"/>
      <c r="F324" s="183"/>
    </row>
    <row r="325">
      <c r="B325" s="183"/>
      <c r="C325" s="183"/>
      <c r="E325" s="183"/>
      <c r="F325" s="183"/>
    </row>
    <row r="326">
      <c r="B326" s="183"/>
      <c r="C326" s="183"/>
      <c r="E326" s="183"/>
      <c r="F326" s="183"/>
    </row>
    <row r="327">
      <c r="B327" s="183"/>
      <c r="C327" s="183"/>
      <c r="E327" s="183"/>
      <c r="F327" s="183"/>
    </row>
    <row r="328">
      <c r="B328" s="183"/>
      <c r="C328" s="183"/>
      <c r="E328" s="183"/>
      <c r="F328" s="183"/>
    </row>
    <row r="329">
      <c r="B329" s="183"/>
      <c r="C329" s="183"/>
      <c r="E329" s="183"/>
      <c r="F329" s="183"/>
    </row>
    <row r="330">
      <c r="B330" s="183"/>
      <c r="C330" s="183"/>
      <c r="E330" s="183"/>
      <c r="F330" s="183"/>
    </row>
    <row r="331">
      <c r="B331" s="183"/>
      <c r="C331" s="183"/>
      <c r="E331" s="183"/>
      <c r="F331" s="183"/>
    </row>
    <row r="332">
      <c r="B332" s="183"/>
      <c r="C332" s="183"/>
      <c r="E332" s="183"/>
      <c r="F332" s="183"/>
    </row>
    <row r="333">
      <c r="B333" s="183"/>
      <c r="C333" s="183"/>
      <c r="E333" s="183"/>
      <c r="F333" s="183"/>
    </row>
    <row r="334">
      <c r="B334" s="183"/>
      <c r="C334" s="183"/>
      <c r="E334" s="183"/>
      <c r="F334" s="183"/>
    </row>
    <row r="335">
      <c r="B335" s="183"/>
      <c r="C335" s="183"/>
      <c r="E335" s="183"/>
      <c r="F335" s="183"/>
    </row>
    <row r="336">
      <c r="B336" s="183"/>
      <c r="C336" s="183"/>
      <c r="E336" s="183"/>
      <c r="F336" s="183"/>
    </row>
    <row r="337">
      <c r="B337" s="183"/>
      <c r="C337" s="183"/>
      <c r="E337" s="183"/>
      <c r="F337" s="183"/>
    </row>
    <row r="338">
      <c r="B338" s="183"/>
      <c r="C338" s="183"/>
      <c r="E338" s="183"/>
      <c r="F338" s="183"/>
    </row>
    <row r="339">
      <c r="B339" s="183"/>
      <c r="C339" s="183"/>
      <c r="E339" s="183"/>
      <c r="F339" s="183"/>
    </row>
    <row r="340">
      <c r="B340" s="183"/>
      <c r="C340" s="183"/>
      <c r="E340" s="183"/>
      <c r="F340" s="183"/>
    </row>
    <row r="341">
      <c r="B341" s="183"/>
      <c r="C341" s="183"/>
      <c r="E341" s="183"/>
      <c r="F341" s="183"/>
    </row>
    <row r="342">
      <c r="B342" s="183"/>
      <c r="C342" s="183"/>
      <c r="E342" s="183"/>
      <c r="F342" s="183"/>
    </row>
    <row r="343">
      <c r="B343" s="183"/>
      <c r="C343" s="183"/>
      <c r="E343" s="183"/>
      <c r="F343" s="183"/>
    </row>
    <row r="344">
      <c r="B344" s="183"/>
      <c r="C344" s="183"/>
      <c r="E344" s="183"/>
      <c r="F344" s="183"/>
    </row>
    <row r="345">
      <c r="B345" s="183"/>
      <c r="C345" s="183"/>
      <c r="E345" s="183"/>
      <c r="F345" s="183"/>
    </row>
    <row r="346">
      <c r="B346" s="183"/>
      <c r="C346" s="183"/>
      <c r="E346" s="183"/>
      <c r="F346" s="183"/>
    </row>
    <row r="347">
      <c r="B347" s="183"/>
      <c r="C347" s="183"/>
      <c r="E347" s="183"/>
      <c r="F347" s="183"/>
    </row>
    <row r="348">
      <c r="B348" s="183"/>
      <c r="C348" s="183"/>
      <c r="E348" s="183"/>
      <c r="F348" s="183"/>
    </row>
    <row r="349">
      <c r="B349" s="183"/>
      <c r="C349" s="183"/>
      <c r="E349" s="183"/>
      <c r="F349" s="183"/>
    </row>
    <row r="350">
      <c r="B350" s="183"/>
      <c r="C350" s="183"/>
      <c r="E350" s="183"/>
      <c r="F350" s="183"/>
    </row>
    <row r="351">
      <c r="B351" s="183"/>
      <c r="C351" s="183"/>
      <c r="E351" s="183"/>
      <c r="F351" s="183"/>
    </row>
    <row r="352">
      <c r="B352" s="183"/>
      <c r="C352" s="183"/>
      <c r="E352" s="183"/>
      <c r="F352" s="183"/>
    </row>
    <row r="353">
      <c r="B353" s="183"/>
      <c r="C353" s="183"/>
      <c r="E353" s="183"/>
      <c r="F353" s="183"/>
    </row>
    <row r="354">
      <c r="B354" s="183"/>
      <c r="C354" s="183"/>
      <c r="E354" s="183"/>
      <c r="F354" s="183"/>
    </row>
    <row r="355">
      <c r="B355" s="183"/>
      <c r="C355" s="183"/>
      <c r="E355" s="183"/>
      <c r="F355" s="183"/>
    </row>
    <row r="356">
      <c r="B356" s="183"/>
      <c r="C356" s="183"/>
      <c r="E356" s="183"/>
      <c r="F356" s="183"/>
    </row>
    <row r="357">
      <c r="B357" s="183"/>
      <c r="C357" s="183"/>
      <c r="E357" s="183"/>
      <c r="F357" s="183"/>
    </row>
    <row r="358">
      <c r="B358" s="183"/>
      <c r="C358" s="183"/>
      <c r="E358" s="183"/>
      <c r="F358" s="183"/>
    </row>
    <row r="359">
      <c r="B359" s="183"/>
      <c r="C359" s="183"/>
      <c r="E359" s="183"/>
      <c r="F359" s="183"/>
    </row>
    <row r="360">
      <c r="B360" s="183"/>
      <c r="C360" s="183"/>
      <c r="E360" s="183"/>
      <c r="F360" s="183"/>
    </row>
    <row r="361">
      <c r="B361" s="183"/>
      <c r="C361" s="183"/>
      <c r="E361" s="183"/>
      <c r="F361" s="183"/>
    </row>
    <row r="362">
      <c r="B362" s="183"/>
      <c r="C362" s="183"/>
      <c r="E362" s="183"/>
      <c r="F362" s="183"/>
    </row>
    <row r="363">
      <c r="B363" s="183"/>
      <c r="C363" s="183"/>
      <c r="E363" s="183"/>
      <c r="F363" s="183"/>
    </row>
    <row r="364">
      <c r="B364" s="183"/>
      <c r="C364" s="183"/>
      <c r="E364" s="183"/>
      <c r="F364" s="183"/>
    </row>
    <row r="365">
      <c r="B365" s="183"/>
      <c r="C365" s="183"/>
      <c r="E365" s="183"/>
      <c r="F365" s="183"/>
    </row>
    <row r="366">
      <c r="B366" s="183"/>
      <c r="C366" s="183"/>
      <c r="E366" s="183"/>
      <c r="F366" s="183"/>
    </row>
    <row r="367">
      <c r="B367" s="183"/>
      <c r="C367" s="183"/>
      <c r="E367" s="183"/>
      <c r="F367" s="183"/>
    </row>
    <row r="368">
      <c r="B368" s="183"/>
      <c r="C368" s="183"/>
      <c r="E368" s="183"/>
      <c r="F368" s="183"/>
    </row>
    <row r="369">
      <c r="B369" s="183"/>
      <c r="C369" s="183"/>
      <c r="E369" s="183"/>
      <c r="F369" s="183"/>
    </row>
    <row r="370">
      <c r="B370" s="183"/>
      <c r="C370" s="183"/>
      <c r="E370" s="183"/>
      <c r="F370" s="183"/>
    </row>
    <row r="371">
      <c r="B371" s="183"/>
      <c r="C371" s="183"/>
      <c r="E371" s="183"/>
      <c r="F371" s="183"/>
    </row>
    <row r="372">
      <c r="B372" s="183"/>
      <c r="C372" s="183"/>
      <c r="E372" s="183"/>
      <c r="F372" s="183"/>
    </row>
    <row r="373">
      <c r="B373" s="183"/>
      <c r="C373" s="183"/>
      <c r="E373" s="183"/>
      <c r="F373" s="183"/>
    </row>
    <row r="374">
      <c r="B374" s="183"/>
      <c r="C374" s="183"/>
      <c r="E374" s="183"/>
      <c r="F374" s="183"/>
    </row>
    <row r="375">
      <c r="B375" s="183"/>
      <c r="C375" s="183"/>
      <c r="E375" s="183"/>
      <c r="F375" s="183"/>
    </row>
    <row r="376">
      <c r="B376" s="183"/>
      <c r="C376" s="183"/>
      <c r="E376" s="183"/>
      <c r="F376" s="183"/>
    </row>
    <row r="377">
      <c r="B377" s="183"/>
      <c r="C377" s="183"/>
      <c r="E377" s="183"/>
      <c r="F377" s="183"/>
    </row>
    <row r="378">
      <c r="B378" s="183"/>
      <c r="C378" s="183"/>
      <c r="E378" s="183"/>
      <c r="F378" s="183"/>
    </row>
    <row r="379">
      <c r="B379" s="183"/>
      <c r="C379" s="183"/>
      <c r="E379" s="183"/>
      <c r="F379" s="183"/>
    </row>
    <row r="380">
      <c r="B380" s="183"/>
      <c r="C380" s="183"/>
      <c r="E380" s="183"/>
      <c r="F380" s="183"/>
    </row>
    <row r="381">
      <c r="B381" s="183"/>
      <c r="C381" s="183"/>
      <c r="E381" s="183"/>
      <c r="F381" s="183"/>
    </row>
    <row r="382">
      <c r="B382" s="183"/>
      <c r="C382" s="183"/>
      <c r="E382" s="183"/>
      <c r="F382" s="183"/>
    </row>
    <row r="383">
      <c r="B383" s="183"/>
      <c r="C383" s="183"/>
      <c r="E383" s="183"/>
      <c r="F383" s="183"/>
    </row>
    <row r="384">
      <c r="B384" s="183"/>
      <c r="C384" s="183"/>
      <c r="E384" s="183"/>
      <c r="F384" s="183"/>
    </row>
    <row r="385">
      <c r="B385" s="183"/>
      <c r="C385" s="183"/>
      <c r="E385" s="183"/>
      <c r="F385" s="183"/>
    </row>
    <row r="386">
      <c r="B386" s="183"/>
      <c r="C386" s="183"/>
      <c r="E386" s="183"/>
      <c r="F386" s="183"/>
    </row>
    <row r="387">
      <c r="B387" s="183"/>
      <c r="C387" s="183"/>
      <c r="E387" s="183"/>
      <c r="F387" s="183"/>
    </row>
    <row r="388">
      <c r="B388" s="183"/>
      <c r="C388" s="183"/>
      <c r="E388" s="183"/>
      <c r="F388" s="183"/>
    </row>
    <row r="389">
      <c r="B389" s="183"/>
      <c r="C389" s="183"/>
      <c r="E389" s="183"/>
      <c r="F389" s="183"/>
    </row>
    <row r="390">
      <c r="B390" s="183"/>
      <c r="C390" s="183"/>
      <c r="E390" s="183"/>
      <c r="F390" s="183"/>
    </row>
    <row r="391">
      <c r="B391" s="183"/>
      <c r="C391" s="183"/>
      <c r="E391" s="183"/>
      <c r="F391" s="183"/>
    </row>
    <row r="392">
      <c r="B392" s="183"/>
      <c r="C392" s="183"/>
      <c r="E392" s="183"/>
      <c r="F392" s="183"/>
    </row>
    <row r="393">
      <c r="B393" s="183"/>
      <c r="C393" s="183"/>
      <c r="E393" s="183"/>
      <c r="F393" s="183"/>
    </row>
    <row r="394">
      <c r="B394" s="183"/>
      <c r="C394" s="183"/>
      <c r="E394" s="183"/>
      <c r="F394" s="183"/>
    </row>
    <row r="395">
      <c r="B395" s="183"/>
      <c r="C395" s="183"/>
      <c r="E395" s="183"/>
      <c r="F395" s="183"/>
    </row>
    <row r="396">
      <c r="B396" s="183"/>
      <c r="C396" s="183"/>
      <c r="E396" s="183"/>
      <c r="F396" s="183"/>
    </row>
    <row r="397">
      <c r="B397" s="183"/>
      <c r="C397" s="183"/>
      <c r="E397" s="183"/>
      <c r="F397" s="183"/>
    </row>
    <row r="398">
      <c r="B398" s="183"/>
      <c r="C398" s="183"/>
      <c r="E398" s="183"/>
      <c r="F398" s="183"/>
    </row>
    <row r="399">
      <c r="B399" s="183"/>
      <c r="C399" s="183"/>
      <c r="E399" s="183"/>
      <c r="F399" s="183"/>
    </row>
    <row r="400">
      <c r="B400" s="183"/>
      <c r="C400" s="183"/>
      <c r="E400" s="183"/>
      <c r="F400" s="183"/>
    </row>
    <row r="401">
      <c r="B401" s="183"/>
      <c r="C401" s="183"/>
      <c r="E401" s="183"/>
      <c r="F401" s="183"/>
    </row>
    <row r="402">
      <c r="B402" s="183"/>
      <c r="C402" s="183"/>
      <c r="E402" s="183"/>
      <c r="F402" s="183"/>
    </row>
    <row r="403">
      <c r="B403" s="183"/>
      <c r="C403" s="183"/>
      <c r="E403" s="183"/>
      <c r="F403" s="183"/>
    </row>
    <row r="404">
      <c r="B404" s="183"/>
      <c r="C404" s="183"/>
      <c r="E404" s="183"/>
      <c r="F404" s="183"/>
    </row>
    <row r="405">
      <c r="B405" s="183"/>
      <c r="C405" s="183"/>
      <c r="E405" s="183"/>
      <c r="F405" s="183"/>
    </row>
    <row r="406">
      <c r="B406" s="183"/>
      <c r="C406" s="183"/>
      <c r="E406" s="183"/>
      <c r="F406" s="183"/>
    </row>
    <row r="407">
      <c r="B407" s="183"/>
      <c r="C407" s="183"/>
      <c r="E407" s="183"/>
      <c r="F407" s="183"/>
    </row>
    <row r="408">
      <c r="B408" s="183"/>
      <c r="C408" s="183"/>
      <c r="E408" s="183"/>
      <c r="F408" s="183"/>
    </row>
    <row r="409">
      <c r="B409" s="183"/>
      <c r="C409" s="183"/>
      <c r="E409" s="183"/>
      <c r="F409" s="183"/>
    </row>
    <row r="410">
      <c r="B410" s="183"/>
      <c r="C410" s="183"/>
      <c r="E410" s="183"/>
      <c r="F410" s="183"/>
    </row>
    <row r="411">
      <c r="B411" s="183"/>
      <c r="C411" s="183"/>
      <c r="E411" s="183"/>
      <c r="F411" s="183"/>
    </row>
    <row r="412">
      <c r="B412" s="183"/>
      <c r="C412" s="183"/>
      <c r="E412" s="183"/>
      <c r="F412" s="183"/>
    </row>
    <row r="413">
      <c r="B413" s="183"/>
      <c r="C413" s="183"/>
      <c r="E413" s="183"/>
      <c r="F413" s="183"/>
    </row>
    <row r="414">
      <c r="B414" s="183"/>
      <c r="C414" s="183"/>
      <c r="E414" s="183"/>
      <c r="F414" s="183"/>
    </row>
    <row r="415">
      <c r="B415" s="183"/>
      <c r="C415" s="183"/>
      <c r="E415" s="183"/>
      <c r="F415" s="183"/>
    </row>
    <row r="416">
      <c r="B416" s="183"/>
      <c r="C416" s="183"/>
      <c r="E416" s="183"/>
      <c r="F416" s="183"/>
    </row>
    <row r="417">
      <c r="B417" s="183"/>
      <c r="C417" s="183"/>
      <c r="E417" s="183"/>
      <c r="F417" s="183"/>
    </row>
    <row r="418">
      <c r="B418" s="183"/>
      <c r="C418" s="183"/>
      <c r="E418" s="183"/>
      <c r="F418" s="183"/>
    </row>
    <row r="419">
      <c r="B419" s="183"/>
      <c r="C419" s="183"/>
      <c r="E419" s="183"/>
      <c r="F419" s="183"/>
    </row>
    <row r="420">
      <c r="B420" s="183"/>
      <c r="C420" s="183"/>
      <c r="E420" s="183"/>
      <c r="F420" s="183"/>
    </row>
    <row r="421">
      <c r="B421" s="183"/>
      <c r="C421" s="183"/>
      <c r="E421" s="183"/>
      <c r="F421" s="183"/>
    </row>
    <row r="422">
      <c r="B422" s="183"/>
      <c r="C422" s="183"/>
      <c r="E422" s="183"/>
      <c r="F422" s="183"/>
    </row>
    <row r="423">
      <c r="B423" s="183"/>
      <c r="C423" s="183"/>
      <c r="E423" s="183"/>
      <c r="F423" s="183"/>
    </row>
    <row r="424">
      <c r="B424" s="183"/>
      <c r="C424" s="183"/>
      <c r="E424" s="183"/>
      <c r="F424" s="183"/>
    </row>
    <row r="425">
      <c r="B425" s="183"/>
      <c r="C425" s="183"/>
      <c r="E425" s="183"/>
      <c r="F425" s="183"/>
    </row>
    <row r="426">
      <c r="B426" s="183"/>
      <c r="C426" s="183"/>
      <c r="E426" s="183"/>
      <c r="F426" s="183"/>
    </row>
    <row r="427">
      <c r="B427" s="183"/>
      <c r="C427" s="183"/>
      <c r="E427" s="183"/>
      <c r="F427" s="183"/>
    </row>
    <row r="428">
      <c r="B428" s="183"/>
      <c r="C428" s="183"/>
      <c r="E428" s="183"/>
      <c r="F428" s="183"/>
    </row>
    <row r="429">
      <c r="B429" s="183"/>
      <c r="C429" s="183"/>
      <c r="E429" s="183"/>
      <c r="F429" s="183"/>
    </row>
    <row r="430">
      <c r="B430" s="183"/>
      <c r="C430" s="183"/>
      <c r="E430" s="183"/>
      <c r="F430" s="183"/>
    </row>
    <row r="431">
      <c r="B431" s="183"/>
      <c r="C431" s="183"/>
      <c r="E431" s="183"/>
      <c r="F431" s="183"/>
    </row>
    <row r="432">
      <c r="B432" s="183"/>
      <c r="C432" s="183"/>
      <c r="E432" s="183"/>
      <c r="F432" s="183"/>
    </row>
    <row r="433">
      <c r="B433" s="183"/>
      <c r="C433" s="183"/>
      <c r="E433" s="183"/>
      <c r="F433" s="183"/>
    </row>
    <row r="434">
      <c r="B434" s="183"/>
      <c r="C434" s="183"/>
      <c r="E434" s="183"/>
      <c r="F434" s="183"/>
    </row>
    <row r="435">
      <c r="B435" s="183"/>
      <c r="C435" s="183"/>
      <c r="E435" s="183"/>
      <c r="F435" s="183"/>
    </row>
    <row r="436">
      <c r="B436" s="183"/>
      <c r="C436" s="183"/>
      <c r="E436" s="183"/>
      <c r="F436" s="183"/>
    </row>
    <row r="437">
      <c r="B437" s="183"/>
      <c r="C437" s="183"/>
      <c r="E437" s="183"/>
      <c r="F437" s="183"/>
    </row>
    <row r="438">
      <c r="B438" s="183"/>
      <c r="C438" s="183"/>
      <c r="E438" s="183"/>
      <c r="F438" s="183"/>
    </row>
    <row r="439">
      <c r="B439" s="183"/>
      <c r="C439" s="183"/>
      <c r="E439" s="183"/>
      <c r="F439" s="183"/>
    </row>
    <row r="440">
      <c r="B440" s="183"/>
      <c r="C440" s="183"/>
      <c r="E440" s="183"/>
      <c r="F440" s="183"/>
    </row>
    <row r="441">
      <c r="B441" s="183"/>
      <c r="C441" s="183"/>
      <c r="E441" s="183"/>
      <c r="F441" s="183"/>
    </row>
    <row r="442">
      <c r="B442" s="183"/>
      <c r="C442" s="183"/>
      <c r="E442" s="183"/>
      <c r="F442" s="183"/>
    </row>
    <row r="443">
      <c r="B443" s="183"/>
      <c r="C443" s="183"/>
      <c r="E443" s="183"/>
      <c r="F443" s="183"/>
    </row>
    <row r="444">
      <c r="B444" s="183"/>
      <c r="C444" s="183"/>
      <c r="E444" s="183"/>
      <c r="F444" s="183"/>
    </row>
    <row r="445">
      <c r="B445" s="183"/>
      <c r="C445" s="183"/>
      <c r="E445" s="183"/>
      <c r="F445" s="183"/>
    </row>
    <row r="446">
      <c r="B446" s="183"/>
      <c r="C446" s="183"/>
      <c r="E446" s="183"/>
      <c r="F446" s="183"/>
    </row>
    <row r="447">
      <c r="B447" s="183"/>
      <c r="C447" s="183"/>
      <c r="E447" s="183"/>
      <c r="F447" s="183"/>
    </row>
    <row r="448">
      <c r="B448" s="183"/>
      <c r="C448" s="183"/>
      <c r="E448" s="183"/>
      <c r="F448" s="183"/>
    </row>
    <row r="449">
      <c r="B449" s="183"/>
      <c r="C449" s="183"/>
      <c r="E449" s="183"/>
      <c r="F449" s="183"/>
    </row>
    <row r="450">
      <c r="B450" s="183"/>
      <c r="C450" s="183"/>
      <c r="E450" s="183"/>
      <c r="F450" s="183"/>
    </row>
    <row r="451">
      <c r="B451" s="183"/>
      <c r="C451" s="183"/>
      <c r="E451" s="183"/>
      <c r="F451" s="183"/>
    </row>
    <row r="452">
      <c r="B452" s="183"/>
      <c r="C452" s="183"/>
      <c r="E452" s="183"/>
      <c r="F452" s="183"/>
    </row>
    <row r="453">
      <c r="B453" s="183"/>
      <c r="C453" s="183"/>
      <c r="E453" s="183"/>
      <c r="F453" s="183"/>
    </row>
    <row r="454">
      <c r="B454" s="183"/>
      <c r="C454" s="183"/>
      <c r="E454" s="183"/>
      <c r="F454" s="183"/>
    </row>
    <row r="455">
      <c r="B455" s="183"/>
      <c r="C455" s="183"/>
      <c r="E455" s="183"/>
      <c r="F455" s="183"/>
    </row>
    <row r="456">
      <c r="B456" s="183"/>
      <c r="C456" s="183"/>
      <c r="E456" s="183"/>
      <c r="F456" s="183"/>
    </row>
    <row r="457">
      <c r="B457" s="183"/>
      <c r="C457" s="183"/>
      <c r="E457" s="183"/>
      <c r="F457" s="183"/>
    </row>
    <row r="458">
      <c r="B458" s="183"/>
      <c r="C458" s="183"/>
      <c r="E458" s="183"/>
      <c r="F458" s="183"/>
    </row>
    <row r="459">
      <c r="B459" s="183"/>
      <c r="C459" s="183"/>
      <c r="E459" s="183"/>
      <c r="F459" s="183"/>
    </row>
    <row r="460">
      <c r="B460" s="183"/>
      <c r="C460" s="183"/>
      <c r="E460" s="183"/>
      <c r="F460" s="183"/>
    </row>
    <row r="461">
      <c r="B461" s="183"/>
      <c r="C461" s="183"/>
      <c r="E461" s="183"/>
      <c r="F461" s="183"/>
    </row>
    <row r="462">
      <c r="B462" s="183"/>
      <c r="C462" s="183"/>
      <c r="E462" s="183"/>
      <c r="F462" s="183"/>
    </row>
    <row r="463">
      <c r="B463" s="183"/>
      <c r="C463" s="183"/>
      <c r="E463" s="183"/>
      <c r="F463" s="183"/>
    </row>
    <row r="464">
      <c r="B464" s="183"/>
      <c r="C464" s="183"/>
      <c r="E464" s="183"/>
      <c r="F464" s="183"/>
    </row>
    <row r="465">
      <c r="B465" s="183"/>
      <c r="C465" s="183"/>
      <c r="E465" s="183"/>
      <c r="F465" s="183"/>
    </row>
    <row r="466">
      <c r="B466" s="183"/>
      <c r="C466" s="183"/>
      <c r="E466" s="183"/>
      <c r="F466" s="183"/>
    </row>
    <row r="467">
      <c r="B467" s="183"/>
      <c r="C467" s="183"/>
      <c r="E467" s="183"/>
      <c r="F467" s="183"/>
    </row>
    <row r="468">
      <c r="B468" s="183"/>
      <c r="C468" s="183"/>
      <c r="E468" s="183"/>
      <c r="F468" s="183"/>
    </row>
    <row r="469">
      <c r="B469" s="183"/>
      <c r="C469" s="183"/>
      <c r="E469" s="183"/>
      <c r="F469" s="183"/>
    </row>
    <row r="470">
      <c r="B470" s="183"/>
      <c r="C470" s="183"/>
      <c r="E470" s="183"/>
      <c r="F470" s="183"/>
    </row>
    <row r="471">
      <c r="B471" s="183"/>
      <c r="C471" s="183"/>
      <c r="E471" s="183"/>
      <c r="F471" s="183"/>
    </row>
    <row r="472">
      <c r="B472" s="183"/>
      <c r="C472" s="183"/>
      <c r="E472" s="183"/>
      <c r="F472" s="183"/>
    </row>
    <row r="473">
      <c r="B473" s="183"/>
      <c r="C473" s="183"/>
      <c r="E473" s="183"/>
      <c r="F473" s="183"/>
    </row>
    <row r="474">
      <c r="B474" s="183"/>
      <c r="C474" s="183"/>
      <c r="E474" s="183"/>
      <c r="F474" s="183"/>
    </row>
    <row r="475">
      <c r="B475" s="183"/>
      <c r="C475" s="183"/>
      <c r="E475" s="183"/>
      <c r="F475" s="183"/>
    </row>
    <row r="476">
      <c r="B476" s="183"/>
      <c r="C476" s="183"/>
      <c r="E476" s="183"/>
      <c r="F476" s="183"/>
    </row>
    <row r="477">
      <c r="B477" s="183"/>
      <c r="C477" s="183"/>
      <c r="E477" s="183"/>
      <c r="F477" s="183"/>
    </row>
    <row r="478">
      <c r="B478" s="183"/>
      <c r="C478" s="183"/>
      <c r="E478" s="183"/>
      <c r="F478" s="183"/>
    </row>
    <row r="479">
      <c r="B479" s="183"/>
      <c r="C479" s="183"/>
      <c r="E479" s="183"/>
      <c r="F479" s="183"/>
    </row>
    <row r="480">
      <c r="B480" s="183"/>
      <c r="C480" s="183"/>
      <c r="E480" s="183"/>
      <c r="F480" s="183"/>
    </row>
    <row r="481">
      <c r="B481" s="183"/>
      <c r="C481" s="183"/>
      <c r="E481" s="183"/>
      <c r="F481" s="183"/>
    </row>
    <row r="482">
      <c r="B482" s="183"/>
      <c r="C482" s="183"/>
      <c r="E482" s="183"/>
      <c r="F482" s="183"/>
    </row>
    <row r="483">
      <c r="B483" s="183"/>
      <c r="C483" s="183"/>
      <c r="E483" s="183"/>
      <c r="F483" s="183"/>
    </row>
    <row r="484">
      <c r="B484" s="183"/>
      <c r="C484" s="183"/>
      <c r="E484" s="183"/>
      <c r="F484" s="183"/>
    </row>
    <row r="485">
      <c r="B485" s="183"/>
      <c r="C485" s="183"/>
      <c r="E485" s="183"/>
      <c r="F485" s="183"/>
    </row>
    <row r="486">
      <c r="B486" s="183"/>
      <c r="C486" s="183"/>
      <c r="E486" s="183"/>
      <c r="F486" s="183"/>
    </row>
    <row r="487">
      <c r="B487" s="183"/>
      <c r="C487" s="183"/>
      <c r="E487" s="183"/>
      <c r="F487" s="183"/>
    </row>
    <row r="488">
      <c r="B488" s="183"/>
      <c r="C488" s="183"/>
      <c r="E488" s="183"/>
      <c r="F488" s="183"/>
    </row>
    <row r="489">
      <c r="B489" s="183"/>
      <c r="C489" s="183"/>
      <c r="E489" s="183"/>
      <c r="F489" s="183"/>
    </row>
    <row r="490">
      <c r="B490" s="183"/>
      <c r="C490" s="183"/>
      <c r="E490" s="183"/>
      <c r="F490" s="183"/>
    </row>
    <row r="491">
      <c r="B491" s="183"/>
      <c r="C491" s="183"/>
      <c r="E491" s="183"/>
      <c r="F491" s="183"/>
    </row>
    <row r="492">
      <c r="B492" s="183"/>
      <c r="C492" s="183"/>
      <c r="E492" s="183"/>
      <c r="F492" s="183"/>
    </row>
    <row r="493">
      <c r="B493" s="183"/>
      <c r="C493" s="183"/>
      <c r="E493" s="183"/>
      <c r="F493" s="183"/>
    </row>
    <row r="494">
      <c r="B494" s="183"/>
      <c r="C494" s="183"/>
      <c r="E494" s="183"/>
      <c r="F494" s="183"/>
    </row>
    <row r="495">
      <c r="B495" s="183"/>
      <c r="C495" s="183"/>
      <c r="E495" s="183"/>
      <c r="F495" s="183"/>
    </row>
    <row r="496">
      <c r="B496" s="183"/>
      <c r="C496" s="183"/>
      <c r="E496" s="183"/>
      <c r="F496" s="183"/>
    </row>
    <row r="497">
      <c r="B497" s="183"/>
      <c r="C497" s="183"/>
      <c r="E497" s="183"/>
      <c r="F497" s="183"/>
    </row>
    <row r="498">
      <c r="B498" s="183"/>
      <c r="C498" s="183"/>
      <c r="E498" s="183"/>
      <c r="F498" s="183"/>
    </row>
    <row r="499">
      <c r="B499" s="183"/>
      <c r="C499" s="183"/>
      <c r="E499" s="183"/>
      <c r="F499" s="183"/>
    </row>
    <row r="500">
      <c r="B500" s="183"/>
      <c r="C500" s="183"/>
      <c r="E500" s="183"/>
      <c r="F500" s="183"/>
    </row>
    <row r="501">
      <c r="B501" s="183"/>
      <c r="C501" s="183"/>
      <c r="E501" s="183"/>
      <c r="F501" s="183"/>
    </row>
    <row r="502">
      <c r="B502" s="183"/>
      <c r="C502" s="183"/>
      <c r="E502" s="183"/>
      <c r="F502" s="183"/>
    </row>
    <row r="503">
      <c r="B503" s="183"/>
      <c r="C503" s="183"/>
      <c r="E503" s="183"/>
      <c r="F503" s="183"/>
    </row>
    <row r="504">
      <c r="B504" s="183"/>
      <c r="C504" s="183"/>
      <c r="E504" s="183"/>
      <c r="F504" s="183"/>
    </row>
    <row r="505">
      <c r="B505" s="183"/>
      <c r="C505" s="183"/>
      <c r="E505" s="183"/>
      <c r="F505" s="183"/>
    </row>
    <row r="506">
      <c r="B506" s="183"/>
      <c r="C506" s="183"/>
      <c r="E506" s="183"/>
      <c r="F506" s="183"/>
    </row>
    <row r="507">
      <c r="B507" s="183"/>
      <c r="C507" s="183"/>
      <c r="E507" s="183"/>
      <c r="F507" s="183"/>
    </row>
    <row r="508">
      <c r="B508" s="183"/>
      <c r="C508" s="183"/>
      <c r="E508" s="183"/>
      <c r="F508" s="183"/>
    </row>
    <row r="509">
      <c r="B509" s="183"/>
      <c r="C509" s="183"/>
      <c r="E509" s="183"/>
      <c r="F509" s="183"/>
    </row>
    <row r="510">
      <c r="B510" s="183"/>
      <c r="C510" s="183"/>
      <c r="E510" s="183"/>
      <c r="F510" s="183"/>
    </row>
    <row r="511">
      <c r="B511" s="183"/>
      <c r="C511" s="183"/>
      <c r="E511" s="183"/>
      <c r="F511" s="183"/>
    </row>
    <row r="512">
      <c r="B512" s="183"/>
      <c r="C512" s="183"/>
      <c r="E512" s="183"/>
      <c r="F512" s="183"/>
    </row>
    <row r="513">
      <c r="B513" s="183"/>
      <c r="C513" s="183"/>
      <c r="E513" s="183"/>
      <c r="F513" s="183"/>
    </row>
    <row r="514">
      <c r="B514" s="183"/>
      <c r="C514" s="183"/>
      <c r="E514" s="183"/>
      <c r="F514" s="183"/>
    </row>
    <row r="515">
      <c r="B515" s="183"/>
      <c r="C515" s="183"/>
      <c r="E515" s="183"/>
      <c r="F515" s="183"/>
    </row>
    <row r="516">
      <c r="B516" s="183"/>
      <c r="C516" s="183"/>
      <c r="E516" s="183"/>
      <c r="F516" s="183"/>
    </row>
    <row r="517">
      <c r="B517" s="183"/>
      <c r="C517" s="183"/>
      <c r="E517" s="183"/>
      <c r="F517" s="183"/>
    </row>
    <row r="518">
      <c r="B518" s="183"/>
      <c r="C518" s="183"/>
      <c r="E518" s="183"/>
      <c r="F518" s="183"/>
    </row>
    <row r="519">
      <c r="B519" s="183"/>
      <c r="C519" s="183"/>
      <c r="E519" s="183"/>
      <c r="F519" s="183"/>
    </row>
    <row r="520">
      <c r="B520" s="183"/>
      <c r="C520" s="183"/>
      <c r="E520" s="183"/>
      <c r="F520" s="183"/>
    </row>
    <row r="521">
      <c r="B521" s="183"/>
      <c r="C521" s="183"/>
      <c r="E521" s="183"/>
      <c r="F521" s="183"/>
    </row>
    <row r="522">
      <c r="B522" s="183"/>
      <c r="C522" s="183"/>
      <c r="E522" s="183"/>
      <c r="F522" s="183"/>
    </row>
    <row r="523">
      <c r="B523" s="183"/>
      <c r="C523" s="183"/>
      <c r="E523" s="183"/>
      <c r="F523" s="183"/>
    </row>
    <row r="524">
      <c r="B524" s="183"/>
      <c r="C524" s="183"/>
      <c r="E524" s="183"/>
      <c r="F524" s="183"/>
    </row>
    <row r="525">
      <c r="B525" s="183"/>
      <c r="C525" s="183"/>
      <c r="E525" s="183"/>
      <c r="F525" s="183"/>
    </row>
    <row r="526">
      <c r="B526" s="183"/>
      <c r="C526" s="183"/>
      <c r="E526" s="183"/>
      <c r="F526" s="183"/>
    </row>
    <row r="527">
      <c r="B527" s="183"/>
      <c r="C527" s="183"/>
      <c r="E527" s="183"/>
      <c r="F527" s="183"/>
    </row>
    <row r="528">
      <c r="B528" s="183"/>
      <c r="C528" s="183"/>
      <c r="E528" s="183"/>
      <c r="F528" s="183"/>
    </row>
    <row r="529">
      <c r="B529" s="183"/>
      <c r="C529" s="183"/>
      <c r="E529" s="183"/>
      <c r="F529" s="183"/>
    </row>
    <row r="530">
      <c r="B530" s="183"/>
      <c r="C530" s="183"/>
      <c r="E530" s="183"/>
      <c r="F530" s="183"/>
    </row>
    <row r="531">
      <c r="B531" s="183"/>
      <c r="C531" s="183"/>
      <c r="E531" s="183"/>
      <c r="F531" s="183"/>
    </row>
    <row r="532">
      <c r="B532" s="183"/>
      <c r="C532" s="183"/>
      <c r="E532" s="183"/>
      <c r="F532" s="183"/>
    </row>
    <row r="533">
      <c r="B533" s="183"/>
      <c r="C533" s="183"/>
      <c r="E533" s="183"/>
      <c r="F533" s="183"/>
    </row>
    <row r="534">
      <c r="B534" s="183"/>
      <c r="C534" s="183"/>
      <c r="E534" s="183"/>
      <c r="F534" s="183"/>
    </row>
    <row r="535">
      <c r="B535" s="183"/>
      <c r="C535" s="183"/>
      <c r="E535" s="183"/>
      <c r="F535" s="183"/>
    </row>
    <row r="536">
      <c r="B536" s="183"/>
      <c r="C536" s="183"/>
      <c r="E536" s="183"/>
      <c r="F536" s="183"/>
    </row>
    <row r="537">
      <c r="B537" s="183"/>
      <c r="C537" s="183"/>
      <c r="E537" s="183"/>
      <c r="F537" s="183"/>
    </row>
    <row r="538">
      <c r="B538" s="183"/>
      <c r="C538" s="183"/>
      <c r="E538" s="183"/>
      <c r="F538" s="183"/>
    </row>
    <row r="539">
      <c r="B539" s="183"/>
      <c r="C539" s="183"/>
      <c r="E539" s="183"/>
      <c r="F539" s="183"/>
    </row>
    <row r="540">
      <c r="B540" s="183"/>
      <c r="C540" s="183"/>
      <c r="E540" s="183"/>
      <c r="F540" s="183"/>
    </row>
    <row r="541">
      <c r="B541" s="183"/>
      <c r="C541" s="183"/>
      <c r="E541" s="183"/>
      <c r="F541" s="183"/>
    </row>
    <row r="542">
      <c r="B542" s="183"/>
      <c r="C542" s="183"/>
      <c r="E542" s="183"/>
      <c r="F542" s="183"/>
    </row>
    <row r="543">
      <c r="B543" s="183"/>
      <c r="C543" s="183"/>
      <c r="E543" s="183"/>
      <c r="F543" s="183"/>
    </row>
    <row r="544">
      <c r="B544" s="183"/>
      <c r="C544" s="183"/>
      <c r="E544" s="183"/>
      <c r="F544" s="183"/>
    </row>
    <row r="545">
      <c r="B545" s="183"/>
      <c r="C545" s="183"/>
      <c r="E545" s="183"/>
      <c r="F545" s="183"/>
    </row>
    <row r="546">
      <c r="B546" s="183"/>
      <c r="C546" s="183"/>
      <c r="E546" s="183"/>
      <c r="F546" s="183"/>
    </row>
    <row r="547">
      <c r="B547" s="183"/>
      <c r="C547" s="183"/>
      <c r="E547" s="183"/>
      <c r="F547" s="183"/>
    </row>
    <row r="548">
      <c r="B548" s="183"/>
      <c r="C548" s="183"/>
      <c r="E548" s="183"/>
      <c r="F548" s="183"/>
    </row>
    <row r="549">
      <c r="B549" s="183"/>
      <c r="C549" s="183"/>
      <c r="E549" s="183"/>
      <c r="F549" s="183"/>
    </row>
    <row r="550">
      <c r="B550" s="183"/>
      <c r="C550" s="183"/>
      <c r="E550" s="183"/>
      <c r="F550" s="183"/>
    </row>
    <row r="551">
      <c r="B551" s="183"/>
      <c r="C551" s="183"/>
      <c r="E551" s="183"/>
      <c r="F551" s="183"/>
    </row>
    <row r="552">
      <c r="B552" s="183"/>
      <c r="C552" s="183"/>
      <c r="E552" s="183"/>
      <c r="F552" s="183"/>
    </row>
    <row r="553">
      <c r="B553" s="183"/>
      <c r="C553" s="183"/>
      <c r="E553" s="183"/>
      <c r="F553" s="183"/>
    </row>
    <row r="554">
      <c r="B554" s="183"/>
      <c r="C554" s="183"/>
      <c r="E554" s="183"/>
      <c r="F554" s="183"/>
    </row>
    <row r="555">
      <c r="B555" s="183"/>
      <c r="C555" s="183"/>
      <c r="E555" s="183"/>
      <c r="F555" s="183"/>
    </row>
    <row r="556">
      <c r="B556" s="183"/>
      <c r="C556" s="183"/>
      <c r="E556" s="183"/>
      <c r="F556" s="183"/>
    </row>
    <row r="557">
      <c r="B557" s="183"/>
      <c r="C557" s="183"/>
      <c r="E557" s="183"/>
      <c r="F557" s="183"/>
    </row>
    <row r="558">
      <c r="B558" s="183"/>
      <c r="C558" s="183"/>
      <c r="E558" s="183"/>
      <c r="F558" s="183"/>
    </row>
    <row r="559">
      <c r="B559" s="183"/>
      <c r="C559" s="183"/>
      <c r="E559" s="183"/>
      <c r="F559" s="183"/>
    </row>
    <row r="560">
      <c r="B560" s="183"/>
      <c r="C560" s="183"/>
      <c r="E560" s="183"/>
      <c r="F560" s="183"/>
    </row>
    <row r="561">
      <c r="B561" s="183"/>
      <c r="C561" s="183"/>
      <c r="E561" s="183"/>
      <c r="F561" s="183"/>
    </row>
    <row r="562">
      <c r="B562" s="183"/>
      <c r="C562" s="183"/>
      <c r="E562" s="183"/>
      <c r="F562" s="183"/>
    </row>
    <row r="563">
      <c r="B563" s="183"/>
      <c r="C563" s="183"/>
      <c r="E563" s="183"/>
      <c r="F563" s="183"/>
    </row>
    <row r="564">
      <c r="B564" s="183"/>
      <c r="C564" s="183"/>
      <c r="E564" s="183"/>
      <c r="F564" s="183"/>
    </row>
    <row r="565">
      <c r="B565" s="183"/>
      <c r="C565" s="183"/>
      <c r="E565" s="183"/>
      <c r="F565" s="183"/>
    </row>
    <row r="566">
      <c r="B566" s="183"/>
      <c r="C566" s="183"/>
      <c r="E566" s="183"/>
      <c r="F566" s="183"/>
    </row>
    <row r="567">
      <c r="B567" s="183"/>
      <c r="C567" s="183"/>
      <c r="E567" s="183"/>
      <c r="F567" s="183"/>
    </row>
    <row r="568">
      <c r="B568" s="183"/>
      <c r="C568" s="183"/>
      <c r="E568" s="183"/>
      <c r="F568" s="183"/>
    </row>
    <row r="569">
      <c r="B569" s="183"/>
      <c r="C569" s="183"/>
      <c r="E569" s="183"/>
      <c r="F569" s="183"/>
    </row>
    <row r="570">
      <c r="B570" s="183"/>
      <c r="C570" s="183"/>
      <c r="E570" s="183"/>
      <c r="F570" s="183"/>
    </row>
    <row r="571">
      <c r="B571" s="183"/>
      <c r="C571" s="183"/>
      <c r="E571" s="183"/>
      <c r="F571" s="183"/>
    </row>
    <row r="572">
      <c r="B572" s="183"/>
      <c r="C572" s="183"/>
      <c r="E572" s="183"/>
      <c r="F572" s="183"/>
    </row>
    <row r="573">
      <c r="B573" s="183"/>
      <c r="C573" s="183"/>
      <c r="E573" s="183"/>
      <c r="F573" s="183"/>
    </row>
    <row r="574">
      <c r="B574" s="183"/>
      <c r="C574" s="183"/>
      <c r="E574" s="183"/>
      <c r="F574" s="183"/>
    </row>
    <row r="575">
      <c r="B575" s="183"/>
      <c r="C575" s="183"/>
      <c r="E575" s="183"/>
      <c r="F575" s="183"/>
    </row>
    <row r="576">
      <c r="B576" s="183"/>
      <c r="C576" s="183"/>
      <c r="E576" s="183"/>
      <c r="F576" s="183"/>
    </row>
    <row r="577">
      <c r="B577" s="183"/>
      <c r="C577" s="183"/>
      <c r="E577" s="183"/>
      <c r="F577" s="183"/>
    </row>
    <row r="578">
      <c r="B578" s="183"/>
      <c r="C578" s="183"/>
      <c r="E578" s="183"/>
      <c r="F578" s="183"/>
    </row>
    <row r="579">
      <c r="B579" s="183"/>
      <c r="C579" s="183"/>
      <c r="E579" s="183"/>
      <c r="F579" s="183"/>
    </row>
    <row r="580">
      <c r="B580" s="183"/>
      <c r="C580" s="183"/>
      <c r="E580" s="183"/>
      <c r="F580" s="183"/>
    </row>
    <row r="581">
      <c r="B581" s="183"/>
      <c r="C581" s="183"/>
      <c r="E581" s="183"/>
      <c r="F581" s="183"/>
    </row>
    <row r="582">
      <c r="B582" s="183"/>
      <c r="C582" s="183"/>
      <c r="E582" s="183"/>
      <c r="F582" s="183"/>
    </row>
    <row r="583">
      <c r="B583" s="183"/>
      <c r="C583" s="183"/>
      <c r="E583" s="183"/>
      <c r="F583" s="183"/>
    </row>
    <row r="584">
      <c r="B584" s="183"/>
      <c r="C584" s="183"/>
      <c r="E584" s="183"/>
      <c r="F584" s="183"/>
    </row>
    <row r="585">
      <c r="B585" s="183"/>
      <c r="C585" s="183"/>
      <c r="E585" s="183"/>
      <c r="F585" s="183"/>
    </row>
    <row r="586">
      <c r="B586" s="183"/>
      <c r="C586" s="183"/>
      <c r="E586" s="183"/>
      <c r="F586" s="183"/>
    </row>
    <row r="587">
      <c r="B587" s="183"/>
      <c r="C587" s="183"/>
      <c r="E587" s="183"/>
      <c r="F587" s="183"/>
    </row>
    <row r="588">
      <c r="B588" s="183"/>
      <c r="C588" s="183"/>
      <c r="E588" s="183"/>
      <c r="F588" s="183"/>
    </row>
    <row r="589">
      <c r="B589" s="183"/>
      <c r="C589" s="183"/>
      <c r="E589" s="183"/>
      <c r="F589" s="183"/>
    </row>
    <row r="590">
      <c r="B590" s="183"/>
      <c r="C590" s="183"/>
      <c r="E590" s="183"/>
      <c r="F590" s="183"/>
    </row>
    <row r="591">
      <c r="B591" s="183"/>
      <c r="C591" s="183"/>
      <c r="E591" s="183"/>
      <c r="F591" s="183"/>
    </row>
    <row r="592">
      <c r="B592" s="183"/>
      <c r="C592" s="183"/>
      <c r="E592" s="183"/>
      <c r="F592" s="183"/>
    </row>
    <row r="593">
      <c r="B593" s="183"/>
      <c r="C593" s="183"/>
      <c r="E593" s="183"/>
      <c r="F593" s="183"/>
    </row>
    <row r="594">
      <c r="B594" s="183"/>
      <c r="C594" s="183"/>
      <c r="E594" s="183"/>
      <c r="F594" s="183"/>
    </row>
    <row r="595">
      <c r="B595" s="183"/>
      <c r="C595" s="183"/>
      <c r="E595" s="183"/>
      <c r="F595" s="183"/>
    </row>
    <row r="596">
      <c r="B596" s="183"/>
      <c r="C596" s="183"/>
      <c r="E596" s="183"/>
      <c r="F596" s="183"/>
    </row>
    <row r="597">
      <c r="B597" s="183"/>
      <c r="C597" s="183"/>
      <c r="E597" s="183"/>
      <c r="F597" s="183"/>
    </row>
    <row r="598">
      <c r="B598" s="183"/>
      <c r="C598" s="183"/>
      <c r="E598" s="183"/>
      <c r="F598" s="183"/>
    </row>
    <row r="599">
      <c r="B599" s="183"/>
      <c r="C599" s="183"/>
      <c r="E599" s="183"/>
      <c r="F599" s="183"/>
    </row>
    <row r="600">
      <c r="B600" s="183"/>
      <c r="C600" s="183"/>
      <c r="E600" s="183"/>
      <c r="F600" s="183"/>
    </row>
    <row r="601">
      <c r="B601" s="183"/>
      <c r="C601" s="183"/>
      <c r="E601" s="183"/>
      <c r="F601" s="183"/>
    </row>
    <row r="602">
      <c r="B602" s="183"/>
      <c r="C602" s="183"/>
      <c r="E602" s="183"/>
      <c r="F602" s="183"/>
    </row>
    <row r="603">
      <c r="B603" s="183"/>
      <c r="C603" s="183"/>
      <c r="E603" s="183"/>
      <c r="F603" s="183"/>
    </row>
    <row r="604">
      <c r="B604" s="183"/>
      <c r="C604" s="183"/>
      <c r="E604" s="183"/>
      <c r="F604" s="183"/>
    </row>
    <row r="605">
      <c r="B605" s="183"/>
      <c r="C605" s="183"/>
      <c r="E605" s="183"/>
      <c r="F605" s="183"/>
    </row>
    <row r="606">
      <c r="B606" s="183"/>
      <c r="C606" s="183"/>
      <c r="E606" s="183"/>
      <c r="F606" s="183"/>
    </row>
    <row r="607">
      <c r="B607" s="183"/>
      <c r="C607" s="183"/>
      <c r="E607" s="183"/>
      <c r="F607" s="183"/>
    </row>
    <row r="608">
      <c r="B608" s="183"/>
      <c r="C608" s="183"/>
      <c r="E608" s="183"/>
      <c r="F608" s="183"/>
    </row>
    <row r="609">
      <c r="B609" s="183"/>
      <c r="C609" s="183"/>
      <c r="E609" s="183"/>
      <c r="F609" s="183"/>
    </row>
    <row r="610">
      <c r="B610" s="183"/>
      <c r="C610" s="183"/>
      <c r="E610" s="183"/>
      <c r="F610" s="183"/>
    </row>
    <row r="611">
      <c r="B611" s="183"/>
      <c r="C611" s="183"/>
      <c r="E611" s="183"/>
      <c r="F611" s="183"/>
    </row>
    <row r="612">
      <c r="B612" s="183"/>
      <c r="C612" s="183"/>
      <c r="E612" s="183"/>
      <c r="F612" s="183"/>
    </row>
    <row r="613">
      <c r="B613" s="183"/>
      <c r="C613" s="183"/>
      <c r="E613" s="183"/>
      <c r="F613" s="183"/>
    </row>
    <row r="614">
      <c r="B614" s="183"/>
      <c r="C614" s="183"/>
      <c r="E614" s="183"/>
      <c r="F614" s="183"/>
    </row>
    <row r="615">
      <c r="B615" s="183"/>
      <c r="C615" s="183"/>
      <c r="E615" s="183"/>
      <c r="F615" s="183"/>
    </row>
    <row r="616">
      <c r="B616" s="183"/>
      <c r="C616" s="183"/>
      <c r="E616" s="183"/>
      <c r="F616" s="183"/>
    </row>
    <row r="617">
      <c r="B617" s="183"/>
      <c r="C617" s="183"/>
      <c r="E617" s="183"/>
      <c r="F617" s="183"/>
    </row>
    <row r="618">
      <c r="B618" s="183"/>
      <c r="C618" s="183"/>
      <c r="E618" s="183"/>
      <c r="F618" s="183"/>
    </row>
    <row r="619">
      <c r="B619" s="183"/>
      <c r="C619" s="183"/>
      <c r="E619" s="183"/>
      <c r="F619" s="183"/>
    </row>
    <row r="620">
      <c r="B620" s="183"/>
      <c r="C620" s="183"/>
      <c r="E620" s="183"/>
      <c r="F620" s="183"/>
    </row>
    <row r="621">
      <c r="B621" s="183"/>
      <c r="C621" s="183"/>
      <c r="E621" s="183"/>
      <c r="F621" s="183"/>
    </row>
    <row r="622">
      <c r="B622" s="183"/>
      <c r="C622" s="183"/>
      <c r="E622" s="183"/>
      <c r="F622" s="183"/>
    </row>
    <row r="623">
      <c r="B623" s="183"/>
      <c r="C623" s="183"/>
      <c r="E623" s="183"/>
      <c r="F623" s="183"/>
    </row>
    <row r="624">
      <c r="B624" s="183"/>
      <c r="C624" s="183"/>
      <c r="E624" s="183"/>
      <c r="F624" s="183"/>
    </row>
    <row r="625">
      <c r="B625" s="183"/>
      <c r="C625" s="183"/>
      <c r="E625" s="183"/>
      <c r="F625" s="183"/>
    </row>
    <row r="626">
      <c r="B626" s="183"/>
      <c r="C626" s="183"/>
      <c r="E626" s="183"/>
      <c r="F626" s="183"/>
    </row>
    <row r="627">
      <c r="B627" s="183"/>
      <c r="C627" s="183"/>
      <c r="E627" s="183"/>
      <c r="F627" s="183"/>
    </row>
    <row r="628">
      <c r="B628" s="183"/>
      <c r="C628" s="183"/>
      <c r="E628" s="183"/>
      <c r="F628" s="183"/>
    </row>
    <row r="629">
      <c r="B629" s="183"/>
      <c r="C629" s="183"/>
      <c r="E629" s="183"/>
      <c r="F629" s="183"/>
    </row>
    <row r="630">
      <c r="B630" s="183"/>
      <c r="C630" s="183"/>
      <c r="E630" s="183"/>
      <c r="F630" s="183"/>
    </row>
    <row r="631">
      <c r="B631" s="183"/>
      <c r="C631" s="183"/>
      <c r="E631" s="183"/>
      <c r="F631" s="183"/>
    </row>
    <row r="632">
      <c r="B632" s="183"/>
      <c r="C632" s="183"/>
      <c r="E632" s="183"/>
      <c r="F632" s="183"/>
    </row>
    <row r="633">
      <c r="B633" s="183"/>
      <c r="C633" s="183"/>
      <c r="E633" s="183"/>
      <c r="F633" s="183"/>
    </row>
    <row r="634">
      <c r="B634" s="183"/>
      <c r="C634" s="183"/>
      <c r="E634" s="183"/>
      <c r="F634" s="183"/>
    </row>
    <row r="635">
      <c r="B635" s="183"/>
      <c r="C635" s="183"/>
      <c r="E635" s="183"/>
      <c r="F635" s="183"/>
    </row>
    <row r="636">
      <c r="B636" s="183"/>
      <c r="C636" s="183"/>
      <c r="E636" s="183"/>
      <c r="F636" s="183"/>
    </row>
    <row r="637">
      <c r="B637" s="183"/>
      <c r="C637" s="183"/>
      <c r="E637" s="183"/>
      <c r="F637" s="183"/>
    </row>
    <row r="638">
      <c r="B638" s="183"/>
      <c r="C638" s="183"/>
      <c r="E638" s="183"/>
      <c r="F638" s="183"/>
    </row>
    <row r="639">
      <c r="B639" s="183"/>
      <c r="C639" s="183"/>
      <c r="E639" s="183"/>
      <c r="F639" s="183"/>
    </row>
    <row r="640">
      <c r="B640" s="183"/>
      <c r="C640" s="183"/>
      <c r="E640" s="183"/>
      <c r="F640" s="183"/>
    </row>
    <row r="641">
      <c r="B641" s="183"/>
      <c r="C641" s="183"/>
      <c r="E641" s="183"/>
      <c r="F641" s="183"/>
    </row>
    <row r="642">
      <c r="B642" s="183"/>
      <c r="C642" s="183"/>
      <c r="E642" s="183"/>
      <c r="F642" s="183"/>
    </row>
    <row r="643">
      <c r="B643" s="183"/>
      <c r="C643" s="183"/>
      <c r="E643" s="183"/>
      <c r="F643" s="183"/>
    </row>
    <row r="644">
      <c r="B644" s="183"/>
      <c r="C644" s="183"/>
      <c r="E644" s="183"/>
      <c r="F644" s="183"/>
    </row>
    <row r="645">
      <c r="B645" s="183"/>
      <c r="C645" s="183"/>
      <c r="E645" s="183"/>
      <c r="F645" s="183"/>
    </row>
    <row r="646">
      <c r="B646" s="183"/>
      <c r="C646" s="183"/>
      <c r="E646" s="183"/>
      <c r="F646" s="183"/>
    </row>
    <row r="647">
      <c r="B647" s="183"/>
      <c r="C647" s="183"/>
      <c r="E647" s="183"/>
      <c r="F647" s="183"/>
    </row>
    <row r="648">
      <c r="B648" s="183"/>
      <c r="C648" s="183"/>
      <c r="E648" s="183"/>
      <c r="F648" s="183"/>
    </row>
    <row r="649">
      <c r="B649" s="183"/>
      <c r="C649" s="183"/>
      <c r="E649" s="183"/>
      <c r="F649" s="183"/>
    </row>
    <row r="650">
      <c r="B650" s="183"/>
      <c r="C650" s="183"/>
      <c r="E650" s="183"/>
      <c r="F650" s="183"/>
    </row>
    <row r="651">
      <c r="B651" s="183"/>
      <c r="C651" s="183"/>
      <c r="E651" s="183"/>
      <c r="F651" s="183"/>
    </row>
    <row r="652">
      <c r="B652" s="183"/>
      <c r="C652" s="183"/>
      <c r="E652" s="183"/>
      <c r="F652" s="183"/>
    </row>
    <row r="653">
      <c r="B653" s="183"/>
      <c r="C653" s="183"/>
      <c r="E653" s="183"/>
      <c r="F653" s="183"/>
    </row>
    <row r="654">
      <c r="B654" s="183"/>
      <c r="C654" s="183"/>
      <c r="E654" s="183"/>
      <c r="F654" s="183"/>
    </row>
    <row r="655">
      <c r="B655" s="183"/>
      <c r="C655" s="183"/>
      <c r="E655" s="183"/>
      <c r="F655" s="183"/>
    </row>
    <row r="656">
      <c r="B656" s="183"/>
      <c r="C656" s="183"/>
      <c r="E656" s="183"/>
      <c r="F656" s="183"/>
    </row>
    <row r="657">
      <c r="B657" s="183"/>
      <c r="C657" s="183"/>
      <c r="E657" s="183"/>
      <c r="F657" s="183"/>
    </row>
    <row r="658">
      <c r="B658" s="183"/>
      <c r="C658" s="183"/>
      <c r="E658" s="183"/>
      <c r="F658" s="183"/>
    </row>
    <row r="659">
      <c r="B659" s="183"/>
      <c r="C659" s="183"/>
      <c r="E659" s="183"/>
      <c r="F659" s="183"/>
    </row>
    <row r="660">
      <c r="B660" s="183"/>
      <c r="C660" s="183"/>
      <c r="E660" s="183"/>
      <c r="F660" s="183"/>
    </row>
    <row r="661">
      <c r="B661" s="183"/>
      <c r="C661" s="183"/>
      <c r="E661" s="183"/>
      <c r="F661" s="183"/>
    </row>
    <row r="662">
      <c r="B662" s="183"/>
      <c r="C662" s="183"/>
      <c r="E662" s="183"/>
      <c r="F662" s="183"/>
    </row>
    <row r="663">
      <c r="B663" s="183"/>
      <c r="C663" s="183"/>
      <c r="E663" s="183"/>
      <c r="F663" s="183"/>
    </row>
    <row r="664">
      <c r="B664" s="183"/>
      <c r="C664" s="183"/>
      <c r="E664" s="183"/>
      <c r="F664" s="183"/>
    </row>
    <row r="665">
      <c r="B665" s="183"/>
      <c r="C665" s="183"/>
      <c r="E665" s="183"/>
      <c r="F665" s="183"/>
    </row>
    <row r="666">
      <c r="B666" s="183"/>
      <c r="C666" s="183"/>
      <c r="E666" s="183"/>
      <c r="F666" s="183"/>
    </row>
    <row r="667">
      <c r="B667" s="183"/>
      <c r="C667" s="183"/>
      <c r="E667" s="183"/>
      <c r="F667" s="183"/>
    </row>
    <row r="668">
      <c r="B668" s="183"/>
      <c r="C668" s="183"/>
      <c r="E668" s="183"/>
      <c r="F668" s="183"/>
    </row>
    <row r="669">
      <c r="B669" s="183"/>
      <c r="C669" s="183"/>
      <c r="E669" s="183"/>
      <c r="F669" s="183"/>
    </row>
    <row r="670">
      <c r="B670" s="183"/>
      <c r="C670" s="183"/>
      <c r="E670" s="183"/>
      <c r="F670" s="183"/>
    </row>
    <row r="671">
      <c r="B671" s="183"/>
      <c r="C671" s="183"/>
      <c r="E671" s="183"/>
      <c r="F671" s="183"/>
    </row>
    <row r="672">
      <c r="B672" s="183"/>
      <c r="C672" s="183"/>
      <c r="E672" s="183"/>
      <c r="F672" s="183"/>
    </row>
    <row r="673">
      <c r="B673" s="183"/>
      <c r="C673" s="183"/>
      <c r="E673" s="183"/>
      <c r="F673" s="183"/>
    </row>
    <row r="674">
      <c r="B674" s="183"/>
      <c r="C674" s="183"/>
      <c r="E674" s="183"/>
      <c r="F674" s="183"/>
    </row>
    <row r="675">
      <c r="B675" s="183"/>
      <c r="C675" s="183"/>
      <c r="E675" s="183"/>
      <c r="F675" s="183"/>
    </row>
    <row r="676">
      <c r="B676" s="183"/>
      <c r="C676" s="183"/>
      <c r="E676" s="183"/>
      <c r="F676" s="183"/>
    </row>
    <row r="677">
      <c r="B677" s="183"/>
      <c r="C677" s="183"/>
      <c r="E677" s="183"/>
      <c r="F677" s="183"/>
    </row>
    <row r="678">
      <c r="B678" s="183"/>
      <c r="C678" s="183"/>
      <c r="E678" s="183"/>
      <c r="F678" s="183"/>
    </row>
    <row r="679">
      <c r="B679" s="183"/>
      <c r="C679" s="183"/>
      <c r="E679" s="183"/>
      <c r="F679" s="183"/>
    </row>
    <row r="680">
      <c r="B680" s="183"/>
      <c r="C680" s="183"/>
      <c r="E680" s="183"/>
      <c r="F680" s="183"/>
    </row>
    <row r="681">
      <c r="B681" s="183"/>
      <c r="C681" s="183"/>
      <c r="E681" s="183"/>
      <c r="F681" s="183"/>
    </row>
    <row r="682">
      <c r="B682" s="183"/>
      <c r="C682" s="183"/>
      <c r="E682" s="183"/>
      <c r="F682" s="183"/>
    </row>
    <row r="683">
      <c r="B683" s="183"/>
      <c r="C683" s="183"/>
      <c r="E683" s="183"/>
      <c r="F683" s="183"/>
    </row>
    <row r="684">
      <c r="B684" s="183"/>
      <c r="C684" s="183"/>
      <c r="E684" s="183"/>
      <c r="F684" s="183"/>
    </row>
    <row r="685">
      <c r="B685" s="183"/>
      <c r="C685" s="183"/>
      <c r="E685" s="183"/>
      <c r="F685" s="183"/>
    </row>
    <row r="686">
      <c r="B686" s="183"/>
      <c r="C686" s="183"/>
      <c r="E686" s="183"/>
      <c r="F686" s="183"/>
    </row>
    <row r="687">
      <c r="B687" s="183"/>
      <c r="C687" s="183"/>
      <c r="E687" s="183"/>
      <c r="F687" s="183"/>
    </row>
    <row r="688">
      <c r="B688" s="183"/>
      <c r="C688" s="183"/>
      <c r="E688" s="183"/>
      <c r="F688" s="183"/>
    </row>
    <row r="689">
      <c r="B689" s="183"/>
      <c r="C689" s="183"/>
      <c r="E689" s="183"/>
      <c r="F689" s="183"/>
    </row>
    <row r="690">
      <c r="B690" s="183"/>
      <c r="C690" s="183"/>
      <c r="E690" s="183"/>
      <c r="F690" s="183"/>
    </row>
    <row r="691">
      <c r="B691" s="183"/>
      <c r="C691" s="183"/>
      <c r="E691" s="183"/>
      <c r="F691" s="183"/>
    </row>
    <row r="692">
      <c r="B692" s="183"/>
      <c r="C692" s="183"/>
      <c r="E692" s="183"/>
      <c r="F692" s="183"/>
    </row>
    <row r="693">
      <c r="B693" s="183"/>
      <c r="C693" s="183"/>
      <c r="E693" s="183"/>
      <c r="F693" s="183"/>
    </row>
    <row r="694">
      <c r="B694" s="183"/>
      <c r="C694" s="183"/>
      <c r="E694" s="183"/>
      <c r="F694" s="183"/>
    </row>
    <row r="695">
      <c r="B695" s="183"/>
      <c r="C695" s="183"/>
      <c r="E695" s="183"/>
      <c r="F695" s="183"/>
    </row>
    <row r="696">
      <c r="B696" s="183"/>
      <c r="C696" s="183"/>
      <c r="E696" s="183"/>
      <c r="F696" s="183"/>
    </row>
    <row r="697">
      <c r="B697" s="183"/>
      <c r="C697" s="183"/>
      <c r="E697" s="183"/>
      <c r="F697" s="183"/>
    </row>
    <row r="698">
      <c r="B698" s="183"/>
      <c r="C698" s="183"/>
      <c r="E698" s="183"/>
      <c r="F698" s="183"/>
    </row>
    <row r="699">
      <c r="B699" s="183"/>
      <c r="C699" s="183"/>
      <c r="E699" s="183"/>
      <c r="F699" s="183"/>
    </row>
    <row r="700">
      <c r="B700" s="183"/>
      <c r="C700" s="183"/>
      <c r="E700" s="183"/>
      <c r="F700" s="183"/>
    </row>
    <row r="701">
      <c r="B701" s="183"/>
      <c r="C701" s="183"/>
      <c r="E701" s="183"/>
      <c r="F701" s="183"/>
    </row>
    <row r="702">
      <c r="B702" s="183"/>
      <c r="C702" s="183"/>
      <c r="E702" s="183"/>
      <c r="F702" s="183"/>
    </row>
    <row r="703">
      <c r="B703" s="183"/>
      <c r="C703" s="183"/>
      <c r="E703" s="183"/>
      <c r="F703" s="183"/>
    </row>
    <row r="704">
      <c r="B704" s="183"/>
      <c r="C704" s="183"/>
      <c r="E704" s="183"/>
      <c r="F704" s="183"/>
    </row>
    <row r="705">
      <c r="B705" s="183"/>
      <c r="C705" s="183"/>
      <c r="E705" s="183"/>
      <c r="F705" s="183"/>
    </row>
    <row r="706">
      <c r="B706" s="183"/>
      <c r="C706" s="183"/>
      <c r="E706" s="183"/>
      <c r="F706" s="183"/>
    </row>
    <row r="707">
      <c r="B707" s="183"/>
      <c r="C707" s="183"/>
      <c r="E707" s="183"/>
      <c r="F707" s="183"/>
    </row>
    <row r="708">
      <c r="B708" s="183"/>
      <c r="C708" s="183"/>
      <c r="E708" s="183"/>
      <c r="F708" s="183"/>
    </row>
    <row r="709">
      <c r="B709" s="183"/>
      <c r="C709" s="183"/>
      <c r="E709" s="183"/>
      <c r="F709" s="183"/>
    </row>
    <row r="710">
      <c r="B710" s="183"/>
      <c r="C710" s="183"/>
      <c r="E710" s="183"/>
      <c r="F710" s="183"/>
    </row>
    <row r="711">
      <c r="B711" s="183"/>
      <c r="C711" s="183"/>
      <c r="E711" s="183"/>
      <c r="F711" s="183"/>
    </row>
    <row r="712">
      <c r="B712" s="183"/>
      <c r="C712" s="183"/>
      <c r="E712" s="183"/>
      <c r="F712" s="183"/>
    </row>
    <row r="713">
      <c r="B713" s="183"/>
      <c r="C713" s="183"/>
      <c r="E713" s="183"/>
      <c r="F713" s="183"/>
    </row>
    <row r="714">
      <c r="B714" s="183"/>
      <c r="C714" s="183"/>
      <c r="E714" s="183"/>
      <c r="F714" s="183"/>
    </row>
    <row r="715">
      <c r="B715" s="183"/>
      <c r="C715" s="183"/>
      <c r="E715" s="183"/>
      <c r="F715" s="183"/>
    </row>
    <row r="716">
      <c r="B716" s="183"/>
      <c r="C716" s="183"/>
      <c r="E716" s="183"/>
      <c r="F716" s="183"/>
    </row>
    <row r="717">
      <c r="B717" s="183"/>
      <c r="C717" s="183"/>
      <c r="E717" s="183"/>
      <c r="F717" s="183"/>
    </row>
    <row r="718">
      <c r="B718" s="183"/>
      <c r="C718" s="183"/>
      <c r="E718" s="183"/>
      <c r="F718" s="183"/>
    </row>
    <row r="719">
      <c r="B719" s="183"/>
      <c r="C719" s="183"/>
      <c r="E719" s="183"/>
      <c r="F719" s="183"/>
    </row>
    <row r="720">
      <c r="B720" s="183"/>
      <c r="C720" s="183"/>
      <c r="E720" s="183"/>
      <c r="F720" s="183"/>
    </row>
    <row r="721">
      <c r="B721" s="183"/>
      <c r="C721" s="183"/>
      <c r="E721" s="183"/>
      <c r="F721" s="183"/>
    </row>
    <row r="722">
      <c r="B722" s="183"/>
      <c r="C722" s="183"/>
      <c r="E722" s="183"/>
      <c r="F722" s="183"/>
    </row>
    <row r="723">
      <c r="B723" s="183"/>
      <c r="C723" s="183"/>
      <c r="E723" s="183"/>
      <c r="F723" s="183"/>
    </row>
    <row r="724">
      <c r="B724" s="183"/>
      <c r="C724" s="183"/>
      <c r="E724" s="183"/>
      <c r="F724" s="183"/>
    </row>
    <row r="725">
      <c r="B725" s="183"/>
      <c r="C725" s="183"/>
      <c r="E725" s="183"/>
      <c r="F725" s="183"/>
    </row>
    <row r="726">
      <c r="B726" s="183"/>
      <c r="C726" s="183"/>
      <c r="E726" s="183"/>
      <c r="F726" s="183"/>
    </row>
    <row r="727">
      <c r="B727" s="183"/>
      <c r="C727" s="183"/>
      <c r="E727" s="183"/>
      <c r="F727" s="183"/>
    </row>
    <row r="728">
      <c r="B728" s="183"/>
      <c r="C728" s="183"/>
      <c r="E728" s="183"/>
      <c r="F728" s="183"/>
    </row>
    <row r="729">
      <c r="B729" s="183"/>
      <c r="C729" s="183"/>
      <c r="E729" s="183"/>
      <c r="F729" s="183"/>
    </row>
    <row r="730">
      <c r="B730" s="183"/>
      <c r="C730" s="183"/>
      <c r="E730" s="183"/>
      <c r="F730" s="183"/>
    </row>
    <row r="731">
      <c r="B731" s="183"/>
      <c r="C731" s="183"/>
      <c r="E731" s="183"/>
      <c r="F731" s="183"/>
    </row>
    <row r="732">
      <c r="B732" s="183"/>
      <c r="C732" s="183"/>
      <c r="E732" s="183"/>
      <c r="F732" s="183"/>
    </row>
    <row r="733">
      <c r="B733" s="183"/>
      <c r="C733" s="183"/>
      <c r="E733" s="183"/>
      <c r="F733" s="183"/>
    </row>
    <row r="734">
      <c r="B734" s="183"/>
      <c r="C734" s="183"/>
      <c r="E734" s="183"/>
      <c r="F734" s="183"/>
    </row>
    <row r="735">
      <c r="B735" s="183"/>
      <c r="C735" s="183"/>
      <c r="E735" s="183"/>
      <c r="F735" s="183"/>
    </row>
    <row r="736">
      <c r="B736" s="183"/>
      <c r="C736" s="183"/>
      <c r="E736" s="183"/>
      <c r="F736" s="183"/>
    </row>
    <row r="737">
      <c r="B737" s="183"/>
      <c r="C737" s="183"/>
      <c r="E737" s="183"/>
      <c r="F737" s="183"/>
    </row>
    <row r="738">
      <c r="B738" s="183"/>
      <c r="C738" s="183"/>
      <c r="E738" s="183"/>
      <c r="F738" s="183"/>
    </row>
    <row r="739">
      <c r="B739" s="183"/>
      <c r="C739" s="183"/>
      <c r="E739" s="183"/>
      <c r="F739" s="183"/>
    </row>
    <row r="740">
      <c r="B740" s="183"/>
      <c r="C740" s="183"/>
      <c r="E740" s="183"/>
      <c r="F740" s="183"/>
    </row>
    <row r="741">
      <c r="B741" s="183"/>
      <c r="C741" s="183"/>
      <c r="E741" s="183"/>
      <c r="F741" s="183"/>
    </row>
    <row r="742">
      <c r="B742" s="183"/>
      <c r="C742" s="183"/>
      <c r="E742" s="183"/>
      <c r="F742" s="183"/>
    </row>
    <row r="743">
      <c r="B743" s="183"/>
      <c r="C743" s="183"/>
      <c r="E743" s="183"/>
      <c r="F743" s="183"/>
    </row>
    <row r="744">
      <c r="B744" s="183"/>
      <c r="C744" s="183"/>
      <c r="E744" s="183"/>
      <c r="F744" s="183"/>
    </row>
    <row r="745">
      <c r="B745" s="183"/>
      <c r="C745" s="183"/>
      <c r="E745" s="183"/>
      <c r="F745" s="183"/>
    </row>
    <row r="746">
      <c r="B746" s="183"/>
      <c r="C746" s="183"/>
      <c r="E746" s="183"/>
      <c r="F746" s="183"/>
    </row>
    <row r="747">
      <c r="B747" s="183"/>
      <c r="C747" s="183"/>
      <c r="E747" s="183"/>
      <c r="F747" s="183"/>
    </row>
    <row r="748">
      <c r="B748" s="183"/>
      <c r="C748" s="183"/>
      <c r="E748" s="183"/>
      <c r="F748" s="183"/>
    </row>
    <row r="749">
      <c r="B749" s="183"/>
      <c r="C749" s="183"/>
      <c r="E749" s="183"/>
      <c r="F749" s="183"/>
    </row>
    <row r="750">
      <c r="B750" s="183"/>
      <c r="C750" s="183"/>
      <c r="E750" s="183"/>
      <c r="F750" s="183"/>
    </row>
    <row r="751">
      <c r="B751" s="183"/>
      <c r="C751" s="183"/>
      <c r="E751" s="183"/>
      <c r="F751" s="183"/>
    </row>
    <row r="752">
      <c r="B752" s="183"/>
      <c r="C752" s="183"/>
      <c r="E752" s="183"/>
      <c r="F752" s="183"/>
    </row>
    <row r="753">
      <c r="B753" s="183"/>
      <c r="C753" s="183"/>
      <c r="E753" s="183"/>
      <c r="F753" s="183"/>
    </row>
    <row r="754">
      <c r="B754" s="183"/>
      <c r="C754" s="183"/>
      <c r="E754" s="183"/>
      <c r="F754" s="183"/>
    </row>
    <row r="755">
      <c r="B755" s="183"/>
      <c r="C755" s="183"/>
      <c r="E755" s="183"/>
      <c r="F755" s="183"/>
    </row>
    <row r="756">
      <c r="B756" s="183"/>
      <c r="C756" s="183"/>
      <c r="E756" s="183"/>
      <c r="F756" s="183"/>
    </row>
    <row r="757">
      <c r="B757" s="183"/>
      <c r="C757" s="183"/>
      <c r="E757" s="183"/>
      <c r="F757" s="183"/>
    </row>
    <row r="758">
      <c r="B758" s="183"/>
      <c r="C758" s="183"/>
      <c r="E758" s="183"/>
      <c r="F758" s="183"/>
    </row>
    <row r="759">
      <c r="B759" s="183"/>
      <c r="C759" s="183"/>
      <c r="E759" s="183"/>
      <c r="F759" s="183"/>
    </row>
    <row r="760">
      <c r="B760" s="183"/>
      <c r="C760" s="183"/>
      <c r="E760" s="183"/>
      <c r="F760" s="183"/>
    </row>
    <row r="761">
      <c r="B761" s="183"/>
      <c r="C761" s="183"/>
      <c r="E761" s="183"/>
      <c r="F761" s="183"/>
    </row>
    <row r="762">
      <c r="B762" s="183"/>
      <c r="C762" s="183"/>
      <c r="E762" s="183"/>
      <c r="F762" s="183"/>
    </row>
    <row r="763">
      <c r="B763" s="183"/>
      <c r="C763" s="183"/>
      <c r="E763" s="183"/>
      <c r="F763" s="183"/>
    </row>
    <row r="764">
      <c r="B764" s="183"/>
      <c r="C764" s="183"/>
      <c r="E764" s="183"/>
      <c r="F764" s="183"/>
    </row>
    <row r="765">
      <c r="B765" s="183"/>
      <c r="C765" s="183"/>
      <c r="E765" s="183"/>
      <c r="F765" s="183"/>
    </row>
    <row r="766">
      <c r="B766" s="183"/>
      <c r="C766" s="183"/>
      <c r="E766" s="183"/>
      <c r="F766" s="183"/>
    </row>
    <row r="767">
      <c r="B767" s="183"/>
      <c r="C767" s="183"/>
      <c r="E767" s="183"/>
      <c r="F767" s="183"/>
    </row>
    <row r="768">
      <c r="B768" s="183"/>
      <c r="C768" s="183"/>
      <c r="E768" s="183"/>
      <c r="F768" s="183"/>
    </row>
    <row r="769">
      <c r="B769" s="183"/>
      <c r="C769" s="183"/>
      <c r="E769" s="183"/>
      <c r="F769" s="183"/>
    </row>
    <row r="770">
      <c r="B770" s="183"/>
      <c r="C770" s="183"/>
      <c r="E770" s="183"/>
      <c r="F770" s="183"/>
    </row>
    <row r="771">
      <c r="B771" s="183"/>
      <c r="C771" s="183"/>
      <c r="E771" s="183"/>
      <c r="F771" s="183"/>
    </row>
    <row r="772">
      <c r="B772" s="183"/>
      <c r="C772" s="183"/>
      <c r="E772" s="183"/>
      <c r="F772" s="183"/>
    </row>
    <row r="773">
      <c r="B773" s="183"/>
      <c r="C773" s="183"/>
      <c r="E773" s="183"/>
      <c r="F773" s="183"/>
    </row>
    <row r="774">
      <c r="B774" s="183"/>
      <c r="C774" s="183"/>
      <c r="E774" s="183"/>
      <c r="F774" s="183"/>
    </row>
    <row r="775">
      <c r="B775" s="183"/>
      <c r="C775" s="183"/>
      <c r="E775" s="183"/>
      <c r="F775" s="183"/>
    </row>
    <row r="776">
      <c r="B776" s="183"/>
      <c r="C776" s="183"/>
      <c r="E776" s="183"/>
      <c r="F776" s="183"/>
    </row>
    <row r="777">
      <c r="B777" s="183"/>
      <c r="C777" s="183"/>
      <c r="E777" s="183"/>
      <c r="F777" s="183"/>
    </row>
    <row r="778">
      <c r="B778" s="183"/>
      <c r="C778" s="183"/>
      <c r="E778" s="183"/>
      <c r="F778" s="183"/>
    </row>
    <row r="779">
      <c r="B779" s="183"/>
      <c r="C779" s="183"/>
      <c r="E779" s="183"/>
      <c r="F779" s="183"/>
    </row>
    <row r="780">
      <c r="B780" s="183"/>
      <c r="C780" s="183"/>
      <c r="E780" s="183"/>
      <c r="F780" s="183"/>
    </row>
    <row r="781">
      <c r="B781" s="183"/>
      <c r="C781" s="183"/>
      <c r="E781" s="183"/>
      <c r="F781" s="183"/>
    </row>
    <row r="782">
      <c r="B782" s="183"/>
      <c r="C782" s="183"/>
      <c r="E782" s="183"/>
      <c r="F782" s="183"/>
    </row>
    <row r="783">
      <c r="B783" s="183"/>
      <c r="C783" s="183"/>
      <c r="E783" s="183"/>
      <c r="F783" s="183"/>
    </row>
    <row r="784">
      <c r="B784" s="183"/>
      <c r="C784" s="183"/>
      <c r="E784" s="183"/>
      <c r="F784" s="183"/>
    </row>
    <row r="785">
      <c r="B785" s="183"/>
      <c r="C785" s="183"/>
      <c r="E785" s="183"/>
      <c r="F785" s="183"/>
    </row>
    <row r="786">
      <c r="B786" s="183"/>
      <c r="C786" s="183"/>
      <c r="E786" s="183"/>
      <c r="F786" s="183"/>
    </row>
    <row r="787">
      <c r="B787" s="183"/>
      <c r="C787" s="183"/>
      <c r="E787" s="183"/>
      <c r="F787" s="183"/>
    </row>
    <row r="788">
      <c r="B788" s="183"/>
      <c r="C788" s="183"/>
      <c r="E788" s="183"/>
      <c r="F788" s="183"/>
    </row>
    <row r="789">
      <c r="B789" s="183"/>
      <c r="C789" s="183"/>
      <c r="E789" s="183"/>
      <c r="F789" s="183"/>
    </row>
    <row r="790">
      <c r="B790" s="183"/>
      <c r="C790" s="183"/>
      <c r="E790" s="183"/>
      <c r="F790" s="183"/>
    </row>
    <row r="791">
      <c r="B791" s="183"/>
      <c r="C791" s="183"/>
      <c r="E791" s="183"/>
      <c r="F791" s="183"/>
    </row>
    <row r="792">
      <c r="B792" s="183"/>
      <c r="C792" s="183"/>
      <c r="E792" s="183"/>
      <c r="F792" s="183"/>
    </row>
    <row r="793">
      <c r="B793" s="183"/>
      <c r="C793" s="183"/>
      <c r="E793" s="183"/>
      <c r="F793" s="183"/>
    </row>
    <row r="794">
      <c r="B794" s="183"/>
      <c r="C794" s="183"/>
      <c r="E794" s="183"/>
      <c r="F794" s="183"/>
    </row>
    <row r="795">
      <c r="B795" s="183"/>
      <c r="C795" s="183"/>
      <c r="E795" s="183"/>
      <c r="F795" s="183"/>
    </row>
    <row r="796">
      <c r="B796" s="183"/>
      <c r="C796" s="183"/>
      <c r="E796" s="183"/>
      <c r="F796" s="183"/>
    </row>
    <row r="797">
      <c r="B797" s="183"/>
      <c r="C797" s="183"/>
      <c r="E797" s="183"/>
      <c r="F797" s="183"/>
    </row>
    <row r="798">
      <c r="B798" s="183"/>
      <c r="C798" s="183"/>
      <c r="E798" s="183"/>
      <c r="F798" s="183"/>
    </row>
    <row r="799">
      <c r="B799" s="183"/>
      <c r="C799" s="183"/>
      <c r="E799" s="183"/>
      <c r="F799" s="183"/>
    </row>
    <row r="800">
      <c r="B800" s="183"/>
      <c r="C800" s="183"/>
      <c r="E800" s="183"/>
      <c r="F800" s="183"/>
    </row>
    <row r="801">
      <c r="B801" s="183"/>
      <c r="C801" s="183"/>
      <c r="E801" s="183"/>
      <c r="F801" s="183"/>
    </row>
    <row r="802">
      <c r="B802" s="183"/>
      <c r="C802" s="183"/>
      <c r="E802" s="183"/>
      <c r="F802" s="183"/>
    </row>
    <row r="803">
      <c r="B803" s="183"/>
      <c r="C803" s="183"/>
      <c r="E803" s="183"/>
      <c r="F803" s="183"/>
    </row>
    <row r="804">
      <c r="B804" s="183"/>
      <c r="C804" s="183"/>
      <c r="E804" s="183"/>
      <c r="F804" s="183"/>
    </row>
    <row r="805">
      <c r="B805" s="183"/>
      <c r="C805" s="183"/>
      <c r="E805" s="183"/>
      <c r="F805" s="183"/>
    </row>
    <row r="806">
      <c r="B806" s="183"/>
      <c r="C806" s="183"/>
      <c r="E806" s="183"/>
      <c r="F806" s="183"/>
    </row>
    <row r="807">
      <c r="B807" s="183"/>
      <c r="C807" s="183"/>
      <c r="E807" s="183"/>
      <c r="F807" s="183"/>
    </row>
    <row r="808">
      <c r="B808" s="183"/>
      <c r="C808" s="183"/>
      <c r="E808" s="183"/>
      <c r="F808" s="183"/>
    </row>
    <row r="809">
      <c r="B809" s="183"/>
      <c r="C809" s="183"/>
      <c r="E809" s="183"/>
      <c r="F809" s="183"/>
    </row>
    <row r="810">
      <c r="B810" s="183"/>
      <c r="C810" s="183"/>
      <c r="E810" s="183"/>
      <c r="F810" s="183"/>
    </row>
    <row r="811">
      <c r="B811" s="183"/>
      <c r="C811" s="183"/>
      <c r="E811" s="183"/>
      <c r="F811" s="183"/>
    </row>
    <row r="812">
      <c r="B812" s="183"/>
      <c r="C812" s="183"/>
      <c r="E812" s="183"/>
      <c r="F812" s="183"/>
    </row>
    <row r="813">
      <c r="B813" s="183"/>
      <c r="C813" s="183"/>
      <c r="E813" s="183"/>
      <c r="F813" s="183"/>
    </row>
    <row r="814">
      <c r="B814" s="183"/>
      <c r="C814" s="183"/>
      <c r="E814" s="183"/>
      <c r="F814" s="183"/>
    </row>
    <row r="815">
      <c r="B815" s="183"/>
      <c r="C815" s="183"/>
      <c r="E815" s="183"/>
      <c r="F815" s="183"/>
    </row>
    <row r="816">
      <c r="B816" s="183"/>
      <c r="C816" s="183"/>
      <c r="E816" s="183"/>
      <c r="F816" s="183"/>
    </row>
    <row r="817">
      <c r="B817" s="183"/>
      <c r="C817" s="183"/>
      <c r="E817" s="183"/>
      <c r="F817" s="183"/>
    </row>
    <row r="818">
      <c r="B818" s="183"/>
      <c r="C818" s="183"/>
      <c r="E818" s="183"/>
      <c r="F818" s="183"/>
    </row>
    <row r="819">
      <c r="B819" s="183"/>
      <c r="C819" s="183"/>
      <c r="E819" s="183"/>
      <c r="F819" s="183"/>
    </row>
    <row r="820">
      <c r="B820" s="183"/>
      <c r="C820" s="183"/>
      <c r="E820" s="183"/>
      <c r="F820" s="183"/>
    </row>
    <row r="821">
      <c r="B821" s="183"/>
      <c r="C821" s="183"/>
      <c r="E821" s="183"/>
      <c r="F821" s="183"/>
    </row>
    <row r="822">
      <c r="B822" s="183"/>
      <c r="C822" s="183"/>
      <c r="E822" s="183"/>
      <c r="F822" s="183"/>
    </row>
    <row r="823">
      <c r="B823" s="183"/>
      <c r="C823" s="183"/>
      <c r="E823" s="183"/>
      <c r="F823" s="183"/>
    </row>
    <row r="824">
      <c r="B824" s="183"/>
      <c r="C824" s="183"/>
      <c r="E824" s="183"/>
      <c r="F824" s="183"/>
    </row>
    <row r="825">
      <c r="B825" s="183"/>
      <c r="C825" s="183"/>
      <c r="E825" s="183"/>
      <c r="F825" s="183"/>
    </row>
    <row r="826">
      <c r="B826" s="183"/>
      <c r="C826" s="183"/>
      <c r="E826" s="183"/>
      <c r="F826" s="183"/>
    </row>
    <row r="827">
      <c r="B827" s="183"/>
      <c r="C827" s="183"/>
      <c r="E827" s="183"/>
      <c r="F827" s="183"/>
    </row>
    <row r="828">
      <c r="B828" s="183"/>
      <c r="C828" s="183"/>
      <c r="E828" s="183"/>
      <c r="F828" s="183"/>
    </row>
    <row r="829">
      <c r="B829" s="183"/>
      <c r="C829" s="183"/>
      <c r="E829" s="183"/>
      <c r="F829" s="183"/>
    </row>
    <row r="830">
      <c r="B830" s="183"/>
      <c r="C830" s="183"/>
      <c r="E830" s="183"/>
      <c r="F830" s="183"/>
    </row>
    <row r="831">
      <c r="B831" s="183"/>
      <c r="C831" s="183"/>
      <c r="E831" s="183"/>
      <c r="F831" s="183"/>
    </row>
    <row r="832">
      <c r="B832" s="183"/>
      <c r="C832" s="183"/>
      <c r="E832" s="183"/>
      <c r="F832" s="183"/>
    </row>
    <row r="833">
      <c r="B833" s="183"/>
      <c r="C833" s="183"/>
      <c r="E833" s="183"/>
      <c r="F833" s="183"/>
    </row>
    <row r="834">
      <c r="B834" s="183"/>
      <c r="C834" s="183"/>
      <c r="E834" s="183"/>
      <c r="F834" s="183"/>
    </row>
    <row r="835">
      <c r="B835" s="183"/>
      <c r="C835" s="183"/>
      <c r="E835" s="183"/>
      <c r="F835" s="183"/>
    </row>
    <row r="836">
      <c r="B836" s="183"/>
      <c r="C836" s="183"/>
      <c r="E836" s="183"/>
      <c r="F836" s="183"/>
    </row>
    <row r="837">
      <c r="B837" s="183"/>
      <c r="C837" s="183"/>
      <c r="E837" s="183"/>
      <c r="F837" s="183"/>
    </row>
    <row r="838">
      <c r="B838" s="183"/>
      <c r="C838" s="183"/>
      <c r="E838" s="183"/>
      <c r="F838" s="183"/>
    </row>
    <row r="839">
      <c r="B839" s="183"/>
      <c r="C839" s="183"/>
      <c r="E839" s="183"/>
      <c r="F839" s="183"/>
    </row>
    <row r="840">
      <c r="B840" s="183"/>
      <c r="C840" s="183"/>
      <c r="E840" s="183"/>
      <c r="F840" s="183"/>
    </row>
    <row r="841">
      <c r="B841" s="183"/>
      <c r="C841" s="183"/>
      <c r="E841" s="183"/>
      <c r="F841" s="183"/>
    </row>
    <row r="842">
      <c r="B842" s="183"/>
      <c r="C842" s="183"/>
      <c r="E842" s="183"/>
      <c r="F842" s="183"/>
    </row>
    <row r="843">
      <c r="B843" s="183"/>
      <c r="C843" s="183"/>
      <c r="E843" s="183"/>
      <c r="F843" s="183"/>
    </row>
    <row r="844">
      <c r="B844" s="183"/>
      <c r="C844" s="183"/>
      <c r="E844" s="183"/>
      <c r="F844" s="183"/>
    </row>
    <row r="845">
      <c r="B845" s="183"/>
      <c r="C845" s="183"/>
      <c r="E845" s="183"/>
      <c r="F845" s="183"/>
    </row>
    <row r="846">
      <c r="B846" s="183"/>
      <c r="C846" s="183"/>
      <c r="E846" s="183"/>
      <c r="F846" s="183"/>
    </row>
    <row r="847">
      <c r="B847" s="183"/>
      <c r="C847" s="183"/>
      <c r="E847" s="183"/>
      <c r="F847" s="183"/>
    </row>
    <row r="848">
      <c r="B848" s="183"/>
      <c r="C848" s="183"/>
      <c r="E848" s="183"/>
      <c r="F848" s="183"/>
    </row>
    <row r="849">
      <c r="B849" s="183"/>
      <c r="C849" s="183"/>
      <c r="E849" s="183"/>
      <c r="F849" s="183"/>
    </row>
    <row r="850">
      <c r="B850" s="183"/>
      <c r="C850" s="183"/>
      <c r="E850" s="183"/>
      <c r="F850" s="183"/>
    </row>
    <row r="851">
      <c r="B851" s="183"/>
      <c r="C851" s="183"/>
      <c r="E851" s="183"/>
      <c r="F851" s="183"/>
    </row>
    <row r="852">
      <c r="B852" s="183"/>
      <c r="C852" s="183"/>
      <c r="E852" s="183"/>
      <c r="F852" s="183"/>
    </row>
    <row r="853">
      <c r="B853" s="183"/>
      <c r="C853" s="183"/>
      <c r="E853" s="183"/>
      <c r="F853" s="183"/>
    </row>
    <row r="854">
      <c r="B854" s="183"/>
      <c r="C854" s="183"/>
      <c r="E854" s="183"/>
      <c r="F854" s="183"/>
    </row>
    <row r="855">
      <c r="B855" s="183"/>
      <c r="C855" s="183"/>
      <c r="E855" s="183"/>
      <c r="F855" s="183"/>
    </row>
    <row r="856">
      <c r="B856" s="183"/>
      <c r="C856" s="183"/>
      <c r="E856" s="183"/>
      <c r="F856" s="183"/>
    </row>
    <row r="857">
      <c r="B857" s="183"/>
      <c r="C857" s="183"/>
      <c r="E857" s="183"/>
      <c r="F857" s="183"/>
    </row>
    <row r="858">
      <c r="B858" s="183"/>
      <c r="C858" s="183"/>
      <c r="E858" s="183"/>
      <c r="F858" s="183"/>
    </row>
    <row r="859">
      <c r="B859" s="183"/>
      <c r="C859" s="183"/>
      <c r="E859" s="183"/>
      <c r="F859" s="183"/>
    </row>
    <row r="860">
      <c r="B860" s="183"/>
      <c r="C860" s="183"/>
      <c r="E860" s="183"/>
      <c r="F860" s="183"/>
    </row>
    <row r="861">
      <c r="B861" s="183"/>
      <c r="C861" s="183"/>
      <c r="E861" s="183"/>
      <c r="F861" s="183"/>
    </row>
    <row r="862">
      <c r="B862" s="183"/>
      <c r="C862" s="183"/>
      <c r="E862" s="183"/>
      <c r="F862" s="183"/>
    </row>
    <row r="863">
      <c r="B863" s="183"/>
      <c r="C863" s="183"/>
      <c r="E863" s="183"/>
      <c r="F863" s="183"/>
    </row>
    <row r="864">
      <c r="B864" s="183"/>
      <c r="C864" s="183"/>
      <c r="E864" s="183"/>
      <c r="F864" s="183"/>
    </row>
    <row r="865">
      <c r="B865" s="183"/>
      <c r="C865" s="183"/>
      <c r="E865" s="183"/>
      <c r="F865" s="183"/>
    </row>
    <row r="866">
      <c r="B866" s="183"/>
      <c r="C866" s="183"/>
      <c r="E866" s="183"/>
      <c r="F866" s="183"/>
    </row>
    <row r="867">
      <c r="B867" s="183"/>
      <c r="C867" s="183"/>
      <c r="E867" s="183"/>
      <c r="F867" s="183"/>
    </row>
    <row r="868">
      <c r="B868" s="183"/>
      <c r="C868" s="183"/>
      <c r="E868" s="183"/>
      <c r="F868" s="183"/>
    </row>
    <row r="869">
      <c r="B869" s="183"/>
      <c r="C869" s="183"/>
      <c r="E869" s="183"/>
      <c r="F869" s="183"/>
    </row>
    <row r="870">
      <c r="B870" s="183"/>
      <c r="C870" s="183"/>
      <c r="E870" s="183"/>
      <c r="F870" s="183"/>
    </row>
    <row r="871">
      <c r="B871" s="183"/>
      <c r="C871" s="183"/>
      <c r="E871" s="183"/>
      <c r="F871" s="183"/>
    </row>
    <row r="872">
      <c r="B872" s="183"/>
      <c r="C872" s="183"/>
      <c r="E872" s="183"/>
      <c r="F872" s="183"/>
    </row>
    <row r="873">
      <c r="B873" s="183"/>
      <c r="C873" s="183"/>
      <c r="E873" s="183"/>
      <c r="F873" s="183"/>
    </row>
    <row r="874">
      <c r="B874" s="183"/>
      <c r="C874" s="183"/>
      <c r="E874" s="183"/>
      <c r="F874" s="183"/>
    </row>
    <row r="875">
      <c r="B875" s="183"/>
      <c r="C875" s="183"/>
      <c r="E875" s="183"/>
      <c r="F875" s="183"/>
    </row>
    <row r="876">
      <c r="B876" s="183"/>
      <c r="C876" s="183"/>
      <c r="E876" s="183"/>
      <c r="F876" s="183"/>
    </row>
    <row r="877">
      <c r="B877" s="183"/>
      <c r="C877" s="183"/>
      <c r="E877" s="183"/>
      <c r="F877" s="183"/>
    </row>
    <row r="878">
      <c r="B878" s="183"/>
      <c r="C878" s="183"/>
      <c r="E878" s="183"/>
      <c r="F878" s="183"/>
    </row>
    <row r="879">
      <c r="B879" s="183"/>
      <c r="C879" s="183"/>
      <c r="E879" s="183"/>
      <c r="F879" s="183"/>
    </row>
    <row r="880">
      <c r="B880" s="183"/>
      <c r="C880" s="183"/>
      <c r="E880" s="183"/>
      <c r="F880" s="183"/>
    </row>
    <row r="881">
      <c r="B881" s="183"/>
      <c r="C881" s="183"/>
      <c r="E881" s="183"/>
      <c r="F881" s="183"/>
    </row>
    <row r="882">
      <c r="B882" s="183"/>
      <c r="C882" s="183"/>
      <c r="E882" s="183"/>
      <c r="F882" s="183"/>
    </row>
    <row r="883">
      <c r="B883" s="183"/>
      <c r="C883" s="183"/>
      <c r="E883" s="183"/>
      <c r="F883" s="183"/>
    </row>
    <row r="884">
      <c r="B884" s="183"/>
      <c r="C884" s="183"/>
      <c r="E884" s="183"/>
      <c r="F884" s="183"/>
    </row>
    <row r="885">
      <c r="B885" s="183"/>
      <c r="C885" s="183"/>
      <c r="E885" s="183"/>
      <c r="F885" s="183"/>
    </row>
    <row r="886">
      <c r="B886" s="183"/>
      <c r="C886" s="183"/>
      <c r="E886" s="183"/>
      <c r="F886" s="183"/>
    </row>
    <row r="887">
      <c r="B887" s="183"/>
      <c r="C887" s="183"/>
      <c r="E887" s="183"/>
      <c r="F887" s="183"/>
    </row>
    <row r="888">
      <c r="B888" s="183"/>
      <c r="C888" s="183"/>
      <c r="E888" s="183"/>
      <c r="F888" s="183"/>
    </row>
    <row r="889">
      <c r="B889" s="183"/>
      <c r="C889" s="183"/>
      <c r="E889" s="183"/>
      <c r="F889" s="183"/>
    </row>
    <row r="890">
      <c r="B890" s="183"/>
      <c r="C890" s="183"/>
      <c r="E890" s="183"/>
      <c r="F890" s="183"/>
    </row>
    <row r="891">
      <c r="B891" s="183"/>
      <c r="C891" s="183"/>
      <c r="E891" s="183"/>
      <c r="F891" s="183"/>
    </row>
    <row r="892">
      <c r="B892" s="183"/>
      <c r="C892" s="183"/>
      <c r="E892" s="183"/>
      <c r="F892" s="183"/>
    </row>
    <row r="893">
      <c r="B893" s="183"/>
      <c r="C893" s="183"/>
      <c r="E893" s="183"/>
      <c r="F893" s="183"/>
    </row>
    <row r="894">
      <c r="B894" s="183"/>
      <c r="C894" s="183"/>
      <c r="E894" s="183"/>
      <c r="F894" s="183"/>
    </row>
    <row r="895">
      <c r="B895" s="183"/>
      <c r="C895" s="183"/>
      <c r="E895" s="183"/>
      <c r="F895" s="183"/>
    </row>
    <row r="896">
      <c r="B896" s="183"/>
      <c r="C896" s="183"/>
      <c r="E896" s="183"/>
      <c r="F896" s="183"/>
    </row>
    <row r="897">
      <c r="B897" s="183"/>
      <c r="C897" s="183"/>
      <c r="E897" s="183"/>
      <c r="F897" s="183"/>
    </row>
    <row r="898">
      <c r="B898" s="183"/>
      <c r="C898" s="183"/>
      <c r="E898" s="183"/>
      <c r="F898" s="183"/>
    </row>
    <row r="899">
      <c r="B899" s="183"/>
      <c r="C899" s="183"/>
      <c r="E899" s="183"/>
      <c r="F899" s="183"/>
    </row>
    <row r="900">
      <c r="B900" s="183"/>
      <c r="C900" s="183"/>
      <c r="E900" s="183"/>
      <c r="F900" s="183"/>
    </row>
    <row r="901">
      <c r="B901" s="183"/>
      <c r="C901" s="183"/>
      <c r="E901" s="183"/>
      <c r="F901" s="183"/>
    </row>
    <row r="902">
      <c r="B902" s="183"/>
      <c r="C902" s="183"/>
      <c r="E902" s="183"/>
      <c r="F902" s="183"/>
    </row>
    <row r="903">
      <c r="B903" s="183"/>
      <c r="C903" s="183"/>
      <c r="E903" s="183"/>
      <c r="F903" s="183"/>
    </row>
    <row r="904">
      <c r="B904" s="183"/>
      <c r="C904" s="183"/>
      <c r="E904" s="183"/>
      <c r="F904" s="183"/>
    </row>
    <row r="905">
      <c r="B905" s="183"/>
      <c r="C905" s="183"/>
      <c r="E905" s="183"/>
      <c r="F905" s="183"/>
    </row>
    <row r="906">
      <c r="B906" s="183"/>
      <c r="C906" s="183"/>
      <c r="E906" s="183"/>
      <c r="F906" s="183"/>
    </row>
    <row r="907">
      <c r="B907" s="183"/>
      <c r="C907" s="183"/>
      <c r="E907" s="183"/>
      <c r="F907" s="183"/>
    </row>
    <row r="908">
      <c r="B908" s="183"/>
      <c r="C908" s="183"/>
      <c r="E908" s="183"/>
      <c r="F908" s="183"/>
    </row>
    <row r="909">
      <c r="B909" s="183"/>
      <c r="C909" s="183"/>
      <c r="E909" s="183"/>
      <c r="F909" s="183"/>
    </row>
    <row r="910">
      <c r="B910" s="183"/>
      <c r="C910" s="183"/>
      <c r="E910" s="183"/>
      <c r="F910" s="183"/>
    </row>
    <row r="911">
      <c r="B911" s="183"/>
      <c r="C911" s="183"/>
      <c r="E911" s="183"/>
      <c r="F911" s="183"/>
    </row>
    <row r="912">
      <c r="B912" s="183"/>
      <c r="C912" s="183"/>
      <c r="E912" s="183"/>
      <c r="F912" s="183"/>
    </row>
    <row r="913">
      <c r="B913" s="183"/>
      <c r="C913" s="183"/>
      <c r="E913" s="183"/>
      <c r="F913" s="183"/>
    </row>
    <row r="914">
      <c r="B914" s="183"/>
      <c r="C914" s="183"/>
      <c r="E914" s="183"/>
      <c r="F914" s="183"/>
    </row>
    <row r="915">
      <c r="B915" s="183"/>
      <c r="C915" s="183"/>
      <c r="E915" s="183"/>
      <c r="F915" s="183"/>
    </row>
    <row r="916">
      <c r="B916" s="183"/>
      <c r="C916" s="183"/>
      <c r="E916" s="183"/>
      <c r="F916" s="183"/>
    </row>
    <row r="917">
      <c r="B917" s="183"/>
      <c r="C917" s="183"/>
      <c r="E917" s="183"/>
      <c r="F917" s="183"/>
    </row>
    <row r="918">
      <c r="B918" s="183"/>
      <c r="C918" s="183"/>
      <c r="E918" s="183"/>
      <c r="F918" s="183"/>
    </row>
    <row r="919">
      <c r="B919" s="183"/>
      <c r="C919" s="183"/>
      <c r="E919" s="183"/>
      <c r="F919" s="183"/>
    </row>
    <row r="920">
      <c r="B920" s="183"/>
      <c r="C920" s="183"/>
      <c r="E920" s="183"/>
      <c r="F920" s="183"/>
    </row>
    <row r="921">
      <c r="B921" s="183"/>
      <c r="C921" s="183"/>
      <c r="E921" s="183"/>
      <c r="F921" s="183"/>
    </row>
    <row r="922">
      <c r="B922" s="183"/>
      <c r="C922" s="183"/>
      <c r="E922" s="183"/>
      <c r="F922" s="183"/>
    </row>
    <row r="923">
      <c r="B923" s="183"/>
      <c r="C923" s="183"/>
      <c r="E923" s="183"/>
      <c r="F923" s="183"/>
    </row>
    <row r="924">
      <c r="B924" s="183"/>
      <c r="C924" s="183"/>
      <c r="E924" s="183"/>
      <c r="F924" s="183"/>
    </row>
    <row r="925">
      <c r="B925" s="183"/>
      <c r="C925" s="183"/>
      <c r="E925" s="183"/>
      <c r="F925" s="183"/>
    </row>
    <row r="926">
      <c r="B926" s="183"/>
      <c r="C926" s="183"/>
      <c r="E926" s="183"/>
      <c r="F926" s="183"/>
    </row>
    <row r="927">
      <c r="B927" s="183"/>
      <c r="C927" s="183"/>
      <c r="E927" s="183"/>
      <c r="F927" s="183"/>
    </row>
    <row r="928">
      <c r="B928" s="183"/>
      <c r="C928" s="183"/>
      <c r="E928" s="183"/>
      <c r="F928" s="183"/>
    </row>
    <row r="929">
      <c r="B929" s="183"/>
      <c r="C929" s="183"/>
      <c r="E929" s="183"/>
      <c r="F929" s="183"/>
    </row>
    <row r="930">
      <c r="B930" s="183"/>
      <c r="C930" s="183"/>
      <c r="E930" s="183"/>
      <c r="F930" s="183"/>
    </row>
    <row r="931">
      <c r="B931" s="183"/>
      <c r="C931" s="183"/>
      <c r="E931" s="183"/>
      <c r="F931" s="183"/>
    </row>
    <row r="932">
      <c r="B932" s="183"/>
      <c r="C932" s="183"/>
      <c r="E932" s="183"/>
      <c r="F932" s="183"/>
    </row>
    <row r="933">
      <c r="B933" s="183"/>
      <c r="C933" s="183"/>
      <c r="E933" s="183"/>
      <c r="F933" s="183"/>
    </row>
    <row r="934">
      <c r="B934" s="183"/>
      <c r="C934" s="183"/>
      <c r="E934" s="183"/>
      <c r="F934" s="183"/>
    </row>
    <row r="935">
      <c r="B935" s="183"/>
      <c r="C935" s="183"/>
      <c r="E935" s="183"/>
      <c r="F935" s="183"/>
    </row>
    <row r="936">
      <c r="B936" s="183"/>
      <c r="C936" s="183"/>
      <c r="E936" s="183"/>
      <c r="F936" s="183"/>
    </row>
    <row r="937">
      <c r="B937" s="183"/>
      <c r="C937" s="183"/>
      <c r="E937" s="183"/>
      <c r="F937" s="183"/>
    </row>
    <row r="938">
      <c r="B938" s="183"/>
      <c r="C938" s="183"/>
      <c r="E938" s="183"/>
      <c r="F938" s="183"/>
    </row>
    <row r="939">
      <c r="B939" s="183"/>
      <c r="C939" s="183"/>
      <c r="E939" s="183"/>
      <c r="F939" s="183"/>
    </row>
    <row r="940">
      <c r="B940" s="183"/>
      <c r="C940" s="183"/>
      <c r="E940" s="183"/>
      <c r="F940" s="183"/>
    </row>
    <row r="941">
      <c r="B941" s="183"/>
      <c r="C941" s="183"/>
      <c r="E941" s="183"/>
      <c r="F941" s="183"/>
    </row>
    <row r="942">
      <c r="B942" s="183"/>
      <c r="C942" s="183"/>
      <c r="E942" s="183"/>
      <c r="F942" s="183"/>
    </row>
    <row r="943">
      <c r="B943" s="183"/>
      <c r="C943" s="183"/>
      <c r="E943" s="183"/>
      <c r="F943" s="183"/>
    </row>
    <row r="944">
      <c r="B944" s="183"/>
      <c r="C944" s="183"/>
      <c r="E944" s="183"/>
      <c r="F944" s="183"/>
    </row>
    <row r="945">
      <c r="B945" s="183"/>
      <c r="C945" s="183"/>
      <c r="E945" s="183"/>
      <c r="F945" s="183"/>
    </row>
    <row r="946">
      <c r="B946" s="183"/>
      <c r="C946" s="183"/>
      <c r="E946" s="183"/>
      <c r="F946" s="183"/>
    </row>
    <row r="947">
      <c r="B947" s="183"/>
      <c r="C947" s="183"/>
      <c r="E947" s="183"/>
      <c r="F947" s="183"/>
    </row>
    <row r="948">
      <c r="B948" s="183"/>
      <c r="C948" s="183"/>
      <c r="E948" s="183"/>
      <c r="F948" s="183"/>
    </row>
    <row r="949">
      <c r="B949" s="183"/>
      <c r="C949" s="183"/>
      <c r="E949" s="183"/>
      <c r="F949" s="183"/>
    </row>
    <row r="950">
      <c r="B950" s="183"/>
      <c r="C950" s="183"/>
      <c r="E950" s="183"/>
      <c r="F950" s="183"/>
    </row>
    <row r="951">
      <c r="B951" s="183"/>
      <c r="C951" s="183"/>
      <c r="E951" s="183"/>
      <c r="F951" s="183"/>
    </row>
    <row r="952">
      <c r="B952" s="183"/>
      <c r="C952" s="183"/>
      <c r="E952" s="183"/>
      <c r="F952" s="183"/>
    </row>
    <row r="953">
      <c r="B953" s="183"/>
      <c r="C953" s="183"/>
      <c r="E953" s="183"/>
      <c r="F953" s="183"/>
    </row>
    <row r="954">
      <c r="B954" s="183"/>
      <c r="C954" s="183"/>
      <c r="E954" s="183"/>
      <c r="F954" s="183"/>
    </row>
    <row r="955">
      <c r="B955" s="183"/>
      <c r="C955" s="183"/>
      <c r="E955" s="183"/>
      <c r="F955" s="183"/>
    </row>
    <row r="956">
      <c r="B956" s="183"/>
      <c r="C956" s="183"/>
      <c r="E956" s="183"/>
      <c r="F956" s="183"/>
    </row>
    <row r="957">
      <c r="B957" s="183"/>
      <c r="C957" s="183"/>
      <c r="E957" s="183"/>
      <c r="F957" s="183"/>
    </row>
    <row r="958">
      <c r="B958" s="183"/>
      <c r="C958" s="183"/>
      <c r="E958" s="183"/>
      <c r="F958" s="183"/>
    </row>
    <row r="959">
      <c r="B959" s="183"/>
      <c r="C959" s="183"/>
      <c r="E959" s="183"/>
      <c r="F959" s="183"/>
    </row>
    <row r="960">
      <c r="B960" s="183"/>
      <c r="C960" s="183"/>
      <c r="E960" s="183"/>
      <c r="F960" s="183"/>
    </row>
    <row r="961">
      <c r="B961" s="183"/>
      <c r="C961" s="183"/>
      <c r="E961" s="183"/>
      <c r="F961" s="183"/>
    </row>
    <row r="962">
      <c r="B962" s="183"/>
      <c r="C962" s="183"/>
      <c r="E962" s="183"/>
      <c r="F962" s="183"/>
    </row>
    <row r="963">
      <c r="B963" s="183"/>
      <c r="C963" s="183"/>
      <c r="E963" s="183"/>
      <c r="F963" s="183"/>
    </row>
    <row r="964">
      <c r="B964" s="183"/>
      <c r="C964" s="183"/>
      <c r="E964" s="183"/>
      <c r="F964" s="183"/>
    </row>
    <row r="965">
      <c r="B965" s="183"/>
      <c r="C965" s="183"/>
      <c r="E965" s="183"/>
      <c r="F965" s="183"/>
    </row>
    <row r="966">
      <c r="B966" s="183"/>
      <c r="C966" s="183"/>
      <c r="E966" s="183"/>
      <c r="F966" s="183"/>
    </row>
    <row r="967">
      <c r="B967" s="183"/>
      <c r="C967" s="183"/>
      <c r="E967" s="183"/>
      <c r="F967" s="183"/>
    </row>
    <row r="968">
      <c r="B968" s="183"/>
      <c r="C968" s="183"/>
      <c r="E968" s="183"/>
      <c r="F968" s="183"/>
    </row>
    <row r="969">
      <c r="B969" s="183"/>
      <c r="C969" s="183"/>
      <c r="E969" s="183"/>
      <c r="F969" s="183"/>
    </row>
    <row r="970">
      <c r="B970" s="183"/>
      <c r="C970" s="183"/>
      <c r="E970" s="183"/>
      <c r="F970" s="183"/>
    </row>
    <row r="971">
      <c r="B971" s="183"/>
      <c r="C971" s="183"/>
      <c r="E971" s="183"/>
      <c r="F971" s="183"/>
    </row>
    <row r="972">
      <c r="B972" s="183"/>
      <c r="C972" s="183"/>
      <c r="E972" s="183"/>
      <c r="F972" s="183"/>
    </row>
    <row r="973">
      <c r="B973" s="183"/>
      <c r="C973" s="183"/>
      <c r="E973" s="183"/>
      <c r="F973" s="183"/>
    </row>
    <row r="974">
      <c r="B974" s="183"/>
      <c r="C974" s="183"/>
      <c r="E974" s="183"/>
      <c r="F974" s="183"/>
    </row>
    <row r="975">
      <c r="B975" s="183"/>
      <c r="C975" s="183"/>
      <c r="E975" s="183"/>
      <c r="F975" s="183"/>
    </row>
    <row r="976">
      <c r="B976" s="183"/>
      <c r="C976" s="183"/>
      <c r="E976" s="183"/>
      <c r="F976" s="183"/>
    </row>
    <row r="977">
      <c r="B977" s="183"/>
      <c r="C977" s="183"/>
      <c r="E977" s="183"/>
      <c r="F977" s="183"/>
    </row>
    <row r="978">
      <c r="B978" s="183"/>
      <c r="C978" s="183"/>
      <c r="E978" s="183"/>
      <c r="F978" s="183"/>
    </row>
    <row r="979">
      <c r="B979" s="183"/>
      <c r="C979" s="183"/>
      <c r="E979" s="183"/>
      <c r="F979" s="183"/>
    </row>
    <row r="980">
      <c r="B980" s="183"/>
      <c r="C980" s="183"/>
      <c r="E980" s="183"/>
      <c r="F980" s="183"/>
    </row>
    <row r="981">
      <c r="B981" s="183"/>
      <c r="C981" s="183"/>
      <c r="E981" s="183"/>
      <c r="F981" s="183"/>
    </row>
    <row r="982">
      <c r="B982" s="183"/>
      <c r="C982" s="183"/>
      <c r="E982" s="183"/>
      <c r="F982" s="183"/>
    </row>
    <row r="983">
      <c r="B983" s="183"/>
      <c r="C983" s="183"/>
      <c r="E983" s="183"/>
      <c r="F983" s="183"/>
    </row>
    <row r="984">
      <c r="B984" s="183"/>
      <c r="C984" s="183"/>
      <c r="E984" s="183"/>
      <c r="F984" s="183"/>
    </row>
    <row r="985">
      <c r="B985" s="183"/>
      <c r="C985" s="183"/>
      <c r="E985" s="183"/>
      <c r="F985" s="183"/>
    </row>
    <row r="986">
      <c r="B986" s="183"/>
      <c r="C986" s="183"/>
      <c r="E986" s="183"/>
      <c r="F986" s="183"/>
    </row>
    <row r="987">
      <c r="B987" s="183"/>
      <c r="C987" s="183"/>
      <c r="E987" s="183"/>
      <c r="F987" s="183"/>
    </row>
    <row r="988">
      <c r="B988" s="183"/>
      <c r="C988" s="183"/>
      <c r="E988" s="183"/>
      <c r="F988" s="183"/>
    </row>
    <row r="989">
      <c r="B989" s="183"/>
      <c r="C989" s="183"/>
      <c r="E989" s="183"/>
      <c r="F989" s="183"/>
    </row>
  </sheetData>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5.88"/>
    <col customWidth="1" min="4" max="4" width="5.25"/>
    <col customWidth="1" min="5" max="7" width="44.38"/>
    <col customWidth="1" min="8" max="8" width="5.25"/>
    <col customWidth="1" min="9" max="11" width="65.75"/>
    <col customWidth="1" min="12" max="12" width="5.25"/>
    <col customWidth="1" min="13" max="15" width="33.38"/>
    <col customWidth="1" min="16" max="16" width="5.25"/>
    <col customWidth="1" min="17" max="17" width="27.25"/>
    <col customWidth="1" min="18" max="19" width="23.13"/>
    <col customWidth="1" min="20" max="20" width="5.25"/>
    <col customWidth="1" min="21" max="23" width="18.5"/>
    <col customWidth="1" min="24" max="24" width="5.25"/>
    <col customWidth="1" min="25" max="25" width="27.25"/>
    <col customWidth="1" min="26" max="27" width="23.13"/>
    <col customWidth="1" min="28" max="28" width="5.25"/>
    <col customWidth="1" min="29" max="31" width="26.75"/>
    <col customWidth="1" min="32" max="34" width="5.25"/>
  </cols>
  <sheetData>
    <row r="1">
      <c r="A1" s="189" t="s">
        <v>2511</v>
      </c>
      <c r="B1" s="190" t="s">
        <v>2512</v>
      </c>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row>
    <row r="2" ht="48.75" customHeight="1">
      <c r="A2" s="192" t="s">
        <v>2513</v>
      </c>
      <c r="B2" s="192" t="str">
        <f>IFERROR(__xludf.DUMMYFUNCTION("GOOGLETRANSLATE(A2,""pt"",""en"")"),"Ordinance 148/2022 - Electrical Safety")</f>
        <v>Ordinance 148/2022 - Electrical Safety</v>
      </c>
      <c r="C2" s="192" t="str">
        <f>IFERROR(__xludf.DUMMYFUNCTION("GOOGLETRANSLATE(A2,""pt"",""zh-cn"")"),"第148/2022号法令 - 电气安全")</f>
        <v>第148/2022号法令 - 电气安全</v>
      </c>
      <c r="D2" s="193"/>
      <c r="E2" s="194" t="s">
        <v>2514</v>
      </c>
      <c r="F2" s="195" t="str">
        <f>IFERROR(__xludf.DUMMYFUNCTION("GOOGLETRANSLATE(E2,""pt"",""en"")"),"Ordinance 423/2021 - School Supplies")</f>
        <v>Ordinance 423/2021 - School Supplies</v>
      </c>
      <c r="G2" s="195" t="str">
        <f>IFERROR(__xludf.DUMMYFUNCTION("GOOGLETRANSLATE(E2,""pt"",""zh-cn"")"),"第 423/2021 号法令 - 学校用品")</f>
        <v>第 423/2021 号法令 - 学校用品</v>
      </c>
      <c r="H2" s="193"/>
      <c r="I2" s="196" t="s">
        <v>2515</v>
      </c>
      <c r="J2" s="196" t="str">
        <f>IFERROR(__xludf.DUMMYFUNCTION("GOOGLETRANSLATE(I2,""pt"",""en"")"),"Ordinance 302/2021 - Toys")</f>
        <v>Ordinance 302/2021 - Toys</v>
      </c>
      <c r="K2" s="196" t="str">
        <f>IFERROR(__xludf.DUMMYFUNCTION("GOOGLETRANSLATE(I2,""pt"",""zh-cn"")"),"2021年第302号法令 - 玩具")</f>
        <v>2021年第302号法令 - 玩具</v>
      </c>
      <c r="L2" s="193"/>
      <c r="M2" s="197" t="s">
        <v>2516</v>
      </c>
      <c r="N2" s="197" t="str">
        <f>IFERROR(__xludf.DUMMYFUNCTION("GOOGLETRANSLATE(M2,""pt"",""en"")"),"Ordinance 299/2021 - Fans")</f>
        <v>Ordinance 299/2021 - Fans</v>
      </c>
      <c r="O2" s="197" t="str">
        <f>IFERROR(__xludf.DUMMYFUNCTION("GOOGLETRANSLATE(M2,""pt"",""zh-cn"")"),"第299/2021号法令 - 风扇")</f>
        <v>第299/2021号法令 - 风扇</v>
      </c>
      <c r="P2" s="191"/>
      <c r="Q2" s="198" t="s">
        <v>2517</v>
      </c>
      <c r="R2" s="198" t="str">
        <f>IFERROR(__xludf.DUMMYFUNCTION("GOOGLETRANSLATE(Q2,""pt"",""en"")"),"ANATEL CATEGORY 1")</f>
        <v>ANATEL CATEGORY 1</v>
      </c>
      <c r="S2" s="198" t="str">
        <f>IFERROR(__xludf.DUMMYFUNCTION("GOOGLETRANSLATE(Q2,""pt"",""zh-cn"")"),"ANAtel 1类")</f>
        <v>ANAtel 1类</v>
      </c>
      <c r="T2" s="191"/>
      <c r="U2" s="199" t="s">
        <v>2518</v>
      </c>
      <c r="V2" s="199" t="str">
        <f>IFERROR(__xludf.DUMMYFUNCTION("GOOGLETRANSLATE(U2,""pt"",""en"")"),"ANATEL CATEGORY 2")</f>
        <v>ANATEL CATEGORY 2</v>
      </c>
      <c r="W2" s="199" t="str">
        <f>IFERROR(__xludf.DUMMYFUNCTION("GOOGLETRANSLATE(U2,""pt"",""zh-cn"")"),"ANAtel 2类")</f>
        <v>ANAtel 2类</v>
      </c>
      <c r="X2" s="193"/>
      <c r="Y2" s="200" t="s">
        <v>2519</v>
      </c>
      <c r="Z2" s="200" t="str">
        <f>IFERROR(__xludf.DUMMYFUNCTION("GOOGLETRANSLATE(Y2,""pt"",""en"")"),"ANATEL CATEGORY 3")</f>
        <v>ANATEL CATEGORY 3</v>
      </c>
      <c r="AA2" s="200" t="str">
        <f>IFERROR(__xludf.DUMMYFUNCTION("GOOGLETRANSLATE(Y2,""pt"",""zh-cn"")"),"ANAtel 3类")</f>
        <v>ANAtel 3类</v>
      </c>
      <c r="AB2" s="193"/>
      <c r="AC2" s="201" t="s">
        <v>2520</v>
      </c>
      <c r="AD2" s="201" t="str">
        <f>IFERROR(__xludf.DUMMYFUNCTION("GOOGLETRANSLATE(AC2,""pt"",""en"")"),"Ordinance 377/2021 - Televisions")</f>
        <v>Ordinance 377/2021 - Televisions</v>
      </c>
      <c r="AE2" s="201" t="str">
        <f>IFERROR(__xludf.DUMMYFUNCTION("GOOGLETRANSLATE(AC2,""pt"",""zh-cn"")"),"第377/2021号法令——电视机")</f>
        <v>第377/2021号法令——电视机</v>
      </c>
      <c r="AF2" s="193"/>
      <c r="AG2" s="193"/>
      <c r="AH2" s="191"/>
    </row>
    <row r="3" ht="44.25" customHeight="1">
      <c r="A3" s="202" t="s">
        <v>2521</v>
      </c>
      <c r="B3" s="202" t="s">
        <v>2522</v>
      </c>
      <c r="C3" s="202" t="s">
        <v>2523</v>
      </c>
      <c r="D3" s="193"/>
      <c r="E3" s="203" t="s">
        <v>2521</v>
      </c>
      <c r="F3" s="195" t="s">
        <v>2522</v>
      </c>
      <c r="G3" s="195" t="s">
        <v>2523</v>
      </c>
      <c r="H3" s="193"/>
      <c r="I3" s="204" t="s">
        <v>2521</v>
      </c>
      <c r="J3" s="204" t="s">
        <v>2522</v>
      </c>
      <c r="K3" s="204" t="s">
        <v>2523</v>
      </c>
      <c r="L3" s="193"/>
      <c r="M3" s="205" t="s">
        <v>2521</v>
      </c>
      <c r="N3" s="205" t="s">
        <v>2522</v>
      </c>
      <c r="O3" s="205" t="s">
        <v>2523</v>
      </c>
      <c r="P3" s="191"/>
      <c r="Q3" s="198" t="s">
        <v>2521</v>
      </c>
      <c r="R3" s="198" t="s">
        <v>2522</v>
      </c>
      <c r="S3" s="198" t="s">
        <v>2523</v>
      </c>
      <c r="T3" s="191"/>
      <c r="U3" s="199" t="s">
        <v>2521</v>
      </c>
      <c r="V3" s="199" t="s">
        <v>2522</v>
      </c>
      <c r="W3" s="199" t="s">
        <v>2523</v>
      </c>
      <c r="X3" s="193"/>
      <c r="Y3" s="200" t="s">
        <v>2521</v>
      </c>
      <c r="Z3" s="200" t="s">
        <v>2522</v>
      </c>
      <c r="AA3" s="200" t="s">
        <v>2523</v>
      </c>
      <c r="AB3" s="193"/>
      <c r="AC3" s="201" t="s">
        <v>2521</v>
      </c>
      <c r="AD3" s="201" t="s">
        <v>2522</v>
      </c>
      <c r="AE3" s="201" t="s">
        <v>2523</v>
      </c>
      <c r="AF3" s="193"/>
      <c r="AG3" s="193"/>
      <c r="AH3" s="191"/>
    </row>
    <row r="4">
      <c r="A4" s="206" t="s">
        <v>2524</v>
      </c>
      <c r="B4" s="207" t="str">
        <f>IFERROR(__xludf.DUMMYFUNCTION("GOOGLETRANSLATE(A4,""pt"",""en"")"),"Group 1: Kitchen machines and appliances")</f>
        <v>Group 1: Kitchen machines and appliances</v>
      </c>
      <c r="C4" s="208" t="str">
        <f>IFERROR(__xludf.DUMMYFUNCTION("GOOGLETRANSLATE(A4,""pt"",""zh-cn"")"),"第一组：厨房机器和电器")</f>
        <v>第一组：厨房机器和电器</v>
      </c>
      <c r="D4" s="193"/>
      <c r="E4" s="209" t="s">
        <v>2525</v>
      </c>
      <c r="F4" s="210" t="str">
        <f>IFERROR(__xludf.DUMMYFUNCTION("GOOGLETRANSLATE(E4,""pt"",""en"")"),"Sharpeners;")</f>
        <v>Sharpeners;</v>
      </c>
      <c r="G4" s="211" t="str">
        <f>IFERROR(__xludf.DUMMYFUNCTION("GOOGLETRANSLATE(E4,""pt"",""zh-cn"")"),"削笔器；")</f>
        <v>削笔器；</v>
      </c>
      <c r="H4" s="193"/>
      <c r="I4" s="212" t="s">
        <v>2526</v>
      </c>
      <c r="J4" s="213" t="str">
        <f>IFERROR(__xludf.DUMMYFUNCTION("GOOGLETRANSLATE(I4,""pt"",""en"")"),"Fashion accessories and costume jewelry (Non-disposable costume accessories and jewelry, such as princess tiaras, belts, vests, necklaces, anklets, bracelets, playful hats, mustaches, glasses, hammers, swords, among others related to the toy universe).")</f>
        <v>Fashion accessories and costume jewelry (Non-disposable costume accessories and jewelry, such as princess tiaras, belts, vests, necklaces, anklets, bracelets, playful hats, mustaches, glasses, hammers, swords, among others related to the toy universe).</v>
      </c>
      <c r="K4" s="214" t="str">
        <f>IFERROR(__xludf.DUMMYFUNCTION("GOOGLETRANSLATE(I4,""pt"",""zh-cn"")"),"时尚配饰和人造首饰（非一次性人造首饰，例如公主皇冠、腰带、背心、项链、脚链、手镯、趣味帽子、胡子、眼镜、锤子、剑等与玩具世界相关的物品）。")</f>
        <v>时尚配饰和人造首饰（非一次性人造首饰，例如公主皇冠、腰带、背心、项链、脚链、手镯、趣味帽子、胡子、眼镜、锤子、剑等与玩具世界相关的物品）。</v>
      </c>
      <c r="L4" s="193"/>
      <c r="M4" s="215" t="s">
        <v>2527</v>
      </c>
      <c r="N4" s="216" t="str">
        <f>IFERROR(__xludf.DUMMYFUNCTION("GOOGLETRANSLATE(M4,""pt"",""en"")"),"Table, wall, column, pedestal, and air circulator fans. (Compact fans that use batteries do not require certification.)")</f>
        <v>Table, wall, column, pedestal, and air circulator fans. (Compact fans that use batteries do not require certification.)</v>
      </c>
      <c r="O4" s="217" t="str">
        <f>IFERROR(__xludf.DUMMYFUNCTION("GOOGLETRANSLATE(M4,""pt"",""zh-cn"")"),"桌面式、壁挂式、立柱式、落地式和空气循环扇。（使用电池的紧凑型风扇无需认证。）")</f>
        <v>桌面式、壁挂式、立柱式、落地式和空气循环扇。（使用电池的紧凑型风扇无需认证。）</v>
      </c>
      <c r="P4" s="191"/>
      <c r="Q4" s="218" t="s">
        <v>2528</v>
      </c>
      <c r="R4" s="218" t="str">
        <f>IFERROR(__xludf.DUMMYFUNCTION("GOOGLETRANSLATE(Q4,""pt"",""en"")"),"Mobile phone;")</f>
        <v>Mobile phone;</v>
      </c>
      <c r="S4" s="218" t="str">
        <f>IFERROR(__xludf.DUMMYFUNCTION("GOOGLETRANSLATE(Q4,""pt"",""zh-cn"")"),"手机;")</f>
        <v>手机;</v>
      </c>
      <c r="T4" s="219"/>
      <c r="U4" s="220" t="s">
        <v>2529</v>
      </c>
      <c r="V4" s="220" t="str">
        <f>IFERROR(__xludf.DUMMYFUNCTION("GOOGLETRANSLATE(U4,""pt"",""en"")"),"Wifi Network Equipment;")</f>
        <v>Wifi Network Equipment;</v>
      </c>
      <c r="W4" s="220" t="str">
        <f>IFERROR(__xludf.DUMMYFUNCTION("GOOGLETRANSLATE(U4,""pt"",""zh-cn"")"),"无线网络设备；")</f>
        <v>无线网络设备；</v>
      </c>
      <c r="X4" s="221"/>
      <c r="Y4" s="222" t="s">
        <v>2530</v>
      </c>
      <c r="Z4" s="222" t="str">
        <f>IFERROR(__xludf.DUMMYFUNCTION("GOOGLETRANSLATE(Y4,""pt"",""en"")"),"Fiber Optic Cables;
")</f>
        <v>Fiber Optic Cables;
</v>
      </c>
      <c r="AA4" s="222" t="str">
        <f>IFERROR(__xludf.DUMMYFUNCTION("GOOGLETRANSLATE(Y4,""pt"",""zh-cn"")"),"光纤电缆；
")</f>
        <v>光纤电缆；
</v>
      </c>
      <c r="AB4" s="221"/>
      <c r="AC4" s="223" t="s">
        <v>2531</v>
      </c>
      <c r="AD4" s="223" t="str">
        <f>IFERROR(__xludf.DUMMYFUNCTION("GOOGLETRANSLATE(AC4,""pt"",""en"")"),"Cathode ray tubes;")</f>
        <v>Cathode ray tubes;</v>
      </c>
      <c r="AE4" s="223" t="str">
        <f>IFERROR(__xludf.DUMMYFUNCTION("GOOGLETRANSLATE(AC4,""pt"",""zh-cn"")"),"阴极射线管；")</f>
        <v>阴极射线管；</v>
      </c>
      <c r="AF4" s="193"/>
      <c r="AG4" s="193"/>
      <c r="AH4" s="191"/>
    </row>
    <row r="5">
      <c r="A5" s="224" t="s">
        <v>2532</v>
      </c>
      <c r="B5" s="225" t="str">
        <f>IFERROR(__xludf.DUMMYFUNCTION("GOOGLETRANSLATE(A5,""pt"",""en"")"),"Electric can opener")</f>
        <v>Electric can opener</v>
      </c>
      <c r="C5" s="226" t="str">
        <f>IFERROR(__xludf.DUMMYFUNCTION("GOOGLETRANSLATE(A5,""pt"",""zh-cn"")"),"电动开罐器")</f>
        <v>电动开罐器</v>
      </c>
      <c r="D5" s="193"/>
      <c r="E5" s="211" t="s">
        <v>2533</v>
      </c>
      <c r="F5" s="210" t="str">
        <f>IFERROR(__xludf.DUMMYFUNCTION("GOOGLETRANSLATE(E5,""pt"",""en"")"),"Erasers;")</f>
        <v>Erasers;</v>
      </c>
      <c r="G5" s="211" t="str">
        <f>IFERROR(__xludf.DUMMYFUNCTION("GOOGLETRANSLATE(E5,""pt"",""zh-cn"")"),"橡皮擦；")</f>
        <v>橡皮擦；</v>
      </c>
      <c r="H5" s="193"/>
      <c r="I5" s="214" t="s">
        <v>2534</v>
      </c>
      <c r="J5" s="213" t="str">
        <f>IFERROR(__xludf.DUMMYFUNCTION("GOOGLETRANSLATE(I5,""pt"",""en"")"),"Rubber animals or creatures (Toy made of soft rubber material).")</f>
        <v>Rubber animals or creatures (Toy made of soft rubber material).</v>
      </c>
      <c r="K5" s="214" t="str">
        <f>IFERROR(__xludf.DUMMYFUNCTION("GOOGLETRANSLATE(I5,""pt"",""zh-cn"")"),"橡胶动物或生物（由软橡胶材料制成的玩具）。")</f>
        <v>橡胶动物或生物（由软橡胶材料制成的玩具）。</v>
      </c>
      <c r="L5" s="193"/>
      <c r="M5" s="191"/>
      <c r="N5" s="191"/>
      <c r="O5" s="191"/>
      <c r="P5" s="191"/>
      <c r="Q5" s="218" t="s">
        <v>2535</v>
      </c>
      <c r="R5" s="218" t="str">
        <f>IFERROR(__xludf.DUMMYFUNCTION("GOOGLETRANSLATE(Q5,""pt"",""en"")"),"Battery for cell phone;
")</f>
        <v>Battery for cell phone;
</v>
      </c>
      <c r="S5" s="218" t="str">
        <f>IFERROR(__xludf.DUMMYFUNCTION("GOOGLETRANSLATE(Q5,""pt"",""zh-cn"")"),"手机电池；
")</f>
        <v>手机电池；
</v>
      </c>
      <c r="T5" s="219"/>
      <c r="U5" s="220" t="s">
        <v>2536</v>
      </c>
      <c r="V5" s="220" t="str">
        <f>IFERROR(__xludf.DUMMYFUNCTION("GOOGLETRANSLATE(U5,""pt"",""en"")"),"Radio Frequency Automation Equipment;")</f>
        <v>Radio Frequency Automation Equipment;</v>
      </c>
      <c r="W5" s="220" t="str">
        <f>IFERROR(__xludf.DUMMYFUNCTION("GOOGLETRANSLATE(U5,""pt"",""zh-cn"")"),"射频自动化设备；")</f>
        <v>射频自动化设备；</v>
      </c>
      <c r="X5" s="221"/>
      <c r="Y5" s="222" t="s">
        <v>2537</v>
      </c>
      <c r="Z5" s="222" t="str">
        <f>IFERROR(__xludf.DUMMYFUNCTION("GOOGLETRANSLATE(Y5,""pt"",""en"")"),"Cable connectors.")</f>
        <v>Cable connectors.</v>
      </c>
      <c r="AA5" s="222" t="str">
        <f>IFERROR(__xludf.DUMMYFUNCTION("GOOGLETRANSLATE(Y5,""pt"",""zh-cn"")"),"电缆连接器。")</f>
        <v>电缆连接器。</v>
      </c>
      <c r="AB5" s="221"/>
      <c r="AC5" s="223" t="s">
        <v>2538</v>
      </c>
      <c r="AD5" s="223" t="str">
        <f>IFERROR(__xludf.DUMMYFUNCTION("GOOGLETRANSLATE(AC5,""pt"",""en"")"),"Plasma screen;")</f>
        <v>Plasma screen;</v>
      </c>
      <c r="AE5" s="223" t="str">
        <f>IFERROR(__xludf.DUMMYFUNCTION("GOOGLETRANSLATE(AC5,""pt"",""zh-cn"")"),"等离子屏幕；")</f>
        <v>等离子屏幕；</v>
      </c>
      <c r="AF5" s="193"/>
      <c r="AG5" s="193"/>
      <c r="AH5" s="191"/>
    </row>
    <row r="6">
      <c r="A6" s="224" t="s">
        <v>2539</v>
      </c>
      <c r="B6" s="225" t="str">
        <f>IFERROR(__xludf.DUMMYFUNCTION("GOOGLETRANSLATE(A6,""pt"",""en"")"),"Electric knife sharpener")</f>
        <v>Electric knife sharpener</v>
      </c>
      <c r="C6" s="226" t="str">
        <f>IFERROR(__xludf.DUMMYFUNCTION("GOOGLETRANSLATE(A6,""pt"",""zh-cn"")"),"电动磨刀器")</f>
        <v>电动磨刀器</v>
      </c>
      <c r="D6" s="193"/>
      <c r="E6" s="211" t="s">
        <v>2540</v>
      </c>
      <c r="F6" s="210" t="str">
        <f>IFERROR(__xludf.DUMMYFUNCTION("GOOGLETRANSLATE(E6,""pt"",""en"")"),"Ballpoint and rollerball pens, with bodies and refills manufactured from plastic resins (polymers), as defined in item 4.5 of Inmetro Ordinance 481/2010;")</f>
        <v>Ballpoint and rollerball pens, with bodies and refills manufactured from plastic resins (polymers), as defined in item 4.5 of Inmetro Ordinance 481/2010;</v>
      </c>
      <c r="G6" s="211" t="str">
        <f>IFERROR(__xludf.DUMMYFUNCTION("GOOGLETRANSLATE(E6,""pt"",""zh-cn"")"),"圆珠笔和走珠笔，笔身和笔芯由塑料树脂（聚合物）制成，如 Inmetro 条例 481/2010 第 4.5 条所定义；")</f>
        <v>圆珠笔和走珠笔，笔身和笔芯由塑料树脂（聚合物）制成，如 Inmetro 条例 481/2010 第 4.5 条所定义；</v>
      </c>
      <c r="H6" s="193"/>
      <c r="I6" s="214" t="s">
        <v>2541</v>
      </c>
      <c r="J6" s="213" t="str">
        <f>IFERROR(__xludf.DUMMYFUNCTION("GOOGLETRANSLATE(I6,""pt"",""en"")"),"Metallic balloons and latex balloons (party balloons) (A type of balloon, with or without a playful design, used for party decorations or for children to play with).")</f>
        <v>Metallic balloons and latex balloons (party balloons) (A type of balloon, with or without a playful design, used for party decorations or for children to play with).</v>
      </c>
      <c r="K6" s="214" t="str">
        <f>IFERROR(__xludf.DUMMYFUNCTION("GOOGLETRANSLATE(I6,""pt"",""zh-cn"")"),"金属气球和乳胶气球（派对气球）（一种气球，有或没有有趣的图案，用于派对装饰或供儿童玩耍）。")</f>
        <v>金属气球和乳胶气球（派对气球）（一种气球，有或没有有趣的图案，用于派对装饰或供儿童玩耍）。</v>
      </c>
      <c r="L6" s="193"/>
      <c r="M6" s="191"/>
      <c r="N6" s="191"/>
      <c r="O6" s="191"/>
      <c r="P6" s="191"/>
      <c r="Q6" s="218" t="s">
        <v>2542</v>
      </c>
      <c r="R6" s="218" t="str">
        <f>IFERROR(__xludf.DUMMYFUNCTION("GOOGLETRANSLATE(Q6,""pt"",""en"")"),"Chargers for cell phones;
")</f>
        <v>Chargers for cell phones;
</v>
      </c>
      <c r="S6" s="218" t="str">
        <f>IFERROR(__xludf.DUMMYFUNCTION("GOOGLETRANSLATE(Q6,""pt"",""zh-cn"")"),"手机充电器；
")</f>
        <v>手机充电器；
</v>
      </c>
      <c r="T6" s="219"/>
      <c r="U6" s="220" t="s">
        <v>2543</v>
      </c>
      <c r="V6" s="220" t="str">
        <f>IFERROR(__xludf.DUMMYFUNCTION("GOOGLETRANSLATE(U6,""pt"",""en"")"),"Radio and Television Antennas and Transmitters.")</f>
        <v>Radio and Television Antennas and Transmitters.</v>
      </c>
      <c r="W6" s="220" t="str">
        <f>IFERROR(__xludf.DUMMYFUNCTION("GOOGLETRANSLATE(U6,""pt"",""zh-cn"")"),"无线电和电视天线及发射机。")</f>
        <v>无线电和电视天线及发射机。</v>
      </c>
      <c r="X6" s="221"/>
      <c r="Y6" s="227"/>
      <c r="Z6" s="227"/>
      <c r="AA6" s="227"/>
      <c r="AB6" s="221"/>
      <c r="AC6" s="223" t="s">
        <v>2544</v>
      </c>
      <c r="AD6" s="223" t="str">
        <f>IFERROR(__xludf.DUMMYFUNCTION("GOOGLETRANSLATE(AC6,""pt"",""en"")"),"LCD and LED panels;")</f>
        <v>LCD and LED panels;</v>
      </c>
      <c r="AE6" s="223" t="str">
        <f>IFERROR(__xludf.DUMMYFUNCTION("GOOGLETRANSLATE(AC6,""pt"",""zh-cn"")"),"LCD和LED面板；")</f>
        <v>LCD和LED面板；</v>
      </c>
      <c r="AF6" s="193"/>
      <c r="AG6" s="193"/>
      <c r="AH6" s="191"/>
    </row>
    <row r="7">
      <c r="A7" s="224" t="s">
        <v>2545</v>
      </c>
      <c r="B7" s="225" t="str">
        <f>IFERROR(__xludf.DUMMYFUNCTION("GOOGLETRANSLATE(A7,""pt"",""en"")"),"Electric bottle warmer")</f>
        <v>Electric bottle warmer</v>
      </c>
      <c r="C7" s="226" t="str">
        <f>IFERROR(__xludf.DUMMYFUNCTION("GOOGLETRANSLATE(A7,""pt"",""zh-cn"")"),"电热奶瓶架")</f>
        <v>电热奶瓶架</v>
      </c>
      <c r="D7" s="193"/>
      <c r="E7" s="211" t="s">
        <v>2546</v>
      </c>
      <c r="F7" s="210" t="str">
        <f>IFERROR(__xludf.DUMMYFUNCTION("GOOGLETRANSLATE(E7,""pt"",""en"")"),"Felt-tip pens (water-based markers);")</f>
        <v>Felt-tip pens (water-based markers);</v>
      </c>
      <c r="G7" s="211" t="str">
        <f>IFERROR(__xludf.DUMMYFUNCTION("GOOGLETRANSLATE(E7,""pt"",""zh-cn"")"),"毡尖笔（水性马克笔）；")</f>
        <v>毡尖笔（水性马克笔）；</v>
      </c>
      <c r="H7" s="193"/>
      <c r="I7" s="214" t="s">
        <v>2547</v>
      </c>
      <c r="J7" s="213" t="str">
        <f>IFERROR(__xludf.DUMMYFUNCTION("GOOGLETRANSLATE(I7,""pt"",""en"")"),"Hula hoop (Plastic or metal hoop up to 1 m in diameter).")</f>
        <v>Hula hoop (Plastic or metal hoop up to 1 m in diameter).</v>
      </c>
      <c r="K7" s="214" t="str">
        <f>IFERROR(__xludf.DUMMYFUNCTION("GOOGLETRANSLATE(I7,""pt"",""zh-cn"")"),"呼啦圈（塑料或金属圆环，直径不超过 1 米）。")</f>
        <v>呼啦圈（塑料或金属圆环，直径不超过 1 米）。</v>
      </c>
      <c r="L7" s="193"/>
      <c r="M7" s="191"/>
      <c r="N7" s="191"/>
      <c r="O7" s="191"/>
      <c r="P7" s="191"/>
      <c r="Q7" s="218" t="s">
        <v>2548</v>
      </c>
      <c r="R7" s="218" t="str">
        <f>IFERROR(__xludf.DUMMYFUNCTION("GOOGLETRANSLATE(Q7,""pt"",""en"")"),"Modem.")</f>
        <v>Modem.</v>
      </c>
      <c r="S7" s="218" t="str">
        <f>IFERROR(__xludf.DUMMYFUNCTION("GOOGLETRANSLATE(Q7,""pt"",""zh-cn"")"),"调制解调器。")</f>
        <v>调制解调器。</v>
      </c>
      <c r="T7" s="219"/>
      <c r="U7" s="191"/>
      <c r="V7" s="191"/>
      <c r="W7" s="191"/>
      <c r="X7" s="221"/>
      <c r="Y7" s="227"/>
      <c r="Z7" s="227"/>
      <c r="AA7" s="227"/>
      <c r="AB7" s="221"/>
      <c r="AC7" s="223" t="s">
        <v>2549</v>
      </c>
      <c r="AD7" s="223" t="str">
        <f>IFERROR(__xludf.DUMMYFUNCTION("GOOGLETRANSLATE(AC7,""pt"",""en"")"),"Monitors with television functionality;")</f>
        <v>Monitors with television functionality;</v>
      </c>
      <c r="AE7" s="223" t="str">
        <f>IFERROR(__xludf.DUMMYFUNCTION("GOOGLETRANSLATE(AC7,""pt"",""zh-cn"")"),"具备电视功能的显示器；")</f>
        <v>具备电视功能的显示器；</v>
      </c>
      <c r="AF7" s="193"/>
      <c r="AG7" s="193"/>
      <c r="AH7" s="191"/>
    </row>
    <row r="8">
      <c r="A8" s="224" t="s">
        <v>2550</v>
      </c>
      <c r="B8" s="225" t="str">
        <f>IFERROR(__xludf.DUMMYFUNCTION("GOOGLETRANSLATE(A8,""pt"",""en"")"),"Electric plate and tray warmer")</f>
        <v>Electric plate and tray warmer</v>
      </c>
      <c r="C8" s="226" t="str">
        <f>IFERROR(__xludf.DUMMYFUNCTION("GOOGLETRANSLATE(A8,""pt"",""zh-cn"")"),"电热餐盘保温器")</f>
        <v>电热餐盘保温器</v>
      </c>
      <c r="D8" s="193"/>
      <c r="E8" s="211" t="s">
        <v>2551</v>
      </c>
      <c r="F8" s="210" t="str">
        <f>IFERROR(__xludf.DUMMYFUNCTION("GOOGLETRANSLATE(E8,""pt"",""en"")"),"Glues (liquid or solid);")</f>
        <v>Glues (liquid or solid);</v>
      </c>
      <c r="G8" s="211" t="str">
        <f>IFERROR(__xludf.DUMMYFUNCTION("GOOGLETRANSLATE(E8,""pt"",""zh-cn"")"),"胶水（液体或固体）；")</f>
        <v>胶水（液体或固体）；</v>
      </c>
      <c r="H8" s="193"/>
      <c r="I8" s="214" t="s">
        <v>2552</v>
      </c>
      <c r="J8" s="213" t="str">
        <f>IFERROR(__xludf.DUMMYFUNCTION("GOOGLETRANSLATE(I8,""pt"",""en"")"),"Toy workbenches and tools (Tools and workbenches with parts for hammering, threading, screwing, fitting, among others).")</f>
        <v>Toy workbenches and tools (Tools and workbenches with parts for hammering, threading, screwing, fitting, among others).</v>
      </c>
      <c r="K8" s="214" t="str">
        <f>IFERROR(__xludf.DUMMYFUNCTION("GOOGLETRANSLATE(I8,""pt"",""zh-cn"")"),"玩具工作台和工具（工具和工作台，包含用于锤击、攻丝、拧螺丝、装配等的零件）。")</f>
        <v>玩具工作台和工具（工具和工作台，包含用于锤击、攻丝、拧螺丝、装配等的零件）。</v>
      </c>
      <c r="L8" s="193"/>
      <c r="M8" s="191"/>
      <c r="N8" s="191"/>
      <c r="O8" s="191"/>
      <c r="P8" s="191"/>
      <c r="Q8" s="227"/>
      <c r="R8" s="227"/>
      <c r="S8" s="227"/>
      <c r="T8" s="191"/>
      <c r="U8" s="191"/>
      <c r="V8" s="191"/>
      <c r="W8" s="191"/>
      <c r="X8" s="193"/>
      <c r="Y8" s="227"/>
      <c r="Z8" s="227"/>
      <c r="AA8" s="227"/>
      <c r="AB8" s="193"/>
      <c r="AC8" s="227"/>
      <c r="AD8" s="227"/>
      <c r="AE8" s="227"/>
      <c r="AF8" s="193"/>
      <c r="AG8" s="193"/>
      <c r="AH8" s="191"/>
    </row>
    <row r="9">
      <c r="A9" s="224" t="s">
        <v>2553</v>
      </c>
      <c r="B9" s="225" t="str">
        <f>IFERROR(__xludf.DUMMYFUNCTION("GOOGLETRANSLATE(A9,""pt"",""en"")"),"electric mixer")</f>
        <v>electric mixer</v>
      </c>
      <c r="C9" s="226" t="str">
        <f>IFERROR(__xludf.DUMMYFUNCTION("GOOGLETRANSLATE(A9,""pt"",""zh-cn"")"),"电动搅拌机")</f>
        <v>电动搅拌机</v>
      </c>
      <c r="D9" s="193"/>
      <c r="E9" s="211" t="s">
        <v>2554</v>
      </c>
      <c r="F9" s="210" t="str">
        <f>IFERROR(__xludf.DUMMYFUNCTION("GOOGLETRANSLATE(E9,""pt"",""en"")"),"Measures;")</f>
        <v>Measures;</v>
      </c>
      <c r="G9" s="211" t="str">
        <f>IFERROR(__xludf.DUMMYFUNCTION("GOOGLETRANSLATE(E9,""pt"",""zh-cn"")"),"措施；")</f>
        <v>措施；</v>
      </c>
      <c r="H9" s="193"/>
      <c r="I9" s="214" t="s">
        <v>2555</v>
      </c>
      <c r="J9" s="213" t="str">
        <f>IFERROR(__xludf.DUMMYFUNCTION("GOOGLETRANSLATE(I9,""pt"",""en"")"),"Tents, houses or huts (Tents, houses or huts, regardless of the material they are made of, with or without a playful motif, intended for use by children).")</f>
        <v>Tents, houses or huts (Tents, houses or huts, regardless of the material they are made of, with or without a playful motif, intended for use by children).</v>
      </c>
      <c r="K9" s="214" t="str">
        <f>IFERROR(__xludf.DUMMYFUNCTION("GOOGLETRANSLATE(I9,""pt"",""zh-cn"")"),"帐篷、房屋或小屋（帐篷、房屋或小屋，无论其材质如何，无论是否带有趣味图案，供儿童使用）。")</f>
        <v>帐篷、房屋或小屋（帐篷、房屋或小屋，无论其材质如何，无论是否带有趣味图案，供儿童使用）。</v>
      </c>
      <c r="L9" s="193"/>
      <c r="M9" s="191"/>
      <c r="N9" s="191"/>
      <c r="O9" s="191"/>
      <c r="P9" s="191"/>
      <c r="Q9" s="227"/>
      <c r="R9" s="227"/>
      <c r="S9" s="227"/>
      <c r="T9" s="191"/>
      <c r="U9" s="191"/>
      <c r="V9" s="191"/>
      <c r="W9" s="191"/>
      <c r="X9" s="193"/>
      <c r="Y9" s="227"/>
      <c r="Z9" s="227"/>
      <c r="AA9" s="227"/>
      <c r="AB9" s="193"/>
      <c r="AC9" s="227"/>
      <c r="AD9" s="227"/>
      <c r="AE9" s="227"/>
      <c r="AF9" s="193"/>
      <c r="AG9" s="193"/>
      <c r="AH9" s="191"/>
    </row>
    <row r="10">
      <c r="A10" s="224" t="s">
        <v>2556</v>
      </c>
      <c r="B10" s="225" t="str">
        <f>IFERROR(__xludf.DUMMYFUNCTION("GOOGLETRANSLATE(A10,""pt"",""en"")"),"Electric coffee maker / Electric kettle")</f>
        <v>Electric coffee maker / Electric kettle</v>
      </c>
      <c r="C10" s="226" t="str">
        <f>IFERROR(__xludf.DUMMYFUNCTION("GOOGLETRANSLATE(A10,""pt"",""zh-cn"")"),"电咖啡壶/电水壶")</f>
        <v>电咖啡壶/电水壶</v>
      </c>
      <c r="D10" s="193"/>
      <c r="E10" s="211" t="s">
        <v>2557</v>
      </c>
      <c r="F10" s="210" t="str">
        <f>IFERROR(__xludf.DUMMYFUNCTION("GOOGLETRANSLATE(E10,""pt"",""en"")"),"Correctors (adhesives or inks);")</f>
        <v>Correctors (adhesives or inks);</v>
      </c>
      <c r="G10" s="211" t="str">
        <f>IFERROR(__xludf.DUMMYFUNCTION("GOOGLETRANSLATE(E10,""pt"",""zh-cn"")"),"修正剂（粘合剂或油墨）；")</f>
        <v>修正剂（粘合剂或油墨）；</v>
      </c>
      <c r="H10" s="193"/>
      <c r="I10" s="228" t="s">
        <v>2558</v>
      </c>
      <c r="J10" s="213" t="str">
        <f>IFERROR(__xludf.DUMMYFUNCTION("GOOGLETRANSLATE(I10,""pt"",""en"")"),"Ball (All types of balls for play, intended for throwing, kicking, rolling, bouncing, jumping, whether for playful purposes or not, as well as those that light up, vibrate, emit sounds, glow in the dark, among other interactions they may have, regardless "&amp;"of the product.")</f>
        <v>Ball (All types of balls for play, intended for throwing, kicking, rolling, bouncing, jumping, whether for playful purposes or not, as well as those that light up, vibrate, emit sounds, glow in the dark, among other interactions they may have, regardless of the product.</v>
      </c>
      <c r="K10" s="214" t="str">
        <f>IFERROR(__xludf.DUMMYFUNCTION("GOOGLETRANSLATE(I10,""pt"",""zh-cn"")"),"球（各种类型的玩耍用球，用于投掷、踢、滚动、弹跳、跳跃，无论是否出于玩耍目的，以及发光、振动、发声、在黑暗中发光等各种互动方式，无论产品如何。")</f>
        <v>球（各种类型的玩耍用球，用于投掷、踢、滚动、弹跳、跳跃，无论是否出于玩耍目的，以及发光、振动、发声、在黑暗中发光等各种互动方式，无论产品如何。</v>
      </c>
      <c r="L10" s="193"/>
      <c r="M10" s="191"/>
      <c r="N10" s="191"/>
      <c r="O10" s="191"/>
      <c r="P10" s="191"/>
      <c r="Q10" s="227"/>
      <c r="R10" s="227"/>
      <c r="S10" s="227"/>
      <c r="T10" s="191"/>
      <c r="U10" s="191"/>
      <c r="V10" s="191"/>
      <c r="W10" s="191"/>
      <c r="X10" s="193"/>
      <c r="Y10" s="227"/>
      <c r="Z10" s="227"/>
      <c r="AA10" s="227"/>
      <c r="AB10" s="193"/>
      <c r="AC10" s="227"/>
      <c r="AD10" s="227"/>
      <c r="AE10" s="227"/>
      <c r="AF10" s="193"/>
      <c r="AG10" s="193"/>
      <c r="AH10" s="191"/>
    </row>
    <row r="11">
      <c r="A11" s="224" t="s">
        <v>2559</v>
      </c>
      <c r="B11" s="225" t="str">
        <f>IFERROR(__xludf.DUMMYFUNCTION("GOOGLETRANSLATE(A11,""pt"",""en"")"),"Electric food centrifuge")</f>
        <v>Electric food centrifuge</v>
      </c>
      <c r="C11" s="226" t="str">
        <f>IFERROR(__xludf.DUMMYFUNCTION("GOOGLETRANSLATE(A11,""pt"",""zh-cn"")"),"电动食品离心机")</f>
        <v>电动食品离心机</v>
      </c>
      <c r="D11" s="193"/>
      <c r="E11" s="211" t="s">
        <v>2560</v>
      </c>
      <c r="F11" s="210" t="str">
        <f>IFERROR(__xludf.DUMMYFUNCTION("GOOGLETRANSLATE(E11,""pt"",""en"")"),"French curves;")</f>
        <v>French curves;</v>
      </c>
      <c r="G11" s="211" t="str">
        <f>IFERROR(__xludf.DUMMYFUNCTION("GOOGLETRANSLATE(E11,""pt"",""zh-cn"")"),"法式曲线；")</f>
        <v>法式曲线；</v>
      </c>
      <c r="H11" s="193"/>
      <c r="I11" s="214" t="s">
        <v>2561</v>
      </c>
      <c r="J11" s="213" t="str">
        <f>IFERROR(__xludf.DUMMYFUNCTION("GOOGLETRANSLATE(I11,""pt"",""en"")"),"Soap bubbles (Any toy that releases soap bubbles).")</f>
        <v>Soap bubbles (Any toy that releases soap bubbles).</v>
      </c>
      <c r="K11" s="214" t="str">
        <f>IFERROR(__xludf.DUMMYFUNCTION("GOOGLETRANSLATE(I11,""pt"",""zh-cn"")"),"肥皂泡（任何能产生肥皂泡的玩具）。")</f>
        <v>肥皂泡（任何能产生肥皂泡的玩具）。</v>
      </c>
      <c r="L11" s="193"/>
      <c r="M11" s="191"/>
      <c r="N11" s="191"/>
      <c r="O11" s="191"/>
      <c r="P11" s="191"/>
      <c r="Q11" s="227"/>
      <c r="R11" s="227"/>
      <c r="S11" s="227"/>
      <c r="T11" s="191"/>
      <c r="U11" s="191"/>
      <c r="V11" s="191"/>
      <c r="W11" s="191"/>
      <c r="X11" s="193"/>
      <c r="Y11" s="227"/>
      <c r="Z11" s="227"/>
      <c r="AA11" s="227"/>
      <c r="AB11" s="193"/>
      <c r="AC11" s="227"/>
      <c r="AD11" s="227"/>
      <c r="AE11" s="227"/>
      <c r="AF11" s="193"/>
      <c r="AG11" s="193"/>
      <c r="AH11" s="191"/>
    </row>
    <row r="12">
      <c r="A12" s="224" t="s">
        <v>2562</v>
      </c>
      <c r="B12" s="225" t="str">
        <f>IFERROR(__xludf.DUMMYFUNCTION("GOOGLETRANSLATE(A12,""pt"",""en"")"),"Electric range hood / extractor fan")</f>
        <v>Electric range hood / extractor fan</v>
      </c>
      <c r="C12" s="226" t="str">
        <f>IFERROR(__xludf.DUMMYFUNCTION("GOOGLETRANSLATE(A12,""pt"",""zh-cn"")"),"电动抽油烟机/排气扇")</f>
        <v>电动抽油烟机/排气扇</v>
      </c>
      <c r="D12" s="193"/>
      <c r="E12" s="211" t="s">
        <v>2563</v>
      </c>
      <c r="F12" s="210" t="str">
        <f>IFERROR(__xludf.DUMMYFUNCTION("GOOGLETRANSLATE(E12,""pt"",""en"")"),"Set squares;")</f>
        <v>Set squares;</v>
      </c>
      <c r="G12" s="211" t="str">
        <f>IFERROR(__xludf.DUMMYFUNCTION("GOOGLETRANSLATE(E12,""pt"",""zh-cn"")"),"三角板；")</f>
        <v>三角板；</v>
      </c>
      <c r="H12" s="193"/>
      <c r="I12" s="214" t="s">
        <v>2564</v>
      </c>
      <c r="J12" s="213" t="str">
        <f>IFERROR(__xludf.DUMMYFUNCTION("GOOGLETRANSLATE(I12,""pt"",""en"")"),"Bowling, bocce, ring toss (Bowling balls and pins; bocce balls, and ring toss games for throwing and fitting onto an axle, for recreational purposes, not for professional use).")</f>
        <v>Bowling, bocce, ring toss (Bowling balls and pins; bocce balls, and ring toss games for throwing and fitting onto an axle, for recreational purposes, not for professional use).</v>
      </c>
      <c r="K12" s="214" t="str">
        <f>IFERROR(__xludf.DUMMYFUNCTION("GOOGLETRANSLATE(I12,""pt"",""zh-cn"")"),"保龄球、地掷球、套圈游戏（保龄球和球瓶；地掷球和套圈游戏，用于投掷和套入轴上，用于娱乐目的，非专业用途）。")</f>
        <v>保龄球、地掷球、套圈游戏（保龄球和球瓶；地掷球和套圈游戏，用于投掷和套入轴上，用于娱乐目的，非专业用途）。</v>
      </c>
      <c r="L12" s="193"/>
      <c r="M12" s="191"/>
      <c r="N12" s="191"/>
      <c r="O12" s="191"/>
      <c r="P12" s="191"/>
      <c r="Q12" s="227"/>
      <c r="R12" s="227"/>
      <c r="S12" s="227"/>
      <c r="T12" s="191"/>
      <c r="U12" s="191"/>
      <c r="V12" s="191"/>
      <c r="W12" s="191"/>
      <c r="X12" s="193"/>
      <c r="Y12" s="227"/>
      <c r="Z12" s="227"/>
      <c r="AA12" s="227"/>
      <c r="AB12" s="193"/>
      <c r="AC12" s="227"/>
      <c r="AD12" s="227"/>
      <c r="AE12" s="227"/>
      <c r="AF12" s="193"/>
      <c r="AG12" s="193"/>
      <c r="AH12" s="191"/>
    </row>
    <row r="13">
      <c r="A13" s="224" t="s">
        <v>2565</v>
      </c>
      <c r="B13" s="225" t="str">
        <f>IFERROR(__xludf.DUMMYFUNCTION("GOOGLETRANSLATE(A13,""pt"",""en"")"),"Electric food dehydrator")</f>
        <v>Electric food dehydrator</v>
      </c>
      <c r="C13" s="226" t="str">
        <f>IFERROR(__xludf.DUMMYFUNCTION("GOOGLETRANSLATE(A13,""pt"",""zh-cn"")"),"电动食物脱水机")</f>
        <v>电动食物脱水机</v>
      </c>
      <c r="D13" s="193"/>
      <c r="E13" s="211" t="s">
        <v>2566</v>
      </c>
      <c r="F13" s="210" t="str">
        <f>IFERROR(__xludf.DUMMYFUNCTION("GOOGLETRANSLATE(E13,""pt"",""en"")"),"Pencil cases featuring children's motifs or characters;")</f>
        <v>Pencil cases featuring children's motifs or characters;</v>
      </c>
      <c r="G13" s="211" t="str">
        <f>IFERROR(__xludf.DUMMYFUNCTION("GOOGLETRANSLATE(E13,""pt"",""zh-cn"")"),"印有儿童图案或人物的铅笔盒；")</f>
        <v>印有儿童图案或人物的铅笔盒；</v>
      </c>
      <c r="H13" s="193"/>
      <c r="I13" s="214" t="s">
        <v>2567</v>
      </c>
      <c r="J13" s="213" t="str">
        <f>IFERROR(__xludf.DUMMYFUNCTION("GOOGLETRANSLATE(I13,""pt"",""en"")"),"Toy bags (Bags for children similar to doll bags, with a playful design that goes beyond their primary use).")</f>
        <v>Toy bags (Bags for children similar to doll bags, with a playful design that goes beyond their primary use).</v>
      </c>
      <c r="K13" s="214" t="str">
        <f>IFERROR(__xludf.DUMMYFUNCTION("GOOGLETRANSLATE(I13,""pt"",""zh-cn"")"),"玩具包（类似于娃娃包的儿童包，设计活泼，用途广泛）。")</f>
        <v>玩具包（类似于娃娃包的儿童包，设计活泼，用途广泛）。</v>
      </c>
      <c r="L13" s="193"/>
      <c r="M13" s="191"/>
      <c r="N13" s="191"/>
      <c r="O13" s="191"/>
      <c r="P13" s="191"/>
      <c r="Q13" s="227"/>
      <c r="R13" s="227"/>
      <c r="S13" s="227"/>
      <c r="T13" s="191"/>
      <c r="U13" s="191"/>
      <c r="V13" s="191"/>
      <c r="W13" s="191"/>
      <c r="X13" s="193"/>
      <c r="Y13" s="227"/>
      <c r="Z13" s="227"/>
      <c r="AA13" s="227"/>
      <c r="AB13" s="193"/>
      <c r="AC13" s="227"/>
      <c r="AD13" s="227"/>
      <c r="AE13" s="227"/>
      <c r="AF13" s="193"/>
      <c r="AG13" s="193"/>
      <c r="AH13" s="191"/>
    </row>
    <row r="14">
      <c r="A14" s="224" t="s">
        <v>2568</v>
      </c>
      <c r="B14" s="225" t="str">
        <f>IFERROR(__xludf.DUMMYFUNCTION("GOOGLETRANSLATE(A14,""pt"",""en"")"),"Electric fruit juicer")</f>
        <v>Electric fruit juicer</v>
      </c>
      <c r="C14" s="226" t="str">
        <f>IFERROR(__xludf.DUMMYFUNCTION("GOOGLETRANSLATE(A14,""pt"",""zh-cn"")"),"电动榨汁机")</f>
        <v>电动榨汁机</v>
      </c>
      <c r="D14" s="193"/>
      <c r="E14" s="211" t="s">
        <v>2569</v>
      </c>
      <c r="F14" s="210" t="str">
        <f>IFERROR(__xludf.DUMMYFUNCTION("GOOGLETRANSLATE(E14,""pt"",""en"")"),"Crayons, except blackboard chalk;")</f>
        <v>Crayons, except blackboard chalk;</v>
      </c>
      <c r="G14" s="211" t="str">
        <f>IFERROR(__xludf.DUMMYFUNCTION("GOOGLETRANSLATE(E14,""pt"",""zh-cn"")"),"蜡笔，但黑板粉笔除外；")</f>
        <v>蜡笔，但黑板粉笔除外；</v>
      </c>
      <c r="H14" s="193"/>
      <c r="I14" s="214" t="s">
        <v>2570</v>
      </c>
      <c r="J14" s="213" t="str">
        <f>IFERROR(__xludf.DUMMYFUNCTION("GOOGLETRANSLATE(I14,""pt"",""en"")"),"Baby dolls (Dolls imitating babies, which can be bathed, without hair and with movable or painted eyes).")</f>
        <v>Baby dolls (Dolls imitating babies, which can be bathed, without hair and with movable or painted eyes).</v>
      </c>
      <c r="K14" s="214" t="str">
        <f>IFERROR(__xludf.DUMMYFUNCTION("GOOGLETRANSLATE(I14,""pt"",""zh-cn"")"),"婴儿娃娃（模仿婴儿的娃娃，可以洗澡，没有头发，眼睛可以活动或涂漆）。")</f>
        <v>婴儿娃娃（模仿婴儿的娃娃，可以洗澡，没有头发，眼睛可以活动或涂漆）。</v>
      </c>
      <c r="L14" s="193"/>
      <c r="M14" s="191"/>
      <c r="N14" s="191"/>
      <c r="O14" s="191"/>
      <c r="P14" s="191"/>
      <c r="Q14" s="227"/>
      <c r="R14" s="227"/>
      <c r="S14" s="227"/>
      <c r="T14" s="191"/>
      <c r="U14" s="191"/>
      <c r="V14" s="191"/>
      <c r="W14" s="191"/>
      <c r="X14" s="193"/>
      <c r="Y14" s="227"/>
      <c r="Z14" s="227"/>
      <c r="AA14" s="227"/>
      <c r="AB14" s="193"/>
      <c r="AC14" s="227"/>
      <c r="AD14" s="227"/>
      <c r="AE14" s="227"/>
      <c r="AF14" s="193"/>
      <c r="AG14" s="193"/>
      <c r="AH14" s="191"/>
    </row>
    <row r="15">
      <c r="A15" s="224" t="s">
        <v>2571</v>
      </c>
      <c r="B15" s="225" t="str">
        <f>IFERROR(__xludf.DUMMYFUNCTION("GOOGLETRANSLATE(A15,""pt"",""en"")"),"Electric kitchen utensil sterilizer")</f>
        <v>Electric kitchen utensil sterilizer</v>
      </c>
      <c r="C15" s="226" t="str">
        <f>IFERROR(__xludf.DUMMYFUNCTION("GOOGLETRANSLATE(A15,""pt"",""zh-cn"")"),"电动厨房用具消毒器")</f>
        <v>电动厨房用具消毒器</v>
      </c>
      <c r="D15" s="193"/>
      <c r="E15" s="211" t="s">
        <v>2572</v>
      </c>
      <c r="F15" s="210" t="str">
        <f>IFERROR(__xludf.DUMMYFUNCTION("GOOGLETRANSLATE(E15,""pt"",""en"")"),"Pencils (black or colored), except those clearly defined by the manufacturer on the display packaging as being for artistic or professional use;")</f>
        <v>Pencils (black or colored), except those clearly defined by the manufacturer on the display packaging as being for artistic or professional use;</v>
      </c>
      <c r="G15" s="211" t="str">
        <f>IFERROR(__xludf.DUMMYFUNCTION("GOOGLETRANSLATE(E15,""pt"",""zh-cn"")"),"铅笔（黑色或彩色），但制造商在展示包装上明确标明为艺术或专业用途的铅笔除外；")</f>
        <v>铅笔（黑色或彩色），但制造商在展示包装上明确标明为艺术或专业用途的铅笔除外；</v>
      </c>
      <c r="H15" s="193"/>
      <c r="I15" s="214" t="s">
        <v>2573</v>
      </c>
      <c r="J15" s="213" t="str">
        <f>IFERROR(__xludf.DUMMYFUNCTION("GOOGLETRANSLATE(I15,""pt"",""en"")"),"Dolls and animals with a back-and-forth movement (Puppet-type dolls and animals, made of rigid plastic or inflatable material).")</f>
        <v>Dolls and animals with a back-and-forth movement (Puppet-type dolls and animals, made of rigid plastic or inflatable material).</v>
      </c>
      <c r="K15" s="214" t="str">
        <f>IFERROR(__xludf.DUMMYFUNCTION("GOOGLETRANSLATE(I15,""pt"",""zh-cn"")"),"会前后摆动的玩偶和动物（木偶式玩偶和动物，由硬质塑料或充气材料制成）。")</f>
        <v>会前后摆动的玩偶和动物（木偶式玩偶和动物，由硬质塑料或充气材料制成）。</v>
      </c>
      <c r="L15" s="193"/>
      <c r="M15" s="191"/>
      <c r="N15" s="191"/>
      <c r="O15" s="191"/>
      <c r="P15" s="191"/>
      <c r="Q15" s="227"/>
      <c r="R15" s="227"/>
      <c r="S15" s="227"/>
      <c r="T15" s="191"/>
      <c r="U15" s="191"/>
      <c r="V15" s="191"/>
      <c r="W15" s="191"/>
      <c r="X15" s="193"/>
      <c r="Y15" s="227"/>
      <c r="Z15" s="227"/>
      <c r="AA15" s="227"/>
      <c r="AB15" s="193"/>
      <c r="AC15" s="227"/>
      <c r="AD15" s="227"/>
      <c r="AE15" s="227"/>
      <c r="AF15" s="193"/>
      <c r="AG15" s="193"/>
      <c r="AH15" s="191"/>
    </row>
    <row r="16">
      <c r="A16" s="224" t="s">
        <v>2574</v>
      </c>
      <c r="B16" s="225" t="str">
        <f>IFERROR(__xludf.DUMMYFUNCTION("GOOGLETRANSLATE(A16,""pt"",""en"")"),"Electric knife")</f>
        <v>Electric knife</v>
      </c>
      <c r="C16" s="226" t="str">
        <f>IFERROR(__xludf.DUMMYFUNCTION("GOOGLETRANSLATE(A16,""pt"",""zh-cn"")"),"电动刀")</f>
        <v>电动刀</v>
      </c>
      <c r="D16" s="193"/>
      <c r="E16" s="211" t="s">
        <v>2575</v>
      </c>
      <c r="F16" s="210" t="str">
        <f>IFERROR(__xludf.DUMMYFUNCTION("GOOGLETRANSLATE(E16,""pt"",""en"")"),"Mechanical pencils, except those with graphite with a diameter greater than 1.6 mm;")</f>
        <v>Mechanical pencils, except those with graphite with a diameter greater than 1.6 mm;</v>
      </c>
      <c r="G16" s="211" t="str">
        <f>IFERROR(__xludf.DUMMYFUNCTION("GOOGLETRANSLATE(E16,""pt"",""zh-cn"")"),"自动铅笔，但笔芯直径大于 1.6 毫米的石墨铅笔除外；")</f>
        <v>自动铅笔，但笔芯直径大于 1.6 毫米的石墨铅笔除外；</v>
      </c>
      <c r="H16" s="193"/>
      <c r="I16" s="214" t="s">
        <v>2576</v>
      </c>
      <c r="J16" s="213" t="str">
        <f>IFERROR(__xludf.DUMMYFUNCTION("GOOGLETRANSLATE(I16,""pt"",""en"")"),"Dolls and stuffed animals for toddlers (Dolls made of fabric with attached clothes and animals made of fabric (not plush)).")</f>
        <v>Dolls and stuffed animals for toddlers (Dolls made of fabric with attached clothes and animals made of fabric (not plush)).</v>
      </c>
      <c r="K16" s="214" t="str">
        <f>IFERROR(__xludf.DUMMYFUNCTION("GOOGLETRANSLATE(I16,""pt"",""zh-cn"")"),"幼儿玩偶和毛绒玩具（布艺玩偶，配有衣服；布艺动物（非毛绒玩具））。")</f>
        <v>幼儿玩偶和毛绒玩具（布艺玩偶，配有衣服；布艺动物（非毛绒玩具））。</v>
      </c>
      <c r="L16" s="193"/>
      <c r="M16" s="191"/>
      <c r="N16" s="191"/>
      <c r="O16" s="191"/>
      <c r="P16" s="191"/>
      <c r="Q16" s="227"/>
      <c r="R16" s="227"/>
      <c r="S16" s="227"/>
      <c r="T16" s="191"/>
      <c r="U16" s="191"/>
      <c r="V16" s="191"/>
      <c r="W16" s="191"/>
      <c r="X16" s="193"/>
      <c r="Y16" s="227"/>
      <c r="Z16" s="227"/>
      <c r="AA16" s="227"/>
      <c r="AB16" s="193"/>
      <c r="AC16" s="227"/>
      <c r="AD16" s="227"/>
      <c r="AE16" s="227"/>
      <c r="AF16" s="193"/>
      <c r="AG16" s="193"/>
      <c r="AH16" s="191"/>
    </row>
    <row r="17">
      <c r="A17" s="224" t="s">
        <v>2577</v>
      </c>
      <c r="B17" s="225" t="str">
        <f>IFERROR(__xludf.DUMMYFUNCTION("GOOGLETRANSLATE(A17,""pt"",""en"")"),"Electric slicer")</f>
        <v>Electric slicer</v>
      </c>
      <c r="C17" s="226" t="str">
        <f>IFERROR(__xludf.DUMMYFUNCTION("GOOGLETRANSLATE(A17,""pt"",""zh-cn"")"),"电动切片机")</f>
        <v>电动切片机</v>
      </c>
      <c r="D17" s="193"/>
      <c r="E17" s="211" t="s">
        <v>2578</v>
      </c>
      <c r="F17" s="210" t="str">
        <f>IFERROR(__xludf.DUMMYFUNCTION("GOOGLETRANSLATE(E17,""pt"",""en"")"),"Text markers;")</f>
        <v>Text markers;</v>
      </c>
      <c r="G17" s="211" t="str">
        <f>IFERROR(__xludf.DUMMYFUNCTION("GOOGLETRANSLATE(E17,""pt"",""zh-cn"")"),"文本标记；")</f>
        <v>文本标记；</v>
      </c>
      <c r="H17" s="193"/>
      <c r="I17" s="214" t="s">
        <v>2579</v>
      </c>
      <c r="J17" s="213" t="str">
        <f>IFERROR(__xludf.DUMMYFUNCTION("GOOGLETRANSLATE(I17,""pt"",""en"")"),"Lightweight, clothed dolls (Plastic or fabric dolls with fixed eyes and hair made of the plastic itself or wool).")</f>
        <v>Lightweight, clothed dolls (Plastic or fabric dolls with fixed eyes and hair made of the plastic itself or wool).</v>
      </c>
      <c r="K17" s="214" t="str">
        <f>IFERROR(__xludf.DUMMYFUNCTION("GOOGLETRANSLATE(I17,""pt"",""zh-cn"")"),"轻便的、穿衣服的娃娃（塑料或布娃娃，眼睛固定，头发由塑料或羊毛制成）。")</f>
        <v>轻便的、穿衣服的娃娃（塑料或布娃娃，眼睛固定，头发由塑料或羊毛制成）。</v>
      </c>
      <c r="L17" s="193"/>
      <c r="M17" s="191"/>
      <c r="N17" s="191"/>
      <c r="O17" s="191"/>
      <c r="P17" s="191"/>
      <c r="Q17" s="227"/>
      <c r="R17" s="227"/>
      <c r="S17" s="227"/>
      <c r="T17" s="191"/>
      <c r="U17" s="191"/>
      <c r="V17" s="191"/>
      <c r="W17" s="191"/>
      <c r="X17" s="193"/>
      <c r="Y17" s="227"/>
      <c r="Z17" s="227"/>
      <c r="AA17" s="227"/>
      <c r="AB17" s="193"/>
      <c r="AC17" s="227"/>
      <c r="AD17" s="227"/>
      <c r="AE17" s="227"/>
      <c r="AF17" s="193"/>
      <c r="AG17" s="193"/>
      <c r="AH17" s="191"/>
    </row>
    <row r="18">
      <c r="A18" s="224" t="s">
        <v>2580</v>
      </c>
      <c r="B18" s="225" t="str">
        <f>IFERROR(__xludf.DUMMYFUNCTION("GOOGLETRANSLATE(A18,""pt"",""en"")"),"Electric fryer / Electric frying pan")</f>
        <v>Electric fryer / Electric frying pan</v>
      </c>
      <c r="C18" s="226" t="str">
        <f>IFERROR(__xludf.DUMMYFUNCTION("GOOGLETRANSLATE(A18,""pt"",""zh-cn"")"),"电炸锅/电煎锅")</f>
        <v>电炸锅/电煎锅</v>
      </c>
      <c r="D18" s="193"/>
      <c r="E18" s="211" t="s">
        <v>2581</v>
      </c>
      <c r="F18" s="210" t="str">
        <f>IFERROR(__xludf.DUMMYFUNCTION("GOOGLETRANSLATE(E18,""pt"",""en"")"),"Modeling clay, except for those associated with toys or clearly defined by the manufacturer on the product packaging as being for artistic or professional use;")</f>
        <v>Modeling clay, except for those associated with toys or clearly defined by the manufacturer on the product packaging as being for artistic or professional use;</v>
      </c>
      <c r="G18" s="211" t="str">
        <f>IFERROR(__xludf.DUMMYFUNCTION("GOOGLETRANSLATE(E18,""pt"",""zh-cn"")"),"除玩具用黏土或制造商在产品包装上明确标明为艺术或专业用途的黏土外，其他任何形式的橡皮泥均不得用于艺术或专业用途。")</f>
        <v>除玩具用黏土或制造商在产品包装上明确标明为艺术或专业用途的黏土外，其他任何形式的橡皮泥均不得用于艺术或专业用途。</v>
      </c>
      <c r="H18" s="193"/>
      <c r="I18" s="214" t="s">
        <v>2582</v>
      </c>
      <c r="J18" s="213" t="str">
        <f>IFERROR(__xludf.DUMMYFUNCTION("GOOGLETRANSLATE(I18,""pt"",""en"")"),"Interactive video game figurines (A figurine that has a chip and is recognized when placed on the video game console, allowing the physical character to gain a virtual version in the game. The product can also be used without being associated with the vid"&amp;"eo game.)")</f>
        <v>Interactive video game figurines (A figurine that has a chip and is recognized when placed on the video game console, allowing the physical character to gain a virtual version in the game. The product can also be used without being associated with the video game.)</v>
      </c>
      <c r="K18" s="214" t="str">
        <f>IFERROR(__xludf.DUMMYFUNCTION("GOOGLETRANSLATE(I18,""pt"",""zh-cn"")"),"互动式电子游戏人偶（一种内置芯片的人偶，放置在电子游戏主机上即可被识别，从而使实体角色在游戏中获得虚拟版本。该产品也可单独使用，无需与电子游戏关联。）")</f>
        <v>互动式电子游戏人偶（一种内置芯片的人偶，放置在电子游戏主机上即可被识别，从而使实体角色在游戏中获得虚拟版本。该产品也可单独使用，无需与电子游戏关联。）</v>
      </c>
      <c r="L18" s="193"/>
      <c r="M18" s="191"/>
      <c r="N18" s="191"/>
      <c r="O18" s="191"/>
      <c r="P18" s="191"/>
      <c r="Q18" s="227"/>
      <c r="R18" s="227"/>
      <c r="S18" s="227"/>
      <c r="T18" s="191"/>
      <c r="U18" s="191"/>
      <c r="V18" s="191"/>
      <c r="W18" s="191"/>
      <c r="X18" s="193"/>
      <c r="Y18" s="227"/>
      <c r="Z18" s="227"/>
      <c r="AA18" s="227"/>
      <c r="AB18" s="193"/>
      <c r="AC18" s="227"/>
      <c r="AD18" s="227"/>
      <c r="AE18" s="227"/>
      <c r="AF18" s="193"/>
      <c r="AG18" s="193"/>
      <c r="AH18" s="191"/>
    </row>
    <row r="19">
      <c r="A19" s="224" t="s">
        <v>2583</v>
      </c>
      <c r="B19" s="225" t="str">
        <f>IFERROR(__xludf.DUMMYFUNCTION("GOOGLETRANSLATE(A19,""pt"",""en"")"),"Electric grill / Electric griddle")</f>
        <v>Electric grill / Electric griddle</v>
      </c>
      <c r="C19" s="226" t="str">
        <f>IFERROR(__xludf.DUMMYFUNCTION("GOOGLETRANSLATE(A19,""pt"",""zh-cn"")"),"电烤架/电煎锅")</f>
        <v>电烤架/电煎锅</v>
      </c>
      <c r="D19" s="193"/>
      <c r="E19" s="211" t="s">
        <v>2584</v>
      </c>
      <c r="F19" s="210" t="str">
        <f>IFERROR(__xludf.DUMMYFUNCTION("GOOGLETRANSLATE(E19,""pt"",""en"")"),"Plastic putties, except for modeling clays or those clearly defined by the manufacturer on the product packaging as being for artistic or professional use;")</f>
        <v>Plastic putties, except for modeling clays or those clearly defined by the manufacturer on the product packaging as being for artistic or professional use;</v>
      </c>
      <c r="G19" s="211" t="str">
        <f>IFERROR(__xludf.DUMMYFUNCTION("GOOGLETRANSLATE(E19,""pt"",""zh-cn"")"),"塑料腻子，但模型粘土或制造商在产品包装上明确定义为艺术或专业用途的腻子除外；")</f>
        <v>塑料腻子，但模型粘土或制造商在产品包装上明确定义为艺术或专业用途的腻子除外；</v>
      </c>
      <c r="H19" s="193"/>
      <c r="I19" s="214" t="s">
        <v>2585</v>
      </c>
      <c r="J19" s="213" t="str">
        <f>IFERROR(__xludf.DUMMYFUNCTION("GOOGLETRANSLATE(I19,""pt"",""en"")"),"Animated toys that roll (Animals or vehicles without cords or cables, with sounds and/or colored lights).")</f>
        <v>Animated toys that roll (Animals or vehicles without cords or cables, with sounds and/or colored lights).</v>
      </c>
      <c r="K19" s="214" t="str">
        <f>IFERROR(__xludf.DUMMYFUNCTION("GOOGLETRANSLATE(I19,""pt"",""zh-cn"")"),"可滚动的动画玩具（无电线或电缆的动物或车辆，带有声音和/或彩色灯光）。")</f>
        <v>可滚动的动画玩具（无电线或电缆的动物或车辆，带有声音和/或彩色灯光）。</v>
      </c>
      <c r="L19" s="193"/>
      <c r="M19" s="191"/>
      <c r="N19" s="191"/>
      <c r="O19" s="191"/>
      <c r="P19" s="191"/>
      <c r="Q19" s="227"/>
      <c r="R19" s="227"/>
      <c r="S19" s="227"/>
      <c r="T19" s="191"/>
      <c r="U19" s="191"/>
      <c r="V19" s="191"/>
      <c r="W19" s="191"/>
      <c r="X19" s="193"/>
      <c r="Y19" s="227"/>
      <c r="Z19" s="227"/>
      <c r="AA19" s="227"/>
      <c r="AB19" s="193"/>
      <c r="AC19" s="227"/>
      <c r="AD19" s="227"/>
      <c r="AE19" s="227"/>
      <c r="AF19" s="193"/>
      <c r="AG19" s="193"/>
      <c r="AH19" s="191"/>
    </row>
    <row r="20">
      <c r="A20" s="224" t="s">
        <v>2586</v>
      </c>
      <c r="B20" s="225" t="str">
        <f>IFERROR(__xludf.DUMMYFUNCTION("GOOGLETRANSLATE(A20,""pt"",""en"")"),"Electric yogurt maker")</f>
        <v>Electric yogurt maker</v>
      </c>
      <c r="C20" s="226" t="str">
        <f>IFERROR(__xludf.DUMMYFUNCTION("GOOGLETRANSLATE(A20,""pt"",""zh-cn"")"),"电动酸奶机")</f>
        <v>电动酸奶机</v>
      </c>
      <c r="D20" s="193"/>
      <c r="E20" s="211" t="s">
        <v>2587</v>
      </c>
      <c r="F20" s="210" t="str">
        <f>IFERROR(__xludf.DUMMYFUNCTION("GOOGLETRANSLATE(E20,""pt"",""en"")"),"Lunchboxes and their accessories (sandwich containers, thermos bottles, among others, provided they are sold together with the lunchbox);")</f>
        <v>Lunchboxes and their accessories (sandwich containers, thermos bottles, among others, provided they are sold together with the lunchbox);</v>
      </c>
      <c r="G20" s="211" t="str">
        <f>IFERROR(__xludf.DUMMYFUNCTION("GOOGLETRANSLATE(E20,""pt"",""zh-cn"")"),"午餐盒及其配件（三明治盒、保温瓶等，前提是与午餐盒一起出售）；")</f>
        <v>午餐盒及其配件（三明治盒、保温瓶等，前提是与午餐盒一起出售）；</v>
      </c>
      <c r="H20" s="193"/>
      <c r="I20" s="214" t="s">
        <v>2588</v>
      </c>
      <c r="J20" s="213" t="str">
        <f>IFERROR(__xludf.DUMMYFUNCTION("GOOGLETRANSLATE(I20,""pt"",""en"")"),"Water toy (Toys made for children to play with in the water).")</f>
        <v>Water toy (Toys made for children to play with in the water).</v>
      </c>
      <c r="K20" s="214" t="str">
        <f>IFERROR(__xludf.DUMMYFUNCTION("GOOGLETRANSLATE(I20,""pt"",""zh-cn"")"),"水上玩具（专为儿童在水中玩耍而设计的玩具）。")</f>
        <v>水上玩具（专为儿童在水中玩耍而设计的玩具）。</v>
      </c>
      <c r="L20" s="193"/>
      <c r="M20" s="191"/>
      <c r="N20" s="191"/>
      <c r="O20" s="191"/>
      <c r="P20" s="191"/>
      <c r="Q20" s="227"/>
      <c r="R20" s="227"/>
      <c r="S20" s="227"/>
      <c r="T20" s="191"/>
      <c r="U20" s="191"/>
      <c r="V20" s="191"/>
      <c r="W20" s="191"/>
      <c r="X20" s="193"/>
      <c r="Y20" s="227"/>
      <c r="Z20" s="227"/>
      <c r="AA20" s="227"/>
      <c r="AB20" s="193"/>
      <c r="AC20" s="227"/>
      <c r="AD20" s="227"/>
      <c r="AE20" s="227"/>
      <c r="AF20" s="193"/>
      <c r="AG20" s="193"/>
      <c r="AH20" s="191"/>
    </row>
    <row r="21">
      <c r="A21" s="224" t="s">
        <v>2589</v>
      </c>
      <c r="B21" s="225" t="str">
        <f>IFERROR(__xludf.DUMMYFUNCTION("GOOGLETRANSLATE(A21,""pt"",""en"")"),"Blender")</f>
        <v>Blender</v>
      </c>
      <c r="C21" s="226" t="str">
        <f>IFERROR(__xludf.DUMMYFUNCTION("GOOGLETRANSLATE(A21,""pt"",""zh-cn"")"),"混合器")</f>
        <v>混合器</v>
      </c>
      <c r="D21" s="193"/>
      <c r="E21" s="211" t="s">
        <v>2590</v>
      </c>
      <c r="F21" s="210" t="str">
        <f>IFERROR(__xludf.DUMMYFUNCTION("GOOGLETRANSLATE(E21,""pt"",""en"")"),"Folders with elastic closures, made of plastic or cardboard;")</f>
        <v>Folders with elastic closures, made of plastic or cardboard;</v>
      </c>
      <c r="G21" s="211" t="str">
        <f>IFERROR(__xludf.DUMMYFUNCTION("GOOGLETRANSLATE(E21,""pt"",""zh-cn"")"),"塑料或纸板材质的带松紧带封口的文件夹；")</f>
        <v>塑料或纸板材质的带松紧带封口的文件夹；</v>
      </c>
      <c r="H21" s="193"/>
      <c r="I21" s="214" t="s">
        <v>2591</v>
      </c>
      <c r="J21" s="213" t="str">
        <f>IFERROR(__xludf.DUMMYFUNCTION("GOOGLETRANSLATE(I21,""pt"",""en"")"),"Toy bicycle (Two-wheeled vehicle, with or without pedals, with or without stabilizers, propelled solely by the child's muscular energy, and with a maximum saddle height of 435 mm.)")</f>
        <v>Toy bicycle (Two-wheeled vehicle, with or without pedals, with or without stabilizers, propelled solely by the child's muscular energy, and with a maximum saddle height of 435 mm.)</v>
      </c>
      <c r="K21" s="214" t="str">
        <f>IFERROR(__xludf.DUMMYFUNCTION("GOOGLETRANSLATE(I21,""pt"",""zh-cn"")"),"玩具自行车（两轮车，可带或不带脚踏板，可带或不带辅助轮，完全由儿童肌肉力量驱动，最大鞍座高度为 435 毫米。）")</f>
        <v>玩具自行车（两轮车，可带或不带脚踏板，可带或不带辅助轮，完全由儿童肌肉力量驱动，最大鞍座高度为 435 毫米。）</v>
      </c>
      <c r="L21" s="193"/>
      <c r="M21" s="191"/>
      <c r="N21" s="191"/>
      <c r="O21" s="191"/>
      <c r="P21" s="191"/>
      <c r="Q21" s="227"/>
      <c r="R21" s="227"/>
      <c r="S21" s="227"/>
      <c r="T21" s="191"/>
      <c r="U21" s="191"/>
      <c r="V21" s="191"/>
      <c r="W21" s="191"/>
      <c r="X21" s="193"/>
      <c r="Y21" s="227"/>
      <c r="Z21" s="227"/>
      <c r="AA21" s="227"/>
      <c r="AB21" s="193"/>
      <c r="AC21" s="227"/>
      <c r="AD21" s="227"/>
      <c r="AE21" s="227"/>
      <c r="AF21" s="193"/>
      <c r="AG21" s="193"/>
      <c r="AH21" s="191"/>
    </row>
    <row r="22">
      <c r="A22" s="224" t="s">
        <v>2592</v>
      </c>
      <c r="B22" s="225" t="str">
        <f>IFERROR(__xludf.DUMMYFUNCTION("GOOGLETRANSLATE(A22,""pt"",""en"")"),"Electric ice maker")</f>
        <v>Electric ice maker</v>
      </c>
      <c r="C22" s="226" t="str">
        <f>IFERROR(__xludf.DUMMYFUNCTION("GOOGLETRANSLATE(A22,""pt"",""zh-cn"")"),"电动制冰机")</f>
        <v>电动制冰机</v>
      </c>
      <c r="D22" s="193"/>
      <c r="E22" s="211" t="s">
        <v>2593</v>
      </c>
      <c r="F22" s="210" t="str">
        <f>IFERROR(__xludf.DUMMYFUNCTION("GOOGLETRANSLATE(E22,""pt"",""en"")"),"Rulers;")</f>
        <v>Rulers;</v>
      </c>
      <c r="G22" s="211" t="str">
        <f>IFERROR(__xludf.DUMMYFUNCTION("GOOGLETRANSLATE(E22,""pt"",""zh-cn"")"),"统治者；")</f>
        <v>统治者；</v>
      </c>
      <c r="H22" s="193"/>
      <c r="I22" s="214" t="s">
        <v>2594</v>
      </c>
      <c r="J22" s="213" t="str">
        <f>IFERROR(__xludf.DUMMYFUNCTION("GOOGLETRANSLATE(I22,""pt"",""en"")"),"Floating toys (Inflatable or non-inflatable items designed to support the weight of a child, such as: arm floats, with or without a playful design; waist floats with an internal diameter of less than 0.80 m; floats for the child to sit on).")</f>
        <v>Floating toys (Inflatable or non-inflatable items designed to support the weight of a child, such as: arm floats, with or without a playful design; waist floats with an internal diameter of less than 0.80 m; floats for the child to sit on).</v>
      </c>
      <c r="K22" s="214" t="str">
        <f>IFERROR(__xludf.DUMMYFUNCTION("GOOGLETRANSLATE(I22,""pt"",""zh-cn"")"),"漂浮玩具（充气或非充气物品，旨在支撑儿童的重量，例如：手臂浮圈，无论是否带有趣味设计；内径小于 0.80 米的腰部浮圈；供儿童坐的浮圈）。")</f>
        <v>漂浮玩具（充气或非充气物品，旨在支撑儿童的重量，例如：手臂浮圈，无论是否带有趣味设计；内径小于 0.80 米的腰部浮圈；供儿童坐的浮圈）。</v>
      </c>
      <c r="L22" s="193"/>
      <c r="M22" s="191"/>
      <c r="N22" s="191"/>
      <c r="O22" s="191"/>
      <c r="P22" s="191"/>
      <c r="Q22" s="227"/>
      <c r="R22" s="227"/>
      <c r="S22" s="227"/>
      <c r="T22" s="191"/>
      <c r="U22" s="191"/>
      <c r="V22" s="191"/>
      <c r="W22" s="191"/>
      <c r="X22" s="193"/>
      <c r="Y22" s="227"/>
      <c r="Z22" s="227"/>
      <c r="AA22" s="227"/>
      <c r="AB22" s="193"/>
      <c r="AC22" s="227"/>
      <c r="AD22" s="227"/>
      <c r="AE22" s="227"/>
      <c r="AF22" s="193"/>
      <c r="AG22" s="193"/>
      <c r="AH22" s="191"/>
    </row>
    <row r="23">
      <c r="A23" s="224" t="s">
        <v>2595</v>
      </c>
      <c r="B23" s="225" t="str">
        <f>IFERROR(__xludf.DUMMYFUNCTION("GOOGLETRANSLATE(A23,""pt"",""en"")"),"Electric bread machine")</f>
        <v>Electric bread machine</v>
      </c>
      <c r="C23" s="226" t="str">
        <f>IFERROR(__xludf.DUMMYFUNCTION("GOOGLETRANSLATE(A23,""pt"",""zh-cn"")"),"电动面包机")</f>
        <v>电动面包机</v>
      </c>
      <c r="D23" s="193"/>
      <c r="E23" s="211" t="s">
        <v>2596</v>
      </c>
      <c r="F23" s="210" t="str">
        <f>IFERROR(__xludf.DUMMYFUNCTION("GOOGLETRANSLATE(E23,""pt"",""en"")"),"Round-tipped scissors;")</f>
        <v>Round-tipped scissors;</v>
      </c>
      <c r="G23" s="211" t="str">
        <f>IFERROR(__xludf.DUMMYFUNCTION("GOOGLETRANSLATE(E23,""pt"",""zh-cn"")"),"圆头剪刀；")</f>
        <v>圆头剪刀；</v>
      </c>
      <c r="H23" s="193"/>
      <c r="I23" s="214" t="s">
        <v>2597</v>
      </c>
      <c r="J23" s="213" t="str">
        <f>IFERROR(__xludf.DUMMYFUNCTION("GOOGLETRANSLATE(I23,""pt"",""en"")"),"Plush or fabric toys (Toys made of plush or fabric, regardless of size).")</f>
        <v>Plush or fabric toys (Toys made of plush or fabric, regardless of size).</v>
      </c>
      <c r="K23" s="214" t="str">
        <f>IFERROR(__xludf.DUMMYFUNCTION("GOOGLETRANSLATE(I23,""pt"",""zh-cn"")"),"毛绒或布艺玩具（无论大小，由毛绒或布艺制成的玩具）。")</f>
        <v>毛绒或布艺玩具（无论大小，由毛绒或布艺制成的玩具）。</v>
      </c>
      <c r="L23" s="193"/>
      <c r="M23" s="191"/>
      <c r="N23" s="191"/>
      <c r="O23" s="191"/>
      <c r="P23" s="191"/>
      <c r="Q23" s="227"/>
      <c r="R23" s="227"/>
      <c r="S23" s="227"/>
      <c r="T23" s="191"/>
      <c r="U23" s="191"/>
      <c r="V23" s="191"/>
      <c r="W23" s="191"/>
      <c r="X23" s="193"/>
      <c r="Y23" s="227"/>
      <c r="Z23" s="227"/>
      <c r="AA23" s="227"/>
      <c r="AB23" s="193"/>
      <c r="AC23" s="227"/>
      <c r="AD23" s="227"/>
      <c r="AE23" s="227"/>
      <c r="AF23" s="193"/>
      <c r="AG23" s="193"/>
      <c r="AH23" s="191"/>
    </row>
    <row r="24">
      <c r="A24" s="224" t="s">
        <v>2598</v>
      </c>
      <c r="B24" s="225" t="str">
        <f>IFERROR(__xludf.DUMMYFUNCTION("GOOGLETRANSLATE(A24,""pt"",""en"")"),"Electric lunchbox")</f>
        <v>Electric lunchbox</v>
      </c>
      <c r="C24" s="226" t="str">
        <f>IFERROR(__xludf.DUMMYFUNCTION("GOOGLETRANSLATE(A24,""pt"",""zh-cn"")"),"电饭盒")</f>
        <v>电饭盒</v>
      </c>
      <c r="D24" s="193"/>
      <c r="E24" s="211" t="s">
        <v>2599</v>
      </c>
      <c r="F24" s="210" t="str">
        <f>IFERROR(__xludf.DUMMYFUNCTION("GOOGLETRANSLATE(E24,""pt"",""en"")"),"Paints (gouache, India ink, acrylic paint, watercolor, finger paint), except those clearly defined by the manufacturer on the product packaging as being for artistic or professional use;")</f>
        <v>Paints (gouache, India ink, acrylic paint, watercolor, finger paint), except those clearly defined by the manufacturer on the product packaging as being for artistic or professional use;</v>
      </c>
      <c r="G24" s="211" t="str">
        <f>IFERROR(__xludf.DUMMYFUNCTION("GOOGLETRANSLATE(E24,""pt"",""zh-cn"")"),"颜料（水粉颜料、印度墨水颜料、丙烯颜料、水彩颜料、手指画颜料），但制造商在产品包装上明确定义为艺术或专业用途的颜料除外；")</f>
        <v>颜料（水粉颜料、印度墨水颜料、丙烯颜料、水彩颜料、手指画颜料），但制造商在产品包装上明确定义为艺术或专业用途的颜料除外；</v>
      </c>
      <c r="H24" s="193"/>
      <c r="I24" s="214" t="s">
        <v>2600</v>
      </c>
      <c r="J24" s="213" t="str">
        <f>IFERROR(__xludf.DUMMYFUNCTION("GOOGLETRANSLATE(I24,""pt"",""en"")"),"Mechanical animated toys (Plastic, metal, or plush toys with battery-operated movements).")</f>
        <v>Mechanical animated toys (Plastic, metal, or plush toys with battery-operated movements).</v>
      </c>
      <c r="K24" s="214" t="str">
        <f>IFERROR(__xludf.DUMMYFUNCTION("GOOGLETRANSLATE(I24,""pt"",""zh-cn"")"),"机械动画玩具（塑料、金属或毛绒玩具，带有电池驱动的动作）。")</f>
        <v>机械动画玩具（塑料、金属或毛绒玩具，带有电池驱动的动作）。</v>
      </c>
      <c r="L24" s="193"/>
      <c r="M24" s="191"/>
      <c r="N24" s="191"/>
      <c r="O24" s="191"/>
      <c r="P24" s="191"/>
      <c r="Q24" s="227"/>
      <c r="R24" s="227"/>
      <c r="S24" s="227"/>
      <c r="T24" s="191"/>
      <c r="U24" s="191"/>
      <c r="V24" s="191"/>
      <c r="W24" s="191"/>
      <c r="X24" s="193"/>
      <c r="Y24" s="227"/>
      <c r="Z24" s="227"/>
      <c r="AA24" s="227"/>
      <c r="AB24" s="193"/>
      <c r="AC24" s="227"/>
      <c r="AD24" s="227"/>
      <c r="AE24" s="227"/>
      <c r="AF24" s="193"/>
      <c r="AG24" s="193"/>
      <c r="AH24" s="191"/>
    </row>
    <row r="25">
      <c r="A25" s="224" t="s">
        <v>2601</v>
      </c>
      <c r="B25" s="225" t="str">
        <f>IFERROR(__xludf.DUMMYFUNCTION("GOOGLETRANSLATE(A25,""pt"",""en"")"),"Electric grain grinder")</f>
        <v>Electric grain grinder</v>
      </c>
      <c r="C25" s="226" t="str">
        <f>IFERROR(__xludf.DUMMYFUNCTION("GOOGLETRANSLATE(A25,""pt"",""zh-cn"")"),"电动谷物研磨机")</f>
        <v>电动谷物研磨机</v>
      </c>
      <c r="D25" s="193"/>
      <c r="E25" s="211" t="s">
        <v>2602</v>
      </c>
      <c r="F25" s="210" t="str">
        <f>IFERROR(__xludf.DUMMYFUNCTION("GOOGLETRANSLATE(E25,""pt"",""en"")"),"Rubber tip;")</f>
        <v>Rubber tip;</v>
      </c>
      <c r="G25" s="211" t="str">
        <f>IFERROR(__xludf.DUMMYFUNCTION("GOOGLETRANSLATE(E25,""pt"",""zh-cn"")"),"橡胶头；")</f>
        <v>橡胶头；</v>
      </c>
      <c r="H25" s="193"/>
      <c r="I25" s="214" t="s">
        <v>2603</v>
      </c>
      <c r="J25" s="213" t="str">
        <f>IFERROR(__xludf.DUMMYFUNCTION("GOOGLETRANSLATE(I25,""pt"",""en"")"),"Squeeze toy (A flexible toy incorporating a sound feature activated by air passing through an opening, designed to emit a sound when squeezed).")</f>
        <v>Squeeze toy (A flexible toy incorporating a sound feature activated by air passing through an opening, designed to emit a sound when squeezed).</v>
      </c>
      <c r="K25" s="214" t="str">
        <f>IFERROR(__xludf.DUMMYFUNCTION("GOOGLETRANSLATE(I25,""pt"",""zh-cn"")"),"挤压玩具（一种柔性玩具，内置发声功能，通过空气流过开口激活，挤压时会发出声音）。")</f>
        <v>挤压玩具（一种柔性玩具，内置发声功能，通过空气流过开口激活，挤压时会发出声音）。</v>
      </c>
      <c r="L25" s="193"/>
      <c r="M25" s="191"/>
      <c r="N25" s="191"/>
      <c r="O25" s="191"/>
      <c r="P25" s="191"/>
      <c r="Q25" s="227"/>
      <c r="R25" s="227"/>
      <c r="S25" s="227"/>
      <c r="T25" s="191"/>
      <c r="U25" s="191"/>
      <c r="V25" s="191"/>
      <c r="W25" s="191"/>
      <c r="X25" s="193"/>
      <c r="Y25" s="227"/>
      <c r="Z25" s="227"/>
      <c r="AA25" s="227"/>
      <c r="AB25" s="193"/>
      <c r="AC25" s="227"/>
      <c r="AD25" s="227"/>
      <c r="AE25" s="227"/>
      <c r="AF25" s="193"/>
      <c r="AG25" s="193"/>
      <c r="AH25" s="191"/>
    </row>
    <row r="26">
      <c r="A26" s="224" t="s">
        <v>2604</v>
      </c>
      <c r="B26" s="225" t="str">
        <f>IFERROR(__xludf.DUMMYFUNCTION("GOOGLETRANSLATE(A26,""pt"",""en"")"),"Electric cooker / Electric steamer / Electric pressure cooker")</f>
        <v>Electric cooker / Electric steamer / Electric pressure cooker</v>
      </c>
      <c r="C26" s="226" t="str">
        <f>IFERROR(__xludf.DUMMYFUNCTION("GOOGLETRANSLATE(A26,""pt"",""zh-cn"")"),"电饭煲/电蒸锅/电压力锅")</f>
        <v>电饭煲/电蒸锅/电压力锅</v>
      </c>
      <c r="D26" s="193"/>
      <c r="E26" s="211" t="s">
        <v>2605</v>
      </c>
      <c r="F26" s="210" t="str">
        <f>IFERROR(__xludf.DUMMYFUNCTION("GOOGLETRANSLATE(E26,""pt"",""en"")"),"Protractors.")</f>
        <v>Protractors.</v>
      </c>
      <c r="G26" s="211" t="str">
        <f>IFERROR(__xludf.DUMMYFUNCTION("GOOGLETRANSLATE(E26,""pt"",""zh-cn"")"),"量角器。")</f>
        <v>量角器。</v>
      </c>
      <c r="H26" s="193"/>
      <c r="I26" s="214" t="s">
        <v>2606</v>
      </c>
      <c r="J26" s="213" t="str">
        <f>IFERROR(__xludf.DUMMYFUNCTION("GOOGLETRANSLATE(I26,""pt"",""en"")"),"Rocking toys (chairs or rocking toys for the child to rock and simulate horseback riding).")</f>
        <v>Rocking toys (chairs or rocking toys for the child to rock and simulate horseback riding).</v>
      </c>
      <c r="K26" s="214" t="str">
        <f>IFERROR(__xludf.DUMMYFUNCTION("GOOGLETRANSLATE(I26,""pt"",""zh-cn"")"),"摇椅玩具（供儿童摇晃并模拟骑马的椅子或摇椅玩具）。")</f>
        <v>摇椅玩具（供儿童摇晃并模拟骑马的椅子或摇椅玩具）。</v>
      </c>
      <c r="L26" s="193"/>
      <c r="M26" s="191"/>
      <c r="N26" s="191"/>
      <c r="O26" s="191"/>
      <c r="P26" s="191"/>
      <c r="Q26" s="227"/>
      <c r="R26" s="227"/>
      <c r="S26" s="227"/>
      <c r="T26" s="191"/>
      <c r="U26" s="191"/>
      <c r="V26" s="191"/>
      <c r="W26" s="191"/>
      <c r="X26" s="193"/>
      <c r="Y26" s="227"/>
      <c r="Z26" s="227"/>
      <c r="AA26" s="227"/>
      <c r="AB26" s="193"/>
      <c r="AC26" s="227"/>
      <c r="AD26" s="227"/>
      <c r="AE26" s="227"/>
      <c r="AF26" s="193"/>
      <c r="AG26" s="193"/>
      <c r="AH26" s="191"/>
    </row>
    <row r="27">
      <c r="A27" s="224" t="s">
        <v>2607</v>
      </c>
      <c r="B27" s="225" t="str">
        <f>IFERROR(__xludf.DUMMYFUNCTION("GOOGLETRANSLATE(A27,""pt"",""en"")"),"Electric popcorn maker")</f>
        <v>Electric popcorn maker</v>
      </c>
      <c r="C27" s="226" t="str">
        <f>IFERROR(__xludf.DUMMYFUNCTION("GOOGLETRANSLATE(A27,""pt"",""zh-cn"")"),"电动爆米花机")</f>
        <v>电动爆米花机</v>
      </c>
      <c r="D27" s="193"/>
      <c r="E27" s="229"/>
      <c r="F27" s="229"/>
      <c r="G27" s="227"/>
      <c r="H27" s="193"/>
      <c r="I27" s="214" t="s">
        <v>2608</v>
      </c>
      <c r="J27" s="213" t="str">
        <f>IFERROR(__xludf.DUMMYFUNCTION("GOOGLETRANSLATE(I27,""pt"",""en"")"),"Construction toys with pieces (A set of pieces designed for the child to assemble a toy that is pre-defined on the packaging).")</f>
        <v>Construction toys with pieces (A set of pieces designed for the child to assemble a toy that is pre-defined on the packaging).</v>
      </c>
      <c r="K27" s="214" t="str">
        <f>IFERROR(__xludf.DUMMYFUNCTION("GOOGLETRANSLATE(I27,""pt"",""zh-cn"")"),"积木玩具（一套零件，供儿童组装成包装上预先定义的玩具）。")</f>
        <v>积木玩具（一套零件，供儿童组装成包装上预先定义的玩具）。</v>
      </c>
      <c r="L27" s="193"/>
      <c r="M27" s="191"/>
      <c r="N27" s="191"/>
      <c r="O27" s="191"/>
      <c r="P27" s="191"/>
      <c r="Q27" s="227"/>
      <c r="R27" s="227"/>
      <c r="S27" s="227"/>
      <c r="T27" s="191"/>
      <c r="U27" s="191"/>
      <c r="V27" s="191"/>
      <c r="W27" s="191"/>
      <c r="X27" s="193"/>
      <c r="Y27" s="227"/>
      <c r="Z27" s="227"/>
      <c r="AA27" s="227"/>
      <c r="AB27" s="193"/>
      <c r="AC27" s="227"/>
      <c r="AD27" s="227"/>
      <c r="AE27" s="227"/>
      <c r="AF27" s="193"/>
      <c r="AG27" s="193"/>
      <c r="AH27" s="191"/>
    </row>
    <row r="28">
      <c r="A28" s="224" t="s">
        <v>2609</v>
      </c>
      <c r="B28" s="225" t="str">
        <f>IFERROR(__xludf.DUMMYFUNCTION("GOOGLETRANSLATE(A28,""pt"",""en"")"),"Electric food processor")</f>
        <v>Electric food processor</v>
      </c>
      <c r="C28" s="226" t="str">
        <f>IFERROR(__xludf.DUMMYFUNCTION("GOOGLETRANSLATE(A28,""pt"",""zh-cn"")"),"电动食品加工机")</f>
        <v>电动食品加工机</v>
      </c>
      <c r="D28" s="193"/>
      <c r="E28" s="229"/>
      <c r="F28" s="229"/>
      <c r="G28" s="227"/>
      <c r="H28" s="193"/>
      <c r="I28" s="214" t="s">
        <v>2610</v>
      </c>
      <c r="J28" s="213" t="str">
        <f>IFERROR(__xludf.DUMMYFUNCTION("GOOGLETRANSLATE(I28,""pt"",""en"")"),"Electronic skill and dexterity toys (Electronic toys, rechargeable or not, powered by a voltage of up to 24 volts).")</f>
        <v>Electronic skill and dexterity toys (Electronic toys, rechargeable or not, powered by a voltage of up to 24 volts).</v>
      </c>
      <c r="K28" s="214" t="str">
        <f>IFERROR(__xludf.DUMMYFUNCTION("GOOGLETRANSLATE(I28,""pt"",""zh-cn"")"),"电子技能和灵巧性玩具（电子玩具，可充电或不可充电，电压最高可达 24 伏）。")</f>
        <v>电子技能和灵巧性玩具（电子玩具，可充电或不可充电，电压最高可达 24 伏）。</v>
      </c>
      <c r="L28" s="193"/>
      <c r="M28" s="191"/>
      <c r="N28" s="191"/>
      <c r="O28" s="191"/>
      <c r="P28" s="191"/>
      <c r="Q28" s="227"/>
      <c r="R28" s="227"/>
      <c r="S28" s="227"/>
      <c r="T28" s="191"/>
      <c r="U28" s="191"/>
      <c r="V28" s="191"/>
      <c r="W28" s="191"/>
      <c r="X28" s="193"/>
      <c r="Y28" s="227"/>
      <c r="Z28" s="227"/>
      <c r="AA28" s="227"/>
      <c r="AB28" s="193"/>
      <c r="AC28" s="227"/>
      <c r="AD28" s="227"/>
      <c r="AE28" s="227"/>
      <c r="AF28" s="193"/>
      <c r="AG28" s="193"/>
      <c r="AH28" s="191"/>
    </row>
    <row r="29">
      <c r="A29" s="224" t="s">
        <v>2611</v>
      </c>
      <c r="B29" s="225" t="str">
        <f>IFERROR(__xludf.DUMMYFUNCTION("GOOGLETRANSLATE(A29,""pt"",""en"")"),"Electric dough roller")</f>
        <v>Electric dough roller</v>
      </c>
      <c r="C29" s="226" t="str">
        <f>IFERROR(__xludf.DUMMYFUNCTION("GOOGLETRANSLATE(A29,""pt"",""zh-cn"")"),"电动揉面机")</f>
        <v>电动揉面机</v>
      </c>
      <c r="D29" s="193"/>
      <c r="E29" s="229"/>
      <c r="F29" s="229"/>
      <c r="G29" s="227"/>
      <c r="H29" s="193"/>
      <c r="I29" s="214" t="s">
        <v>2612</v>
      </c>
      <c r="J29" s="213" t="str">
        <f>IFERROR(__xludf.DUMMYFUNCTION("GOOGLETRANSLATE(I29,""pt"",""en"")"),"Handheld toy (A toy specially designed to make a sound and made to be held in the hands).")</f>
        <v>Handheld toy (A toy specially designed to make a sound and made to be held in the hands).</v>
      </c>
      <c r="K29" s="214" t="str">
        <f>IFERROR(__xludf.DUMMYFUNCTION("GOOGLETRANSLATE(I29,""pt"",""zh-cn"")"),"手持玩具（一种专门设计用来发出声音并握在手中的玩具）。")</f>
        <v>手持玩具（一种专门设计用来发出声音并握在手中的玩具）。</v>
      </c>
      <c r="L29" s="193"/>
      <c r="M29" s="191"/>
      <c r="N29" s="191"/>
      <c r="O29" s="191"/>
      <c r="P29" s="191"/>
      <c r="Q29" s="227"/>
      <c r="R29" s="227"/>
      <c r="S29" s="227"/>
      <c r="T29" s="191"/>
      <c r="U29" s="191"/>
      <c r="V29" s="191"/>
      <c r="W29" s="191"/>
      <c r="X29" s="193"/>
      <c r="Y29" s="227"/>
      <c r="Z29" s="227"/>
      <c r="AA29" s="227"/>
      <c r="AB29" s="193"/>
      <c r="AC29" s="227"/>
      <c r="AD29" s="227"/>
      <c r="AE29" s="227"/>
      <c r="AF29" s="193"/>
      <c r="AG29" s="193"/>
      <c r="AH29" s="191"/>
    </row>
    <row r="30">
      <c r="A30" s="224" t="s">
        <v>2613</v>
      </c>
      <c r="B30" s="225" t="str">
        <f>IFERROR(__xludf.DUMMYFUNCTION("GOOGLETRANSLATE(A30,""pt"",""en"")"),"Electric sandwich maker")</f>
        <v>Electric sandwich maker</v>
      </c>
      <c r="C30" s="226" t="str">
        <f>IFERROR(__xludf.DUMMYFUNCTION("GOOGLETRANSLATE(A30,""pt"",""zh-cn"")"),"电动三明治机")</f>
        <v>电动三明治机</v>
      </c>
      <c r="D30" s="193"/>
      <c r="E30" s="229"/>
      <c r="F30" s="229"/>
      <c r="G30" s="227"/>
      <c r="H30" s="193"/>
      <c r="I30" s="214" t="s">
        <v>2614</v>
      </c>
      <c r="J30" s="213" t="str">
        <f>IFERROR(__xludf.DUMMYFUNCTION("GOOGLETRANSLATE(I30,""pt"",""en"")"),"Tabletop and floor toy (Toy designed to be used on a table or on the floor).")</f>
        <v>Tabletop and floor toy (Toy designed to be used on a table or on the floor).</v>
      </c>
      <c r="K30" s="214" t="str">
        <f>IFERROR(__xludf.DUMMYFUNCTION("GOOGLETRANSLATE(I30,""pt"",""zh-cn"")"),"桌面和地板玩具（设计用于在桌子或地板上使用的玩具）。")</f>
        <v>桌面和地板玩具（设计用于在桌子或地板上使用的玩具）。</v>
      </c>
      <c r="L30" s="193"/>
      <c r="M30" s="191"/>
      <c r="N30" s="191"/>
      <c r="O30" s="191"/>
      <c r="P30" s="191"/>
      <c r="Q30" s="227"/>
      <c r="R30" s="227"/>
      <c r="S30" s="227"/>
      <c r="T30" s="191"/>
      <c r="U30" s="191"/>
      <c r="V30" s="191"/>
      <c r="W30" s="191"/>
      <c r="X30" s="193"/>
      <c r="Y30" s="227"/>
      <c r="Z30" s="227"/>
      <c r="AA30" s="227"/>
      <c r="AB30" s="193"/>
      <c r="AC30" s="227"/>
      <c r="AD30" s="227"/>
      <c r="AE30" s="227"/>
      <c r="AF30" s="193"/>
      <c r="AG30" s="193"/>
      <c r="AH30" s="191"/>
    </row>
    <row r="31">
      <c r="A31" s="224" t="s">
        <v>2615</v>
      </c>
      <c r="B31" s="225" t="str">
        <f>IFERROR(__xludf.DUMMYFUNCTION("GOOGLETRANSLATE(A31,""pt"",""en"")"),"Electric toaster / Electric sandwich maker")</f>
        <v>Electric toaster / Electric sandwich maker</v>
      </c>
      <c r="C31" s="226" t="str">
        <f>IFERROR(__xludf.DUMMYFUNCTION("GOOGLETRANSLATE(A31,""pt"",""zh-cn"")"),"电烤面包机/电三明治机")</f>
        <v>电烤面包机/电三明治机</v>
      </c>
      <c r="D31" s="193"/>
      <c r="E31" s="229"/>
      <c r="F31" s="229"/>
      <c r="G31" s="227"/>
      <c r="H31" s="193"/>
      <c r="I31" s="214" t="s">
        <v>2616</v>
      </c>
      <c r="J31" s="213" t="str">
        <f>IFERROR(__xludf.DUMMYFUNCTION("GOOGLETRANSLATE(I31,""pt"",""en"")"),"Toy with a projectile that has stored energy (Toy with a projectile propelled by a firing mechanism capable of storing and releasing energy).")</f>
        <v>Toy with a projectile that has stored energy (Toy with a projectile propelled by a firing mechanism capable of storing and releasing energy).</v>
      </c>
      <c r="K31" s="214" t="str">
        <f>IFERROR(__xludf.DUMMYFUNCTION("GOOGLETRANSLATE(I31,""pt"",""zh-cn"")"),"带有储存能量的弹射器的玩具（带有由能够储存和释放能量的发射机构推进的弹射器的玩具）。")</f>
        <v>带有储存能量的弹射器的玩具（带有由能够储存和释放能量的发射机构推进的弹射器的玩具）。</v>
      </c>
      <c r="L31" s="193"/>
      <c r="M31" s="191"/>
      <c r="N31" s="191"/>
      <c r="O31" s="191"/>
      <c r="P31" s="191"/>
      <c r="Q31" s="227"/>
      <c r="R31" s="227"/>
      <c r="S31" s="227"/>
      <c r="T31" s="191"/>
      <c r="U31" s="191"/>
      <c r="V31" s="191"/>
      <c r="W31" s="191"/>
      <c r="X31" s="193"/>
      <c r="Y31" s="227"/>
      <c r="Z31" s="227"/>
      <c r="AA31" s="227"/>
      <c r="AB31" s="193"/>
      <c r="AC31" s="227"/>
      <c r="AD31" s="227"/>
      <c r="AE31" s="227"/>
      <c r="AF31" s="193"/>
      <c r="AG31" s="193"/>
      <c r="AH31" s="191"/>
    </row>
    <row r="32">
      <c r="A32" s="230" t="s">
        <v>2617</v>
      </c>
      <c r="B32" s="231" t="str">
        <f>IFERROR(__xludf.DUMMYFUNCTION("GOOGLETRANSLATE(A32,""pt"",""en"")"),"Electric grain roaster")</f>
        <v>Electric grain roaster</v>
      </c>
      <c r="C32" s="232" t="str">
        <f>IFERROR(__xludf.DUMMYFUNCTION("GOOGLETRANSLATE(A32,""pt"",""zh-cn"")"),"电动谷物烘焙机")</f>
        <v>电动谷物烘焙机</v>
      </c>
      <c r="D32" s="193"/>
      <c r="E32" s="229"/>
      <c r="F32" s="229"/>
      <c r="G32" s="227"/>
      <c r="H32" s="193"/>
      <c r="I32" s="214" t="s">
        <v>2618</v>
      </c>
      <c r="J32" s="213" t="str">
        <f>IFERROR(__xludf.DUMMYFUNCTION("GOOGLETRANSLATE(I32,""pt"",""en"")"),"Toy with a projectile that does not store energy (Toy with a projectile fired by the child).")</f>
        <v>Toy with a projectile that does not store energy (Toy with a projectile fired by the child).</v>
      </c>
      <c r="K32" s="214" t="str">
        <f>IFERROR(__xludf.DUMMYFUNCTION("GOOGLETRANSLATE(I32,""pt"",""zh-cn"")"),"不储存能量的弹射玩具（由儿童发射弹射物的玩具）。")</f>
        <v>不储存能量的弹射玩具（由儿童发射弹射物的玩具）。</v>
      </c>
      <c r="L32" s="193"/>
      <c r="M32" s="191"/>
      <c r="N32" s="191"/>
      <c r="O32" s="191"/>
      <c r="P32" s="191"/>
      <c r="Q32" s="227"/>
      <c r="R32" s="227"/>
      <c r="S32" s="227"/>
      <c r="T32" s="191"/>
      <c r="U32" s="191"/>
      <c r="V32" s="191"/>
      <c r="W32" s="191"/>
      <c r="X32" s="193"/>
      <c r="Y32" s="227"/>
      <c r="Z32" s="227"/>
      <c r="AA32" s="227"/>
      <c r="AB32" s="193"/>
      <c r="AC32" s="227"/>
      <c r="AD32" s="227"/>
      <c r="AE32" s="227"/>
      <c r="AF32" s="193"/>
      <c r="AG32" s="193"/>
      <c r="AH32" s="191"/>
    </row>
    <row r="33">
      <c r="A33" s="233" t="s">
        <v>2619</v>
      </c>
      <c r="B33" s="234" t="str">
        <f>IFERROR(__xludf.DUMMYFUNCTION("GOOGLETRANSLATE(A33,""pt"",""en"")"),"Group 2: Machines and equipment for commercial use")</f>
        <v>Group 2: Machines and equipment for commercial use</v>
      </c>
      <c r="C33" s="235" t="str">
        <f>IFERROR(__xludf.DUMMYFUNCTION("GOOGLETRANSLATE(A33,""pt"",""zh-cn"")"),"第二组：商用机器和设备")</f>
        <v>第二组：商用机器和设备</v>
      </c>
      <c r="D33" s="193"/>
      <c r="E33" s="229"/>
      <c r="F33" s="229"/>
      <c r="G33" s="227"/>
      <c r="H33" s="193"/>
      <c r="I33" s="214" t="s">
        <v>2620</v>
      </c>
      <c r="J33" s="213" t="str">
        <f>IFERROR(__xludf.DUMMYFUNCTION("GOOGLETRANSLATE(I33,""pt"",""en"")"),"Pull, push, shove and roll toy (Toy that is intended to be pulled, pushed, shoved or used to roll along the floor or ground. Excludes balance bikes).")</f>
        <v>Pull, push, shove and roll toy (Toy that is intended to be pulled, pushed, shoved or used to roll along the floor or ground. Excludes balance bikes).</v>
      </c>
      <c r="K33" s="214" t="str">
        <f>IFERROR(__xludf.DUMMYFUNCTION("GOOGLETRANSLATE(I33,""pt"",""zh-cn"")"),"拉、推、挤、滚玩具（指可以拉、推、挤或在地板或地面上滚动的玩具。不包括平衡车）。")</f>
        <v>拉、推、挤、滚玩具（指可以拉、推、挤或在地板或地面上滚动的玩具。不包括平衡车）。</v>
      </c>
      <c r="L33" s="193"/>
      <c r="M33" s="191"/>
      <c r="N33" s="191"/>
      <c r="O33" s="191"/>
      <c r="P33" s="191"/>
      <c r="Q33" s="227"/>
      <c r="R33" s="227"/>
      <c r="S33" s="227"/>
      <c r="T33" s="191"/>
      <c r="U33" s="191"/>
      <c r="V33" s="191"/>
      <c r="W33" s="191"/>
      <c r="X33" s="193"/>
      <c r="Y33" s="227"/>
      <c r="Z33" s="227"/>
      <c r="AA33" s="227"/>
      <c r="AB33" s="193"/>
      <c r="AC33" s="227"/>
      <c r="AD33" s="227"/>
      <c r="AE33" s="227"/>
      <c r="AF33" s="193"/>
      <c r="AG33" s="193"/>
      <c r="AH33" s="191"/>
    </row>
    <row r="34">
      <c r="A34" s="236" t="s">
        <v>2621</v>
      </c>
      <c r="B34" s="237" t="str">
        <f>IFERROR(__xludf.DUMMYFUNCTION("GOOGLETRANSLATE(A34,""pt"",""en"")"),"Electric can opener for commercial use.")</f>
        <v>Electric can opener for commercial use.</v>
      </c>
      <c r="C34" s="238" t="str">
        <f>IFERROR(__xludf.DUMMYFUNCTION("GOOGLETRANSLATE(A34,""pt"",""zh-cn"")"),"商用电动开罐器。")</f>
        <v>商用电动开罐器。</v>
      </c>
      <c r="D34" s="193"/>
      <c r="E34" s="229"/>
      <c r="F34" s="229"/>
      <c r="G34" s="227"/>
      <c r="H34" s="193"/>
      <c r="I34" s="214" t="s">
        <v>2622</v>
      </c>
      <c r="J34" s="213" t="str">
        <f>IFERROR(__xludf.DUMMYFUNCTION("GOOGLETRANSLATE(I34,""pt"",""en"")"),"Transformable toys and objects (Toys that represent figures whose parts, when moved, come to represent other objects).")</f>
        <v>Transformable toys and objects (Toys that represent figures whose parts, when moved, come to represent other objects).</v>
      </c>
      <c r="K34" s="214" t="str">
        <f>IFERROR(__xludf.DUMMYFUNCTION("GOOGLETRANSLATE(I34,""pt"",""zh-cn"")"),"可变形玩具和物品（代表人物的玩具，其部件移动后可以代表其他物品）。")</f>
        <v>可变形玩具和物品（代表人物的玩具，其部件移动后可以代表其他物品）。</v>
      </c>
      <c r="L34" s="193"/>
      <c r="M34" s="191"/>
      <c r="N34" s="191"/>
      <c r="O34" s="191"/>
      <c r="P34" s="191"/>
      <c r="Q34" s="227"/>
      <c r="R34" s="227"/>
      <c r="S34" s="227"/>
      <c r="T34" s="191"/>
      <c r="U34" s="191"/>
      <c r="V34" s="191"/>
      <c r="W34" s="191"/>
      <c r="X34" s="193"/>
      <c r="Y34" s="227"/>
      <c r="Z34" s="227"/>
      <c r="AA34" s="227"/>
      <c r="AB34" s="193"/>
      <c r="AC34" s="227"/>
      <c r="AD34" s="227"/>
      <c r="AE34" s="227"/>
      <c r="AF34" s="193"/>
      <c r="AG34" s="193"/>
      <c r="AH34" s="191"/>
    </row>
    <row r="35">
      <c r="A35" s="236" t="s">
        <v>2623</v>
      </c>
      <c r="B35" s="237" t="str">
        <f>IFERROR(__xludf.DUMMYFUNCTION("GOOGLETRANSLATE(A35,""pt"",""en"")"),"Electric dough mixer with a dough capacity of 40 kg or less, for commercial use.")</f>
        <v>Electric dough mixer with a dough capacity of 40 kg or less, for commercial use.</v>
      </c>
      <c r="C35" s="238" t="str">
        <f>IFERROR(__xludf.DUMMYFUNCTION("GOOGLETRANSLATE(A35,""pt"",""zh-cn"")"),"电动和面机，面团容量40公斤或以下，商用。")</f>
        <v>电动和面机，面团容量40公斤或以下，商用。</v>
      </c>
      <c r="D35" s="193"/>
      <c r="E35" s="229"/>
      <c r="F35" s="229"/>
      <c r="G35" s="227"/>
      <c r="H35" s="193"/>
      <c r="I35" s="214" t="s">
        <v>2624</v>
      </c>
      <c r="J35" s="213" t="str">
        <f>IFERROR(__xludf.DUMMYFUNCTION("GOOGLETRANSLATE(I35,""pt"",""en"")"),"Functional toy (A toy used to imitate a product or facility intended for adults, without any real function, and which is often a scale model of the original).")</f>
        <v>Functional toy (A toy used to imitate a product or facility intended for adults, without any real function, and which is often a scale model of the original).</v>
      </c>
      <c r="K35" s="214" t="str">
        <f>IFERROR(__xludf.DUMMYFUNCTION("GOOGLETRANSLATE(I35,""pt"",""zh-cn"")"),"功能性玩具（一种模仿成人用品或设施的玩具，没有任何实际功能，通常是原件的比例模型）。")</f>
        <v>功能性玩具（一种模仿成人用品或设施的玩具，没有任何实际功能，通常是原件的比例模型）。</v>
      </c>
      <c r="L35" s="193"/>
      <c r="M35" s="191"/>
      <c r="N35" s="191"/>
      <c r="O35" s="191"/>
      <c r="P35" s="191"/>
      <c r="Q35" s="227"/>
      <c r="R35" s="227"/>
      <c r="S35" s="227"/>
      <c r="T35" s="191"/>
      <c r="U35" s="191"/>
      <c r="V35" s="191"/>
      <c r="W35" s="191"/>
      <c r="X35" s="193"/>
      <c r="Y35" s="227"/>
      <c r="Z35" s="227"/>
      <c r="AA35" s="227"/>
      <c r="AB35" s="193"/>
      <c r="AC35" s="227"/>
      <c r="AD35" s="227"/>
      <c r="AE35" s="227"/>
      <c r="AF35" s="193"/>
      <c r="AG35" s="193"/>
      <c r="AH35" s="191"/>
    </row>
    <row r="36">
      <c r="A36" s="236" t="s">
        <v>2625</v>
      </c>
      <c r="B36" s="237" t="str">
        <f>IFERROR(__xludf.DUMMYFUNCTION("GOOGLETRANSLATE(A36,""pt"",""en"")"),"Heated electric cabinet for commercial dishware.")</f>
        <v>Heated electric cabinet for commercial dishware.</v>
      </c>
      <c r="C36" s="238" t="str">
        <f>IFERROR(__xludf.DUMMYFUNCTION("GOOGLETRANSLATE(A36,""pt"",""zh-cn"")"),"商用餐具用电加热柜。")</f>
        <v>商用餐具用电加热柜。</v>
      </c>
      <c r="D36" s="193"/>
      <c r="E36" s="229"/>
      <c r="F36" s="229"/>
      <c r="G36" s="227"/>
      <c r="H36" s="193"/>
      <c r="I36" s="214" t="s">
        <v>2626</v>
      </c>
      <c r="J36" s="213" t="str">
        <f>IFERROR(__xludf.DUMMYFUNCTION("GOOGLETRANSLATE(I36,""pt"",""en"")"),"Portable inflatable toy (Inflatable toy intended for children to handle).")</f>
        <v>Portable inflatable toy (Inflatable toy intended for children to handle).</v>
      </c>
      <c r="K36" s="214" t="str">
        <f>IFERROR(__xludf.DUMMYFUNCTION("GOOGLETRANSLATE(I36,""pt"",""zh-cn"")"),"便携式充气玩具（专为儿童设计的充气玩具）。")</f>
        <v>便携式充气玩具（专为儿童设计的充气玩具）。</v>
      </c>
      <c r="L36" s="193"/>
      <c r="M36" s="191"/>
      <c r="N36" s="191"/>
      <c r="O36" s="191"/>
      <c r="P36" s="191"/>
      <c r="Q36" s="227"/>
      <c r="R36" s="227"/>
      <c r="S36" s="227"/>
      <c r="T36" s="191"/>
      <c r="U36" s="191"/>
      <c r="V36" s="191"/>
      <c r="W36" s="191"/>
      <c r="X36" s="193"/>
      <c r="Y36" s="227"/>
      <c r="Z36" s="227"/>
      <c r="AA36" s="227"/>
      <c r="AB36" s="193"/>
      <c r="AC36" s="227"/>
      <c r="AD36" s="227"/>
      <c r="AE36" s="227"/>
      <c r="AF36" s="193"/>
      <c r="AG36" s="193"/>
      <c r="AH36" s="191"/>
    </row>
    <row r="37">
      <c r="A37" s="236" t="s">
        <v>2627</v>
      </c>
      <c r="B37" s="237" t="str">
        <f>IFERROR(__xludf.DUMMYFUNCTION("GOOGLETRANSLATE(A37,""pt"",""en"")"),"Electric rotisserie grill (dog TV)")</f>
        <v>Electric rotisserie grill (dog TV)</v>
      </c>
      <c r="C37" s="238" t="str">
        <f>IFERROR(__xludf.DUMMYFUNCTION("GOOGLETRANSLATE(A37,""pt"",""zh-cn"")"),"电动旋转烤架（狗狗电视）")</f>
        <v>电动旋转烤架（狗狗电视）</v>
      </c>
      <c r="D37" s="193"/>
      <c r="E37" s="229"/>
      <c r="F37" s="229"/>
      <c r="G37" s="227"/>
      <c r="H37" s="193"/>
      <c r="I37" s="214" t="s">
        <v>2628</v>
      </c>
      <c r="J37" s="213" t="str">
        <f>IFERROR(__xludf.DUMMYFUNCTION("GOOGLETRANSLATE(I37,""pt"",""en"")"),"Soft toy with stuffing (Soft toy filled with beads, fabric, foam or other soft material).")</f>
        <v>Soft toy with stuffing (Soft toy filled with beads, fabric, foam or other soft material).</v>
      </c>
      <c r="K37" s="214" t="str">
        <f>IFERROR(__xludf.DUMMYFUNCTION("GOOGLETRANSLATE(I37,""pt"",""zh-cn"")"),"填充毛绒玩具（毛绒玩具内填充珠子、布料、泡沫或其他柔软材料）。")</f>
        <v>填充毛绒玩具（毛绒玩具内填充珠子、布料、泡沫或其他柔软材料）。</v>
      </c>
      <c r="L37" s="193"/>
      <c r="M37" s="191"/>
      <c r="N37" s="191"/>
      <c r="O37" s="191"/>
      <c r="P37" s="191"/>
      <c r="Q37" s="227"/>
      <c r="R37" s="227"/>
      <c r="S37" s="227"/>
      <c r="T37" s="191"/>
      <c r="U37" s="191"/>
      <c r="V37" s="191"/>
      <c r="W37" s="191"/>
      <c r="X37" s="193"/>
      <c r="Y37" s="227"/>
      <c r="Z37" s="227"/>
      <c r="AA37" s="227"/>
      <c r="AB37" s="193"/>
      <c r="AC37" s="227"/>
      <c r="AD37" s="227"/>
      <c r="AE37" s="227"/>
      <c r="AF37" s="193"/>
      <c r="AG37" s="193"/>
      <c r="AH37" s="191"/>
    </row>
    <row r="38">
      <c r="A38" s="236" t="s">
        <v>2629</v>
      </c>
      <c r="B38" s="237" t="str">
        <f>IFERROR(__xludf.DUMMYFUNCTION("GOOGLETRANSLATE(A38,""pt"",""en"")"),"Heated electric display case for commercial use.")</f>
        <v>Heated electric display case for commercial use.</v>
      </c>
      <c r="C38" s="238" t="str">
        <f>IFERROR(__xludf.DUMMYFUNCTION("GOOGLETRANSLATE(A38,""pt"",""zh-cn"")"),"商用加热式电展示柜。")</f>
        <v>商用加热式电展示柜。</v>
      </c>
      <c r="D38" s="193"/>
      <c r="E38" s="229"/>
      <c r="F38" s="229"/>
      <c r="G38" s="227"/>
      <c r="H38" s="193"/>
      <c r="I38" s="214" t="s">
        <v>2630</v>
      </c>
      <c r="J38" s="213" t="str">
        <f>IFERROR(__xludf.DUMMYFUNCTION("GOOGLETRANSLATE(I38,""pt"",""en"")"),"Battery-operated toy (Toy in which at least one function depends on electricity and is powered by a battery).")</f>
        <v>Battery-operated toy (Toy in which at least one function depends on electricity and is powered by a battery).</v>
      </c>
      <c r="K38" s="214" t="str">
        <f>IFERROR(__xludf.DUMMYFUNCTION("GOOGLETRANSLATE(I38,""pt"",""zh-cn"")"),"电池驱动玩具（至少有一项功能依赖于电力，并由电池供电的玩具）。")</f>
        <v>电池驱动玩具（至少有一项功能依赖于电力，并由电池供电的玩具）。</v>
      </c>
      <c r="L38" s="193"/>
      <c r="M38" s="191"/>
      <c r="N38" s="191"/>
      <c r="O38" s="191"/>
      <c r="P38" s="191"/>
      <c r="Q38" s="227"/>
      <c r="R38" s="227"/>
      <c r="S38" s="227"/>
      <c r="T38" s="191"/>
      <c r="U38" s="191"/>
      <c r="V38" s="191"/>
      <c r="W38" s="191"/>
      <c r="X38" s="193"/>
      <c r="Y38" s="227"/>
      <c r="Z38" s="227"/>
      <c r="AA38" s="227"/>
      <c r="AB38" s="193"/>
      <c r="AC38" s="227"/>
      <c r="AD38" s="227"/>
      <c r="AE38" s="227"/>
      <c r="AF38" s="193"/>
      <c r="AG38" s="193"/>
      <c r="AH38" s="191"/>
    </row>
    <row r="39">
      <c r="A39" s="236" t="s">
        <v>2631</v>
      </c>
      <c r="B39" s="237" t="str">
        <f>IFERROR(__xludf.DUMMYFUNCTION("GOOGLETRANSLATE(A39,""pt"",""en"")"),"Electric double boiler for commercial use.")</f>
        <v>Electric double boiler for commercial use.</v>
      </c>
      <c r="C39" s="238" t="str">
        <f>IFERROR(__xludf.DUMMYFUNCTION("GOOGLETRANSLATE(A39,""pt"",""zh-cn"")"),"商用电双层锅炉。")</f>
        <v>商用电双层锅炉。</v>
      </c>
      <c r="D39" s="193"/>
      <c r="E39" s="229"/>
      <c r="F39" s="229"/>
      <c r="G39" s="227"/>
      <c r="H39" s="193"/>
      <c r="I39" s="214" t="s">
        <v>2632</v>
      </c>
      <c r="J39" s="213" t="str">
        <f>IFERROR(__xludf.DUMMYFUNCTION("GOOGLETRANSLATE(I39,""pt"",""en"")"),"Toys or accessories that simulate professions (Toys such as market stalls, kitchens, mini factories, among others, on a reduced scale, to the size of the child).")</f>
        <v>Toys or accessories that simulate professions (Toys such as market stalls, kitchens, mini factories, among others, on a reduced scale, to the size of the child).</v>
      </c>
      <c r="K39" s="214" t="str">
        <f>IFERROR(__xludf.DUMMYFUNCTION("GOOGLETRANSLATE(I39,""pt"",""zh-cn"")"),"模拟职业的玩具或配件（例如按比例缩小到适合儿童大小的市场摊位、厨房、迷你工厂等玩具）。")</f>
        <v>模拟职业的玩具或配件（例如按比例缩小到适合儿童大小的市场摊位、厨房、迷你工厂等玩具）。</v>
      </c>
      <c r="L39" s="193"/>
      <c r="M39" s="191"/>
      <c r="N39" s="191"/>
      <c r="O39" s="191"/>
      <c r="P39" s="191"/>
      <c r="Q39" s="227"/>
      <c r="R39" s="227"/>
      <c r="S39" s="227"/>
      <c r="T39" s="191"/>
      <c r="U39" s="191"/>
      <c r="V39" s="191"/>
      <c r="W39" s="191"/>
      <c r="X39" s="193"/>
      <c r="Y39" s="227"/>
      <c r="Z39" s="227"/>
      <c r="AA39" s="227"/>
      <c r="AB39" s="193"/>
      <c r="AC39" s="227"/>
      <c r="AD39" s="227"/>
      <c r="AE39" s="227"/>
      <c r="AF39" s="193"/>
      <c r="AG39" s="193"/>
      <c r="AH39" s="191"/>
    </row>
    <row r="40">
      <c r="A40" s="236" t="s">
        <v>2633</v>
      </c>
      <c r="B40" s="237" t="str">
        <f>IFERROR(__xludf.DUMMYFUNCTION("GOOGLETRANSLATE(A40,""pt"",""en"")"),"Electric mixer, with a capacity of 18 liters or less, for commercial use.")</f>
        <v>Electric mixer, with a capacity of 18 liters or less, for commercial use.</v>
      </c>
      <c r="C40" s="238" t="str">
        <f>IFERROR(__xludf.DUMMYFUNCTION("GOOGLETRANSLATE(A40,""pt"",""zh-cn"")"),"容量为 18 升或以下的商用电动搅拌机。")</f>
        <v>容量为 18 升或以下的商用电动搅拌机。</v>
      </c>
      <c r="D40" s="193"/>
      <c r="E40" s="229"/>
      <c r="F40" s="229"/>
      <c r="G40" s="227"/>
      <c r="H40" s="193"/>
      <c r="I40" s="214" t="s">
        <v>2634</v>
      </c>
      <c r="J40" s="213" t="str">
        <f>IFERROR(__xludf.DUMMYFUNCTION("GOOGLETRANSLATE(I40,""pt"",""en"")"),"Sand toys (Buckets, shovels, molds and utensils used for children to play in the sand and water).")</f>
        <v>Sand toys (Buckets, shovels, molds and utensils used for children to play in the sand and water).</v>
      </c>
      <c r="K40" s="214" t="str">
        <f>IFERROR(__xludf.DUMMYFUNCTION("GOOGLETRANSLATE(I40,""pt"",""zh-cn"")"),"沙滩玩具（儿童在沙子和水中玩耍用的桶、铲子、模具和器皿）。")</f>
        <v>沙滩玩具（儿童在沙子和水中玩耍用的桶、铲子、模具和器皿）。</v>
      </c>
      <c r="L40" s="193"/>
      <c r="M40" s="191"/>
      <c r="N40" s="191"/>
      <c r="O40" s="191"/>
      <c r="P40" s="191"/>
      <c r="Q40" s="227"/>
      <c r="R40" s="227"/>
      <c r="S40" s="227"/>
      <c r="T40" s="191"/>
      <c r="U40" s="191"/>
      <c r="V40" s="191"/>
      <c r="W40" s="191"/>
      <c r="X40" s="193"/>
      <c r="Y40" s="227"/>
      <c r="Z40" s="227"/>
      <c r="AA40" s="227"/>
      <c r="AB40" s="193"/>
      <c r="AC40" s="227"/>
      <c r="AD40" s="227"/>
      <c r="AE40" s="227"/>
      <c r="AF40" s="193"/>
      <c r="AG40" s="193"/>
      <c r="AH40" s="191"/>
    </row>
    <row r="41">
      <c r="A41" s="236" t="s">
        <v>2635</v>
      </c>
      <c r="B41" s="237" t="str">
        <f>IFERROR(__xludf.DUMMYFUNCTION("GOOGLETRANSLATE(A41,""pt"",""en"")"),"Electric griddle for commercial use")</f>
        <v>Electric griddle for commercial use</v>
      </c>
      <c r="C41" s="238" t="str">
        <f>IFERROR(__xludf.DUMMYFUNCTION("GOOGLETRANSLATE(A41,""pt"",""zh-cn"")"),"商用电烤盘")</f>
        <v>商用电烤盘</v>
      </c>
      <c r="D41" s="193"/>
      <c r="E41" s="229"/>
      <c r="F41" s="229"/>
      <c r="G41" s="227"/>
      <c r="H41" s="193"/>
      <c r="I41" s="214" t="s">
        <v>2636</v>
      </c>
      <c r="J41" s="213" t="str">
        <f>IFERROR(__xludf.DUMMYFUNCTION("GOOGLETRANSLATE(I41,""pt"",""en"")"),"Bath toy (Animals, children's characters, boats and floating pieces for the child to play with during bath time).")</f>
        <v>Bath toy (Animals, children's characters, boats and floating pieces for the child to play with during bath time).</v>
      </c>
      <c r="K41" s="214" t="str">
        <f>IFERROR(__xludf.DUMMYFUNCTION("GOOGLETRANSLATE(I41,""pt"",""zh-cn"")"),"洗澡玩具（动物、儿童卡通人物、小船和漂浮物，供孩子在洗澡时玩耍）。")</f>
        <v>洗澡玩具（动物、儿童卡通人物、小船和漂浮物，供孩子在洗澡时玩耍）。</v>
      </c>
      <c r="L41" s="193"/>
      <c r="M41" s="191"/>
      <c r="N41" s="191"/>
      <c r="O41" s="191"/>
      <c r="P41" s="191"/>
      <c r="Q41" s="227"/>
      <c r="R41" s="227"/>
      <c r="S41" s="227"/>
      <c r="T41" s="191"/>
      <c r="U41" s="191"/>
      <c r="V41" s="191"/>
      <c r="W41" s="191"/>
      <c r="X41" s="193"/>
      <c r="Y41" s="227"/>
      <c r="Z41" s="227"/>
      <c r="AA41" s="227"/>
      <c r="AB41" s="193"/>
      <c r="AC41" s="227"/>
      <c r="AD41" s="227"/>
      <c r="AE41" s="227"/>
      <c r="AF41" s="193"/>
      <c r="AG41" s="193"/>
      <c r="AH41" s="191"/>
    </row>
    <row r="42">
      <c r="A42" s="236" t="s">
        <v>2637</v>
      </c>
      <c r="B42" s="237" t="str">
        <f>IFERROR(__xludf.DUMMYFUNCTION("GOOGLETRANSLATE(A42,""pt"",""en"")"),"Commercial-grade automatic dough sheeter, laminating cylinder with a roller length of 500 mm or less.")</f>
        <v>Commercial-grade automatic dough sheeter, laminating cylinder with a roller length of 500 mm or less.</v>
      </c>
      <c r="C42" s="238" t="str">
        <f>IFERROR(__xludf.DUMMYFUNCTION("GOOGLETRANSLATE(A42,""pt"",""zh-cn"")"),"商用级自动面团压片机，辊筒长度为 500 毫米或以下的压延辊。")</f>
        <v>商用级自动面团压片机，辊筒长度为 500 毫米或以下的压延辊。</v>
      </c>
      <c r="D42" s="193"/>
      <c r="E42" s="229"/>
      <c r="F42" s="229"/>
      <c r="G42" s="227"/>
      <c r="H42" s="193"/>
      <c r="I42" s="214" t="s">
        <v>2638</v>
      </c>
      <c r="J42" s="213" t="str">
        <f>IFERROR(__xludf.DUMMYFUNCTION("GOOGLETRANSLATE(I42,""pt"",""en"")"),"Toys close to the ear (Toys designed to emit sound, to be used close to the ear. For example, in a hypothetical position, it would be 2.5 cm from the sound-emitting part that could be placed in a child's ear).")</f>
        <v>Toys close to the ear (Toys designed to emit sound, to be used close to the ear. For example, in a hypothetical position, it would be 2.5 cm from the sound-emitting part that could be placed in a child's ear).</v>
      </c>
      <c r="K42" s="214" t="str">
        <f>IFERROR(__xludf.DUMMYFUNCTION("GOOGLETRANSLATE(I42,""pt"",""zh-cn"")"),"靠近耳朵的玩具（设计用于发出声音的玩具，可靠近耳朵使用。例如，假设玩具的发声部分距离儿童耳朵2.5厘米）。")</f>
        <v>靠近耳朵的玩具（设计用于发出声音的玩具，可靠近耳朵使用。例如，假设玩具的发声部分距离儿童耳朵2.5厘米）。</v>
      </c>
      <c r="L42" s="193"/>
      <c r="M42" s="191"/>
      <c r="N42" s="191"/>
      <c r="O42" s="191"/>
      <c r="P42" s="191"/>
      <c r="Q42" s="227"/>
      <c r="R42" s="227"/>
      <c r="S42" s="227"/>
      <c r="T42" s="191"/>
      <c r="U42" s="191"/>
      <c r="V42" s="191"/>
      <c r="W42" s="191"/>
      <c r="X42" s="193"/>
      <c r="Y42" s="227"/>
      <c r="Z42" s="227"/>
      <c r="AA42" s="227"/>
      <c r="AB42" s="193"/>
      <c r="AC42" s="227"/>
      <c r="AD42" s="227"/>
      <c r="AE42" s="227"/>
      <c r="AF42" s="193"/>
      <c r="AG42" s="193"/>
      <c r="AH42" s="191"/>
    </row>
    <row r="43">
      <c r="A43" s="236" t="s">
        <v>2639</v>
      </c>
      <c r="B43" s="237" t="str">
        <f>IFERROR(__xludf.DUMMYFUNCTION("GOOGLETRANSLATE(A43,""pt"",""en"")"),"Electric dough cutter for commercial use.")</f>
        <v>Electric dough cutter for commercial use.</v>
      </c>
      <c r="C43" s="238" t="str">
        <f>IFERROR(__xludf.DUMMYFUNCTION("GOOGLETRANSLATE(A43,""pt"",""zh-cn"")"),"商用电动面团切割机。")</f>
        <v>商用电动面团切割机。</v>
      </c>
      <c r="D43" s="193"/>
      <c r="E43" s="229"/>
      <c r="F43" s="229"/>
      <c r="G43" s="227"/>
      <c r="H43" s="193"/>
      <c r="I43" s="214" t="s">
        <v>2640</v>
      </c>
      <c r="J43" s="213" t="str">
        <f>IFERROR(__xludf.DUMMYFUNCTION("GOOGLETRANSLATE(I43,""pt"",""en"")"),"Toys that simulate public places (Toys that simulate public places such as gas stations, post offices, parking lots, train stations, banks, hospitals).")</f>
        <v>Toys that simulate public places (Toys that simulate public places such as gas stations, post offices, parking lots, train stations, banks, hospitals).</v>
      </c>
      <c r="K43" s="214" t="str">
        <f>IFERROR(__xludf.DUMMYFUNCTION("GOOGLETRANSLATE(I43,""pt"",""zh-cn"")"),"模拟公共场所的玩具（模拟加油站、邮局、停车场、火车站、银行、医院等公共场所的玩具）。")</f>
        <v>模拟公共场所的玩具（模拟加油站、邮局、停车场、火车站、银行、医院等公共场所的玩具）。</v>
      </c>
      <c r="L43" s="193"/>
      <c r="M43" s="191"/>
      <c r="N43" s="191"/>
      <c r="O43" s="191"/>
      <c r="P43" s="191"/>
      <c r="Q43" s="227"/>
      <c r="R43" s="227"/>
      <c r="S43" s="227"/>
      <c r="T43" s="191"/>
      <c r="U43" s="191"/>
      <c r="V43" s="191"/>
      <c r="W43" s="191"/>
      <c r="X43" s="193"/>
      <c r="Y43" s="227"/>
      <c r="Z43" s="227"/>
      <c r="AA43" s="227"/>
      <c r="AB43" s="193"/>
      <c r="AC43" s="227"/>
      <c r="AD43" s="227"/>
      <c r="AE43" s="227"/>
      <c r="AF43" s="193"/>
      <c r="AG43" s="193"/>
      <c r="AH43" s="191"/>
    </row>
    <row r="44">
      <c r="A44" s="236" t="s">
        <v>2641</v>
      </c>
      <c r="B44" s="237" t="str">
        <f>IFERROR(__xludf.DUMMYFUNCTION("GOOGLETRANSLATE(A44,""pt"",""en"")"),"Commercial electric exhaust fan")</f>
        <v>Commercial electric exhaust fan</v>
      </c>
      <c r="C44" s="238" t="str">
        <f>IFERROR(__xludf.DUMMYFUNCTION("GOOGLETRANSLATE(A44,""pt"",""zh-cn"")"),"商用电动排气扇")</f>
        <v>商用电动排气扇</v>
      </c>
      <c r="D44" s="193"/>
      <c r="E44" s="229"/>
      <c r="F44" s="229"/>
      <c r="G44" s="227"/>
      <c r="H44" s="193"/>
      <c r="I44" s="214" t="s">
        <v>2642</v>
      </c>
      <c r="J44" s="213" t="str">
        <f>IFERROR(__xludf.DUMMYFUNCTION("GOOGLETRANSLATE(I44,""pt"",""en"")"),"Boxes, chests and trunks for storing toys (Containers with a playful motif, with a lid, designed to store toys).")</f>
        <v>Boxes, chests and trunks for storing toys (Containers with a playful motif, with a lid, designed to store toys).</v>
      </c>
      <c r="K44" s="214" t="str">
        <f>IFERROR(__xludf.DUMMYFUNCTION("GOOGLETRANSLATE(I44,""pt"",""zh-cn"")"),"用于存放玩具的盒子、箱子和箱子（带有趣味图案、带盖的容器，设计用于存放玩具）。")</f>
        <v>用于存放玩具的盒子、箱子和箱子（带有趣味图案、带盖的容器，设计用于存放玩具）。</v>
      </c>
      <c r="L44" s="193"/>
      <c r="M44" s="191"/>
      <c r="N44" s="191"/>
      <c r="O44" s="191"/>
      <c r="P44" s="191"/>
      <c r="Q44" s="227"/>
      <c r="R44" s="227"/>
      <c r="S44" s="227"/>
      <c r="T44" s="191"/>
      <c r="U44" s="191"/>
      <c r="V44" s="191"/>
      <c r="W44" s="191"/>
      <c r="X44" s="193"/>
      <c r="Y44" s="227"/>
      <c r="Z44" s="227"/>
      <c r="AA44" s="227"/>
      <c r="AB44" s="193"/>
      <c r="AC44" s="227"/>
      <c r="AD44" s="227"/>
      <c r="AE44" s="227"/>
      <c r="AF44" s="193"/>
      <c r="AG44" s="193"/>
      <c r="AH44" s="191"/>
    </row>
    <row r="45">
      <c r="A45" s="236" t="s">
        <v>2643</v>
      </c>
      <c r="B45" s="237" t="str">
        <f>IFERROR(__xludf.DUMMYFUNCTION("GOOGLETRANSLATE(A45,""pt"",""en"")"),"Electric heated display case for commercial food use.")</f>
        <v>Electric heated display case for commercial food use.</v>
      </c>
      <c r="C45" s="238" t="str">
        <f>IFERROR(__xludf.DUMMYFUNCTION("GOOGLETRANSLATE(A45,""pt"",""zh-cn"")"),"用于商业食品的电加热展示柜。")</f>
        <v>用于商业食品的电加热展示柜。</v>
      </c>
      <c r="D45" s="193"/>
      <c r="E45" s="229"/>
      <c r="F45" s="229"/>
      <c r="G45" s="227"/>
      <c r="H45" s="193"/>
      <c r="I45" s="214" t="s">
        <v>2644</v>
      </c>
      <c r="J45" s="213" t="str">
        <f>IFERROR(__xludf.DUMMYFUNCTION("GOOGLETRANSLATE(I45,""pt"",""en"")"),"Shape and color matching boxes (Boxes and toys with holes in different geometric shapes to receive pieces that only fit through the openings corresponding to their geometric shape).")</f>
        <v>Shape and color matching boxes (Boxes and toys with holes in different geometric shapes to receive pieces that only fit through the openings corresponding to their geometric shape).</v>
      </c>
      <c r="K45" s="214" t="str">
        <f>IFERROR(__xludf.DUMMYFUNCTION("GOOGLETRANSLATE(I45,""pt"",""zh-cn"")"),"形状和颜色匹配盒（盒子和玩具上开有不同几何形状的孔，用于放置只能通过与其几何形状相对应的开口的部件）。")</f>
        <v>形状和颜色匹配盒（盒子和玩具上开有不同几何形状的孔，用于放置只能通过与其几何形状相对应的开口的部件）。</v>
      </c>
      <c r="L45" s="193"/>
      <c r="M45" s="191"/>
      <c r="N45" s="191"/>
      <c r="O45" s="191"/>
      <c r="P45" s="191"/>
      <c r="Q45" s="227"/>
      <c r="R45" s="227"/>
      <c r="S45" s="227"/>
      <c r="T45" s="191"/>
      <c r="U45" s="191"/>
      <c r="V45" s="191"/>
      <c r="W45" s="191"/>
      <c r="X45" s="193"/>
      <c r="Y45" s="227"/>
      <c r="Z45" s="227"/>
      <c r="AA45" s="227"/>
      <c r="AB45" s="193"/>
      <c r="AC45" s="227"/>
      <c r="AD45" s="227"/>
      <c r="AE45" s="227"/>
      <c r="AF45" s="193"/>
      <c r="AG45" s="193"/>
      <c r="AH45" s="191"/>
    </row>
    <row r="46">
      <c r="A46" s="236" t="s">
        <v>2645</v>
      </c>
      <c r="B46" s="237" t="str">
        <f>IFERROR(__xludf.DUMMYFUNCTION("GOOGLETRANSLATE(A46,""pt"",""en"")"),"Electric slicer for commercial use.")</f>
        <v>Electric slicer for commercial use.</v>
      </c>
      <c r="C46" s="238" t="str">
        <f>IFERROR(__xludf.DUMMYFUNCTION("GOOGLETRANSLATE(A46,""pt"",""zh-cn"")"),"商用电动切片机。")</f>
        <v>商用电动切片机。</v>
      </c>
      <c r="D46" s="193"/>
      <c r="E46" s="229"/>
      <c r="F46" s="229"/>
      <c r="G46" s="227"/>
      <c r="H46" s="193"/>
      <c r="I46" s="214" t="s">
        <v>2646</v>
      </c>
      <c r="J46" s="213" t="str">
        <f>IFERROR(__xludf.DUMMYFUNCTION("GOOGLETRANSLATE(I46,""pt"",""en"")"),"Music boxes for toddlers (Small hanging toys with a handle to pull and activate the musical mechanism).")</f>
        <v>Music boxes for toddlers (Small hanging toys with a handle to pull and activate the musical mechanism).</v>
      </c>
      <c r="K46" s="214" t="str">
        <f>IFERROR(__xludf.DUMMYFUNCTION("GOOGLETRANSLATE(I46,""pt"",""zh-cn"")"),"幼儿音乐盒（小型悬挂玩具，带有拉动把手以启动音乐装置）。")</f>
        <v>幼儿音乐盒（小型悬挂玩具，带有拉动把手以启动音乐装置）。</v>
      </c>
      <c r="L46" s="193"/>
      <c r="M46" s="191"/>
      <c r="N46" s="191"/>
      <c r="O46" s="191"/>
      <c r="P46" s="191"/>
      <c r="Q46" s="227"/>
      <c r="R46" s="227"/>
      <c r="S46" s="227"/>
      <c r="T46" s="191"/>
      <c r="U46" s="191"/>
      <c r="V46" s="191"/>
      <c r="W46" s="191"/>
      <c r="X46" s="193"/>
      <c r="Y46" s="227"/>
      <c r="Z46" s="227"/>
      <c r="AA46" s="227"/>
      <c r="AB46" s="193"/>
      <c r="AC46" s="227"/>
      <c r="AD46" s="227"/>
      <c r="AE46" s="227"/>
      <c r="AF46" s="193"/>
      <c r="AG46" s="193"/>
      <c r="AH46" s="191"/>
    </row>
    <row r="47">
      <c r="A47" s="236" t="s">
        <v>2647</v>
      </c>
      <c r="B47" s="237" t="str">
        <f>IFERROR(__xludf.DUMMYFUNCTION("GOOGLETRANSLATE(A47,""pt"",""en"")"),"Electric fermenter for commercial use.")</f>
        <v>Electric fermenter for commercial use.</v>
      </c>
      <c r="C47" s="238" t="str">
        <f>IFERROR(__xludf.DUMMYFUNCTION("GOOGLETRANSLATE(A47,""pt"",""zh-cn"")"),"商用电动发酵罐。")</f>
        <v>商用电动发酵罐。</v>
      </c>
      <c r="D47" s="193"/>
      <c r="E47" s="229"/>
      <c r="F47" s="229"/>
      <c r="G47" s="227"/>
      <c r="H47" s="193"/>
      <c r="I47" s="214" t="s">
        <v>2648</v>
      </c>
      <c r="J47" s="213" t="str">
        <f>IFERROR(__xludf.DUMMYFUNCTION("GOOGLETRANSLATE(I47,""pt"",""en"")"),"Toy stamps (with children's designs and motifs).")</f>
        <v>Toy stamps (with children's designs and motifs).</v>
      </c>
      <c r="K47" s="214" t="str">
        <f>IFERROR(__xludf.DUMMYFUNCTION("GOOGLETRANSLATE(I47,""pt"",""zh-cn"")"),"玩具邮票（带有儿童设计和图案）。")</f>
        <v>玩具邮票（带有儿童设计和图案）。</v>
      </c>
      <c r="L47" s="193"/>
      <c r="M47" s="191"/>
      <c r="N47" s="191"/>
      <c r="O47" s="191"/>
      <c r="P47" s="191"/>
      <c r="Q47" s="227"/>
      <c r="R47" s="227"/>
      <c r="S47" s="227"/>
      <c r="T47" s="191"/>
      <c r="U47" s="191"/>
      <c r="V47" s="191"/>
      <c r="W47" s="191"/>
      <c r="X47" s="193"/>
      <c r="Y47" s="227"/>
      <c r="Z47" s="227"/>
      <c r="AA47" s="227"/>
      <c r="AB47" s="193"/>
      <c r="AC47" s="227"/>
      <c r="AD47" s="227"/>
      <c r="AE47" s="227"/>
      <c r="AF47" s="193"/>
      <c r="AG47" s="193"/>
      <c r="AH47" s="191"/>
    </row>
    <row r="48">
      <c r="A48" s="236" t="s">
        <v>2649</v>
      </c>
      <c r="B48" s="237" t="str">
        <f>IFERROR(__xludf.DUMMYFUNCTION("GOOGLETRANSLATE(A48,""pt"",""en"")"),"Electric fryer for commercial use.")</f>
        <v>Electric fryer for commercial use.</v>
      </c>
      <c r="C48" s="238" t="str">
        <f>IFERROR(__xludf.DUMMYFUNCTION("GOOGLETRANSLATE(A48,""pt"",""zh-cn"")"),"商用电炸锅。")</f>
        <v>商用电炸锅。</v>
      </c>
      <c r="D48" s="193"/>
      <c r="E48" s="229"/>
      <c r="F48" s="229"/>
      <c r="G48" s="227"/>
      <c r="H48" s="193"/>
      <c r="I48" s="214" t="s">
        <v>2650</v>
      </c>
      <c r="J48" s="213" t="str">
        <f>IFERROR(__xludf.DUMMYFUNCTION("GOOGLETRANSLATE(I48,""pt"",""en"")"),"Toy cars (Toy cars in general and remote-controlled toy cars).")</f>
        <v>Toy cars (Toy cars in general and remote-controlled toy cars).</v>
      </c>
      <c r="K48" s="214" t="str">
        <f>IFERROR(__xludf.DUMMYFUNCTION("GOOGLETRANSLATE(I48,""pt"",""zh-cn"")"),"玩具车（一般玩具车和遥控玩具车）。")</f>
        <v>玩具车（一般玩具车和遥控玩具车）。</v>
      </c>
      <c r="L48" s="193"/>
      <c r="M48" s="191"/>
      <c r="N48" s="191"/>
      <c r="O48" s="191"/>
      <c r="P48" s="191"/>
      <c r="Q48" s="227"/>
      <c r="R48" s="227"/>
      <c r="S48" s="227"/>
      <c r="T48" s="191"/>
      <c r="U48" s="191"/>
      <c r="V48" s="191"/>
      <c r="W48" s="191"/>
      <c r="X48" s="193"/>
      <c r="Y48" s="227"/>
      <c r="Z48" s="227"/>
      <c r="AA48" s="227"/>
      <c r="AB48" s="193"/>
      <c r="AC48" s="227"/>
      <c r="AD48" s="227"/>
      <c r="AE48" s="227"/>
      <c r="AF48" s="193"/>
      <c r="AG48" s="193"/>
      <c r="AH48" s="191"/>
    </row>
    <row r="49">
      <c r="A49" s="236" t="s">
        <v>2651</v>
      </c>
      <c r="B49" s="237" t="str">
        <f>IFERROR(__xludf.DUMMYFUNCTION("GOOGLETRANSLATE(A49,""pt"",""en"")"),"Electric grill / toaster for commercial use")</f>
        <v>Electric grill / toaster for commercial use</v>
      </c>
      <c r="C49" s="238" t="str">
        <f>IFERROR(__xludf.DUMMYFUNCTION("GOOGLETRANSLATE(A49,""pt"",""zh-cn"")"),"商用电烤炉/烤面包机")</f>
        <v>商用电烤炉/烤面包机</v>
      </c>
      <c r="D49" s="193"/>
      <c r="E49" s="229"/>
      <c r="F49" s="229"/>
      <c r="G49" s="227"/>
      <c r="H49" s="193"/>
      <c r="I49" s="214" t="s">
        <v>2652</v>
      </c>
      <c r="J49" s="213" t="str">
        <f>IFERROR(__xludf.DUMMYFUNCTION("GOOGLETRANSLATE(I49,""pt"",""en"")"),"Soapbox cart (A cart, usually made of wood and steel bearings, for downhill racing, for non-professional use, regardless of the maximum load it can support).")</f>
        <v>Soapbox cart (A cart, usually made of wood and steel bearings, for downhill racing, for non-professional use, regardless of the maximum load it can support).</v>
      </c>
      <c r="K49" s="214" t="str">
        <f>IFERROR(__xludf.DUMMYFUNCTION("GOOGLETRANSLATE(I49,""pt"",""zh-cn"")"),"肥皂盒车（一种通常由木头和钢轴承制成的车，用于下坡竞速，非专业用途，无论其最大承重是多少）。")</f>
        <v>肥皂盒车（一种通常由木头和钢轴承制成的车，用于下坡竞速，非专业用途，无论其最大承重是多少）。</v>
      </c>
      <c r="L49" s="193"/>
      <c r="M49" s="191"/>
      <c r="N49" s="191"/>
      <c r="O49" s="191"/>
      <c r="P49" s="191"/>
      <c r="Q49" s="227"/>
      <c r="R49" s="227"/>
      <c r="S49" s="227"/>
      <c r="T49" s="191"/>
      <c r="U49" s="191"/>
      <c r="V49" s="191"/>
      <c r="W49" s="191"/>
      <c r="X49" s="193"/>
      <c r="Y49" s="227"/>
      <c r="Z49" s="227"/>
      <c r="AA49" s="227"/>
      <c r="AB49" s="193"/>
      <c r="AC49" s="227"/>
      <c r="AD49" s="227"/>
      <c r="AE49" s="227"/>
      <c r="AF49" s="193"/>
      <c r="AG49" s="193"/>
      <c r="AH49" s="191"/>
    </row>
    <row r="50">
      <c r="A50" s="236" t="s">
        <v>2653</v>
      </c>
      <c r="B50" s="237" t="str">
        <f>IFERROR(__xludf.DUMMYFUNCTION("GOOGLETRANSLATE(A50,""pt"",""en"")"),"Commercial-grade blender")</f>
        <v>Commercial-grade blender</v>
      </c>
      <c r="C50" s="238" t="str">
        <f>IFERROR(__xludf.DUMMYFUNCTION("GOOGLETRANSLATE(A50,""pt"",""zh-cn"")"),"商用级搅拌机")</f>
        <v>商用级搅拌机</v>
      </c>
      <c r="D50" s="193"/>
      <c r="E50" s="229"/>
      <c r="F50" s="229"/>
      <c r="G50" s="227"/>
      <c r="H50" s="193"/>
      <c r="I50" s="214" t="s">
        <v>2654</v>
      </c>
      <c r="J50" s="213" t="str">
        <f>IFERROR(__xludf.DUMMYFUNCTION("GOOGLETRANSLATE(I50,""pt"",""en"")"),"Strollers for first steps (Strollers with a solid base and a handle for the child to hold onto when starting to walk alone).")</f>
        <v>Strollers for first steps (Strollers with a solid base and a handle for the child to hold onto when starting to walk alone).</v>
      </c>
      <c r="K50" s="214" t="str">
        <f>IFERROR(__xludf.DUMMYFUNCTION("GOOGLETRANSLATE(I50,""pt"",""zh-cn"")"),"适合蹒跚学步的婴儿车（带有坚固底座和把手的婴儿车，供孩子开始独自行走时抓握）。")</f>
        <v>适合蹒跚学步的婴儿车（带有坚固底座和把手的婴儿车，供孩子开始独自行走时抓握）。</v>
      </c>
      <c r="L50" s="193"/>
      <c r="M50" s="191"/>
      <c r="N50" s="191"/>
      <c r="O50" s="191"/>
      <c r="P50" s="191"/>
      <c r="Q50" s="227"/>
      <c r="R50" s="227"/>
      <c r="S50" s="227"/>
      <c r="T50" s="191"/>
      <c r="U50" s="191"/>
      <c r="V50" s="191"/>
      <c r="W50" s="191"/>
      <c r="X50" s="193"/>
      <c r="Y50" s="227"/>
      <c r="Z50" s="227"/>
      <c r="AA50" s="227"/>
      <c r="AB50" s="193"/>
      <c r="AC50" s="227"/>
      <c r="AD50" s="227"/>
      <c r="AE50" s="227"/>
      <c r="AF50" s="193"/>
      <c r="AG50" s="193"/>
      <c r="AH50" s="191"/>
    </row>
    <row r="51">
      <c r="A51" s="236" t="s">
        <v>2655</v>
      </c>
      <c r="B51" s="237" t="str">
        <f>IFERROR(__xludf.DUMMYFUNCTION("GOOGLETRANSLATE(A51,""pt"",""en"")"),"Commercial electric rinsing machine")</f>
        <v>Commercial electric rinsing machine</v>
      </c>
      <c r="C51" s="238" t="str">
        <f>IFERROR(__xludf.DUMMYFUNCTION("GOOGLETRANSLATE(A51,""pt"",""zh-cn"")"),"商用电动冲洗机")</f>
        <v>商用电动冲洗机</v>
      </c>
      <c r="D51" s="193"/>
      <c r="E51" s="229"/>
      <c r="F51" s="229"/>
      <c r="G51" s="227"/>
      <c r="H51" s="193"/>
      <c r="I51" s="214" t="s">
        <v>2656</v>
      </c>
      <c r="J51" s="213" t="str">
        <f>IFERROR(__xludf.DUMMYFUNCTION("GOOGLETRANSLATE(I51,""pt"",""en"")"),"Dollhouse (House, tent or cabin intended for use with dolls, without allowing access to a child).")</f>
        <v>Dollhouse (House, tent or cabin intended for use with dolls, without allowing access to a child).</v>
      </c>
      <c r="K51" s="214" t="str">
        <f>IFERROR(__xludf.DUMMYFUNCTION("GOOGLETRANSLATE(I51,""pt"",""zh-cn"")"),"娃娃屋（专为玩偶设计的房屋、帐篷或小屋，不允许儿童接触）。")</f>
        <v>娃娃屋（专为玩偶设计的房屋、帐篷或小屋，不允许儿童接触）。</v>
      </c>
      <c r="L51" s="193"/>
      <c r="M51" s="191"/>
      <c r="N51" s="191"/>
      <c r="O51" s="191"/>
      <c r="P51" s="191"/>
      <c r="Q51" s="227"/>
      <c r="R51" s="227"/>
      <c r="S51" s="227"/>
      <c r="T51" s="191"/>
      <c r="U51" s="191"/>
      <c r="V51" s="191"/>
      <c r="W51" s="191"/>
      <c r="X51" s="193"/>
      <c r="Y51" s="227"/>
      <c r="Z51" s="227"/>
      <c r="AA51" s="227"/>
      <c r="AB51" s="193"/>
      <c r="AC51" s="227"/>
      <c r="AD51" s="227"/>
      <c r="AE51" s="227"/>
      <c r="AF51" s="193"/>
      <c r="AG51" s="193"/>
      <c r="AH51" s="191"/>
    </row>
    <row r="52">
      <c r="A52" s="236" t="s">
        <v>2657</v>
      </c>
      <c r="B52" s="237" t="str">
        <f>IFERROR(__xludf.DUMMYFUNCTION("GOOGLETRANSLATE(A52,""pt"",""en"")"),"Electric food washing and/or drying machine for commercial use.")</f>
        <v>Electric food washing and/or drying machine for commercial use.</v>
      </c>
      <c r="C52" s="238" t="str">
        <f>IFERROR(__xludf.DUMMYFUNCTION("GOOGLETRANSLATE(A52,""pt"",""zh-cn"")"),"商用电动食品清洗/烘干机。")</f>
        <v>商用电动食品清洗/烘干机。</v>
      </c>
      <c r="D52" s="193"/>
      <c r="E52" s="229"/>
      <c r="F52" s="229"/>
      <c r="G52" s="227"/>
      <c r="H52" s="193"/>
      <c r="I52" s="214" t="s">
        <v>2658</v>
      </c>
      <c r="J52" s="213" t="str">
        <f>IFERROR(__xludf.DUMMYFUNCTION("GOOGLETRANSLATE(I52,""pt"",""en"")"),"Keychains (Keychains whose pendant is a toy, regardless of size and material). Note: Flat keychains are not considered toys.")</f>
        <v>Keychains (Keychains whose pendant is a toy, regardless of size and material). Note: Flat keychains are not considered toys.</v>
      </c>
      <c r="K52" s="214" t="str">
        <f>IFERROR(__xludf.DUMMYFUNCTION("GOOGLETRANSLATE(I52,""pt"",""zh-cn"")"),"钥匙扣（指挂件为玩具的钥匙扣，无论尺寸和材质如何）。注：扁平钥匙扣不属于玩具范畴。")</f>
        <v>钥匙扣（指挂件为玩具的钥匙扣，无论尺寸和材质如何）。注：扁平钥匙扣不属于玩具范畴。</v>
      </c>
      <c r="L52" s="193"/>
      <c r="M52" s="191"/>
      <c r="N52" s="191"/>
      <c r="O52" s="191"/>
      <c r="P52" s="191"/>
      <c r="Q52" s="227"/>
      <c r="R52" s="227"/>
      <c r="S52" s="227"/>
      <c r="T52" s="191"/>
      <c r="U52" s="191"/>
      <c r="V52" s="191"/>
      <c r="W52" s="191"/>
      <c r="X52" s="193"/>
      <c r="Y52" s="227"/>
      <c r="Z52" s="227"/>
      <c r="AA52" s="227"/>
      <c r="AB52" s="193"/>
      <c r="AC52" s="227"/>
      <c r="AD52" s="227"/>
      <c r="AE52" s="227"/>
      <c r="AF52" s="193"/>
      <c r="AG52" s="193"/>
      <c r="AH52" s="191"/>
    </row>
    <row r="53">
      <c r="A53" s="236" t="s">
        <v>2659</v>
      </c>
      <c r="B53" s="237" t="str">
        <f>IFERROR(__xludf.DUMMYFUNCTION("GOOGLETRANSLATE(A53,""pt"",""en"")"),"Electric machine for portioning food for commercial use.")</f>
        <v>Electric machine for portioning food for commercial use.</v>
      </c>
      <c r="C53" s="238" t="str">
        <f>IFERROR(__xludf.DUMMYFUNCTION("GOOGLETRANSLATE(A53,""pt"",""zh-cn"")"),"用于商业用途的食品分装电动机器。")</f>
        <v>用于商业用途的食品分装电动机器。</v>
      </c>
      <c r="D53" s="193"/>
      <c r="E53" s="229"/>
      <c r="F53" s="229"/>
      <c r="G53" s="227"/>
      <c r="H53" s="193"/>
      <c r="I53" s="214" t="s">
        <v>2660</v>
      </c>
      <c r="J53" s="213" t="str">
        <f>IFERROR(__xludf.DUMMYFUNCTION("GOOGLETRANSLATE(I53,""pt"",""en"")"),"Rattle (A toy that is specially designed to make a sound when shaken, intended for children, and is operated by the child or another person).")</f>
        <v>Rattle (A toy that is specially designed to make a sound when shaken, intended for children, and is operated by the child or another person).</v>
      </c>
      <c r="K53" s="214" t="str">
        <f>IFERROR(__xludf.DUMMYFUNCTION("GOOGLETRANSLATE(I53,""pt"",""zh-cn"")"),"摇铃（一种专门设计用于摇晃时发出声音的玩具，供儿童使用，由儿童或其他人操作）。")</f>
        <v>摇铃（一种专门设计用于摇晃时发出声音的玩具，供儿童使用，由儿童或其他人操作）。</v>
      </c>
      <c r="L53" s="193"/>
      <c r="M53" s="191"/>
      <c r="N53" s="191"/>
      <c r="O53" s="191"/>
      <c r="P53" s="191"/>
      <c r="Q53" s="227"/>
      <c r="R53" s="227"/>
      <c r="S53" s="227"/>
      <c r="T53" s="191"/>
      <c r="U53" s="191"/>
      <c r="V53" s="191"/>
      <c r="W53" s="191"/>
      <c r="X53" s="193"/>
      <c r="Y53" s="227"/>
      <c r="Z53" s="227"/>
      <c r="AA53" s="227"/>
      <c r="AB53" s="193"/>
      <c r="AC53" s="227"/>
      <c r="AD53" s="227"/>
      <c r="AE53" s="227"/>
      <c r="AF53" s="193"/>
      <c r="AG53" s="193"/>
      <c r="AH53" s="191"/>
    </row>
    <row r="54">
      <c r="A54" s="236" t="s">
        <v>2661</v>
      </c>
      <c r="B54" s="237" t="str">
        <f>IFERROR(__xludf.DUMMYFUNCTION("GOOGLETRANSLATE(A54,""pt"",""en"")"),"Electric mixer for commercial use.")</f>
        <v>Electric mixer for commercial use.</v>
      </c>
      <c r="C54" s="238" t="str">
        <f>IFERROR(__xludf.DUMMYFUNCTION("GOOGLETRANSLATE(A54,""pt"",""zh-cn"")"),"商用电动搅拌机。")</f>
        <v>商用电动搅拌机。</v>
      </c>
      <c r="D54" s="193"/>
      <c r="E54" s="229"/>
      <c r="F54" s="229"/>
      <c r="G54" s="227"/>
      <c r="H54" s="193"/>
      <c r="I54" s="214" t="s">
        <v>2662</v>
      </c>
      <c r="J54" s="213" t="str">
        <f>IFERROR(__xludf.DUMMYFUNCTION("GOOGLETRANSLATE(I54,""pt"",""en"")"),"Toy pacifiers (Pacifiers intended for playing with dolls or for fantasy purposes).")</f>
        <v>Toy pacifiers (Pacifiers intended for playing with dolls or for fantasy purposes).</v>
      </c>
      <c r="K54" s="214" t="str">
        <f>IFERROR(__xludf.DUMMYFUNCTION("GOOGLETRANSLATE(I54,""pt"",""zh-cn"")"),"玩具奶嘴（用于与娃娃玩耍或用于幻想目的的奶嘴）。")</f>
        <v>玩具奶嘴（用于与娃娃玩耍或用于幻想目的的奶嘴）。</v>
      </c>
      <c r="L54" s="193"/>
      <c r="M54" s="191"/>
      <c r="N54" s="191"/>
      <c r="O54" s="191"/>
      <c r="P54" s="191"/>
      <c r="Q54" s="227"/>
      <c r="R54" s="227"/>
      <c r="S54" s="227"/>
      <c r="T54" s="191"/>
      <c r="U54" s="191"/>
      <c r="V54" s="191"/>
      <c r="W54" s="191"/>
      <c r="X54" s="193"/>
      <c r="Y54" s="227"/>
      <c r="Z54" s="227"/>
      <c r="AA54" s="227"/>
      <c r="AB54" s="193"/>
      <c r="AC54" s="227"/>
      <c r="AD54" s="227"/>
      <c r="AE54" s="227"/>
      <c r="AF54" s="193"/>
      <c r="AG54" s="193"/>
      <c r="AH54" s="191"/>
    </row>
    <row r="55">
      <c r="A55" s="236" t="s">
        <v>2663</v>
      </c>
      <c r="B55" s="237" t="str">
        <f>IFERROR(__xludf.DUMMYFUNCTION("GOOGLETRANSLATE(A55,""pt"",""en"")"),"Electric dough shaper, with a roller length of 400 mm or less, for commercial use.")</f>
        <v>Electric dough shaper, with a roller length of 400 mm or less, for commercial use.</v>
      </c>
      <c r="C55" s="238" t="str">
        <f>IFERROR(__xludf.DUMMYFUNCTION("GOOGLETRANSLATE(A55,""pt"",""zh-cn"")"),"电动面团成型机，辊筒长度为 400 毫米或更短，适用于商业用途。")</f>
        <v>电动面团成型机，辊筒长度为 400 毫米或更短，适用于商业用途。</v>
      </c>
      <c r="D55" s="193"/>
      <c r="E55" s="229"/>
      <c r="F55" s="229"/>
      <c r="G55" s="227"/>
      <c r="H55" s="193"/>
      <c r="I55" s="214" t="s">
        <v>2664</v>
      </c>
      <c r="J55" s="213" t="str">
        <f>IFERROR(__xludf.DUMMYFUNCTION("GOOGLETRANSLATE(I55,""pt"",""en"")"),"Circuits / tracks (Circuit or track with electrical or manual operation, with or without a trigger).")</f>
        <v>Circuits / tracks (Circuit or track with electrical or manual operation, with or without a trigger).</v>
      </c>
      <c r="K55" s="214" t="str">
        <f>IFERROR(__xludf.DUMMYFUNCTION("GOOGLETRANSLATE(I55,""pt"",""zh-cn"")"),"电路/轨道（带电或手动操作的电路或轨道，带或不带触发器）。")</f>
        <v>电路/轨道（带电或手动操作的电路或轨道，带或不带触发器）。</v>
      </c>
      <c r="L55" s="193"/>
      <c r="M55" s="191"/>
      <c r="N55" s="191"/>
      <c r="O55" s="191"/>
      <c r="P55" s="191"/>
      <c r="Q55" s="227"/>
      <c r="R55" s="227"/>
      <c r="S55" s="227"/>
      <c r="T55" s="191"/>
      <c r="U55" s="191"/>
      <c r="V55" s="191"/>
      <c r="W55" s="191"/>
      <c r="X55" s="193"/>
      <c r="Y55" s="227"/>
      <c r="Z55" s="227"/>
      <c r="AA55" s="227"/>
      <c r="AB55" s="193"/>
      <c r="AC55" s="227"/>
      <c r="AD55" s="227"/>
      <c r="AE55" s="227"/>
      <c r="AF55" s="193"/>
      <c r="AG55" s="193"/>
      <c r="AH55" s="191"/>
    </row>
    <row r="56">
      <c r="A56" s="236" t="s">
        <v>2665</v>
      </c>
      <c r="B56" s="237" t="str">
        <f>IFERROR(__xludf.DUMMYFUNCTION("GOOGLETRANSLATE(A56,""pt"",""en"")"),"Commercial electric grain grinder")</f>
        <v>Commercial electric grain grinder</v>
      </c>
      <c r="C56" s="238" t="str">
        <f>IFERROR(__xludf.DUMMYFUNCTION("GOOGLETRANSLATE(A56,""pt"",""zh-cn"")"),"商用电动谷物研磨机")</f>
        <v>商用电动谷物研磨机</v>
      </c>
      <c r="D56" s="193"/>
      <c r="E56" s="229"/>
      <c r="F56" s="229"/>
      <c r="G56" s="227"/>
      <c r="H56" s="193"/>
      <c r="I56" s="214" t="s">
        <v>2666</v>
      </c>
      <c r="J56" s="213" t="str">
        <f>IFERROR(__xludf.DUMMYFUNCTION("GOOGLETRANSLATE(I56,""pt"",""en"")"),"Game collections (Box with assorted games).")</f>
        <v>Game collections (Box with assorted games).</v>
      </c>
      <c r="K56" s="214" t="str">
        <f>IFERROR(__xludf.DUMMYFUNCTION("GOOGLETRANSLATE(I56,""pt"",""zh-cn"")"),"游戏合集（装有各种游戏的盒子）。")</f>
        <v>游戏合集（装有各种游戏的盒子）。</v>
      </c>
      <c r="L56" s="193"/>
      <c r="M56" s="191"/>
      <c r="N56" s="191"/>
      <c r="O56" s="191"/>
      <c r="P56" s="191"/>
      <c r="Q56" s="227"/>
      <c r="R56" s="227"/>
      <c r="S56" s="227"/>
      <c r="T56" s="191"/>
      <c r="U56" s="191"/>
      <c r="V56" s="191"/>
      <c r="W56" s="191"/>
      <c r="X56" s="193"/>
      <c r="Y56" s="227"/>
      <c r="Z56" s="227"/>
      <c r="AA56" s="227"/>
      <c r="AB56" s="193"/>
      <c r="AC56" s="227"/>
      <c r="AD56" s="227"/>
      <c r="AE56" s="227"/>
      <c r="AF56" s="193"/>
      <c r="AG56" s="193"/>
      <c r="AH56" s="191"/>
    </row>
    <row r="57">
      <c r="A57" s="236" t="s">
        <v>2667</v>
      </c>
      <c r="B57" s="237" t="str">
        <f>IFERROR(__xludf.DUMMYFUNCTION("GOOGLETRANSLATE(A57,""pt"",""en"")"),"Electric pressure cooker for commercial use.")</f>
        <v>Electric pressure cooker for commercial use.</v>
      </c>
      <c r="C57" s="238" t="str">
        <f>IFERROR(__xludf.DUMMYFUNCTION("GOOGLETRANSLATE(A57,""pt"",""zh-cn"")"),"商用电压力锅。")</f>
        <v>商用电压力锅。</v>
      </c>
      <c r="D57" s="193"/>
      <c r="E57" s="229"/>
      <c r="F57" s="229"/>
      <c r="G57" s="227"/>
      <c r="H57" s="193"/>
      <c r="I57" s="214" t="s">
        <v>2668</v>
      </c>
      <c r="J57" s="213" t="str">
        <f>IFERROR(__xludf.DUMMYFUNCTION("GOOGLETRANSLATE(I57,""pt"",""en"")"),"Beads, rings or pyramids with a central axis (Pieces that are stacked by threading them onto axles or beads to be threaded onto a string).")</f>
        <v>Beads, rings or pyramids with a central axis (Pieces that are stacked by threading them onto axles or beads to be threaded onto a string).</v>
      </c>
      <c r="K57" s="214" t="str">
        <f>IFERROR(__xludf.DUMMYFUNCTION("GOOGLETRANSLATE(I57,""pt"",""zh-cn"")"),"以中心轴为轴的珠子、环或金字塔（将部件串到轴上或将珠子串到绳子上）。")</f>
        <v>以中心轴为轴的珠子、环或金字塔（将部件串到轴上或将珠子串到绳子上）。</v>
      </c>
      <c r="L57" s="193"/>
      <c r="M57" s="191"/>
      <c r="N57" s="191"/>
      <c r="O57" s="191"/>
      <c r="P57" s="191"/>
      <c r="Q57" s="227"/>
      <c r="R57" s="227"/>
      <c r="S57" s="227"/>
      <c r="T57" s="191"/>
      <c r="U57" s="191"/>
      <c r="V57" s="191"/>
      <c r="W57" s="191"/>
      <c r="X57" s="193"/>
      <c r="Y57" s="227"/>
      <c r="Z57" s="227"/>
      <c r="AA57" s="227"/>
      <c r="AB57" s="193"/>
      <c r="AC57" s="227"/>
      <c r="AD57" s="227"/>
      <c r="AE57" s="227"/>
      <c r="AF57" s="193"/>
      <c r="AG57" s="193"/>
      <c r="AH57" s="191"/>
    </row>
    <row r="58">
      <c r="A58" s="236" t="s">
        <v>2669</v>
      </c>
      <c r="B58" s="237" t="str">
        <f>IFERROR(__xludf.DUMMYFUNCTION("GOOGLETRANSLATE(A58,""pt"",""en"")"),"Electric food processor for commercial use.")</f>
        <v>Electric food processor for commercial use.</v>
      </c>
      <c r="C58" s="238" t="str">
        <f>IFERROR(__xludf.DUMMYFUNCTION("GOOGLETRANSLATE(A58,""pt"",""zh-cn"")"),"商用电动食品加工机。")</f>
        <v>商用电动食品加工机。</v>
      </c>
      <c r="D58" s="193"/>
      <c r="E58" s="229"/>
      <c r="F58" s="229"/>
      <c r="G58" s="227"/>
      <c r="H58" s="193"/>
      <c r="I58" s="214" t="s">
        <v>2670</v>
      </c>
      <c r="J58" s="213" t="str">
        <f>IFERROR(__xludf.DUMMYFUNCTION("GOOGLETRANSLATE(I58,""pt"",""en"")"),"Jump ropes (Ropes with an ergonomic handle/grip at each end, which facilitates rope rotation. Those for professional use are not considered toys).")</f>
        <v>Jump ropes (Ropes with an ergonomic handle/grip at each end, which facilitates rope rotation. Those for professional use are not considered toys).</v>
      </c>
      <c r="K58" s="214" t="str">
        <f>IFERROR(__xludf.DUMMYFUNCTION("GOOGLETRANSLATE(I58,""pt"",""zh-cn"")"),"跳绳（两端带有符合人体工程学的手柄/握把的绳子，便于旋转。专业用途的跳绳不属于玩具）。")</f>
        <v>跳绳（两端带有符合人体工程学的手柄/握把的绳子，便于旋转。专业用途的跳绳不属于玩具）。</v>
      </c>
      <c r="L58" s="193"/>
      <c r="M58" s="191"/>
      <c r="N58" s="191"/>
      <c r="O58" s="191"/>
      <c r="P58" s="191"/>
      <c r="Q58" s="227"/>
      <c r="R58" s="227"/>
      <c r="S58" s="227"/>
      <c r="T58" s="191"/>
      <c r="U58" s="191"/>
      <c r="V58" s="191"/>
      <c r="W58" s="191"/>
      <c r="X58" s="193"/>
      <c r="Y58" s="227"/>
      <c r="Z58" s="227"/>
      <c r="AA58" s="227"/>
      <c r="AB58" s="193"/>
      <c r="AC58" s="227"/>
      <c r="AD58" s="227"/>
      <c r="AE58" s="227"/>
      <c r="AF58" s="193"/>
      <c r="AG58" s="193"/>
      <c r="AH58" s="191"/>
    </row>
    <row r="59">
      <c r="A59" s="236" t="s">
        <v>2671</v>
      </c>
      <c r="B59" s="237" t="str">
        <f>IFERROR(__xludf.DUMMYFUNCTION("GOOGLETRANSLATE(A59,""pt"",""en"")"),"Electric shredder/grater/chopper/peeler for commercial use.")</f>
        <v>Electric shredder/grater/chopper/peeler for commercial use.</v>
      </c>
      <c r="C59" s="238" t="str">
        <f>IFERROR(__xludf.DUMMYFUNCTION("GOOGLETRANSLATE(A59,""pt"",""zh-cn"")"),"商用电动切丝器/刨丝器/切碎器/削皮器。")</f>
        <v>商用电动切丝器/刨丝器/切碎器/削皮器。</v>
      </c>
      <c r="D59" s="193"/>
      <c r="E59" s="229"/>
      <c r="F59" s="229"/>
      <c r="G59" s="227"/>
      <c r="H59" s="193"/>
      <c r="I59" s="214" t="s">
        <v>2672</v>
      </c>
      <c r="J59" s="213" t="str">
        <f>IFERROR(__xludf.DUMMYFUNCTION("GOOGLETRANSLATE(I59,""pt"",""en"")"),"Cubes and stacking shapes (Pieces that, due to their different sizes, fit into each other and can also be stacked on top of each other).")</f>
        <v>Cubes and stacking shapes (Pieces that, due to their different sizes, fit into each other and can also be stacked on top of each other).</v>
      </c>
      <c r="K59" s="214" t="str">
        <f>IFERROR(__xludf.DUMMYFUNCTION("GOOGLETRANSLATE(I59,""pt"",""zh-cn"")"),"立方体和堆叠形状（由于尺寸不同，可以相互嵌合，也可以相互堆叠的部件）。")</f>
        <v>立方体和堆叠形状（由于尺寸不同，可以相互嵌合，也可以相互堆叠的部件）。</v>
      </c>
      <c r="L59" s="193"/>
      <c r="M59" s="191"/>
      <c r="N59" s="191"/>
      <c r="O59" s="191"/>
      <c r="P59" s="191"/>
      <c r="Q59" s="227"/>
      <c r="R59" s="227"/>
      <c r="S59" s="227"/>
      <c r="T59" s="191"/>
      <c r="U59" s="191"/>
      <c r="V59" s="191"/>
      <c r="W59" s="191"/>
      <c r="X59" s="193"/>
      <c r="Y59" s="227"/>
      <c r="Z59" s="227"/>
      <c r="AA59" s="227"/>
      <c r="AB59" s="193"/>
      <c r="AC59" s="227"/>
      <c r="AD59" s="227"/>
      <c r="AE59" s="227"/>
      <c r="AF59" s="193"/>
      <c r="AG59" s="193"/>
      <c r="AH59" s="191"/>
    </row>
    <row r="60">
      <c r="A60" s="239" t="s">
        <v>2673</v>
      </c>
      <c r="B60" s="240" t="str">
        <f>IFERROR(__xludf.DUMMYFUNCTION("GOOGLETRANSLATE(A60,""pt"",""en"")"),"Electric dough roller for commercial use.")</f>
        <v>Electric dough roller for commercial use.</v>
      </c>
      <c r="C60" s="241" t="str">
        <f>IFERROR(__xludf.DUMMYFUNCTION("GOOGLETRANSLATE(A60,""pt"",""zh-cn"")"),"商用电动揉面机。")</f>
        <v>商用电动揉面机。</v>
      </c>
      <c r="D60" s="193"/>
      <c r="E60" s="229"/>
      <c r="F60" s="229"/>
      <c r="G60" s="227"/>
      <c r="H60" s="193"/>
      <c r="I60" s="214" t="s">
        <v>2674</v>
      </c>
      <c r="J60" s="213" t="str">
        <f>IFERROR(__xludf.DUMMYFUNCTION("GOOGLETRANSLATE(I60,""pt"",""en"")"),"Playful food dispensers (Packaging, like those commonly used for sweets and candies, with a playful design that encourages play during and after consumption).")</f>
        <v>Playful food dispensers (Packaging, like those commonly used for sweets and candies, with a playful design that encourages play during and after consumption).</v>
      </c>
      <c r="K60" s="214" t="str">
        <f>IFERROR(__xludf.DUMMYFUNCTION("GOOGLETRANSLATE(I60,""pt"",""zh-cn"")"),"趣味食品分配器（包装，类似于通常用于糖果的包装，采用趣味设计，鼓励在食用期间和食用后进行游戏）。")</f>
        <v>趣味食品分配器（包装，类似于通常用于糖果的包装，采用趣味设计，鼓励在食用期间和食用后进行游戏）。</v>
      </c>
      <c r="L60" s="193"/>
      <c r="M60" s="191"/>
      <c r="N60" s="191"/>
      <c r="O60" s="191"/>
      <c r="P60" s="191"/>
      <c r="Q60" s="227"/>
      <c r="R60" s="227"/>
      <c r="S60" s="227"/>
      <c r="T60" s="191"/>
      <c r="U60" s="191"/>
      <c r="V60" s="191"/>
      <c r="W60" s="191"/>
      <c r="X60" s="193"/>
      <c r="Y60" s="227"/>
      <c r="Z60" s="227"/>
      <c r="AA60" s="227"/>
      <c r="AB60" s="193"/>
      <c r="AC60" s="227"/>
      <c r="AD60" s="227"/>
      <c r="AE60" s="227"/>
      <c r="AF60" s="193"/>
      <c r="AG60" s="193"/>
      <c r="AH60" s="191"/>
    </row>
    <row r="61">
      <c r="A61" s="242" t="s">
        <v>2675</v>
      </c>
      <c r="B61" s="243" t="str">
        <f>IFERROR(__xludf.DUMMYFUNCTION("GOOGLETRANSLATE(A61,""pt"",""en"")"),"Group 3: Appliances for skin or hair care / hair clippers")</f>
        <v>Group 3: Appliances for skin or hair care / hair clippers</v>
      </c>
      <c r="C61" s="244" t="str">
        <f>IFERROR(__xludf.DUMMYFUNCTION("GOOGLETRANSLATE(A61,""pt"",""zh-cn"")"),"第三组：皮肤或头发护理用具/理发器")</f>
        <v>第三组：皮肤或头发护理用具/理发器</v>
      </c>
      <c r="D61" s="193"/>
      <c r="E61" s="229"/>
      <c r="F61" s="229"/>
      <c r="G61" s="227"/>
      <c r="H61" s="193"/>
      <c r="I61" s="214" t="s">
        <v>2676</v>
      </c>
      <c r="J61" s="213" t="str">
        <f>IFERROR(__xludf.DUMMYFUNCTION("GOOGLETRANSLATE(I61,""pt"",""en"")"),"Toy packaging (Toy packaging that has a playful activity after its main use, such as those that transform into scenarios; puzzles; dolls, cars, animals, bags, as well as toys accompanied by sweets in promotions).")</f>
        <v>Toy packaging (Toy packaging that has a playful activity after its main use, such as those that transform into scenarios; puzzles; dolls, cars, animals, bags, as well as toys accompanied by sweets in promotions).</v>
      </c>
      <c r="K61" s="214" t="str">
        <f>IFERROR(__xludf.DUMMYFUNCTION("GOOGLETRANSLATE(I61,""pt"",""zh-cn"")"),"玩具包装（指在主要用途之外具有娱乐功能的玩具包装，例如可以变形为场景的包装；拼图；玩偶、汽车、动物、包包，以及促销活动中附赠糖果的玩具）。")</f>
        <v>玩具包装（指在主要用途之外具有娱乐功能的玩具包装，例如可以变形为场景的包装；拼图；玩偶、汽车、动物、包包，以及促销活动中附赠糖果的玩具）。</v>
      </c>
      <c r="L61" s="193"/>
      <c r="M61" s="191"/>
      <c r="N61" s="191"/>
      <c r="O61" s="191"/>
      <c r="P61" s="191"/>
      <c r="Q61" s="227"/>
      <c r="R61" s="227"/>
      <c r="S61" s="227"/>
      <c r="T61" s="191"/>
      <c r="U61" s="191"/>
      <c r="V61" s="191"/>
      <c r="W61" s="191"/>
      <c r="X61" s="193"/>
      <c r="Y61" s="227"/>
      <c r="Z61" s="227"/>
      <c r="AA61" s="227"/>
      <c r="AB61" s="193"/>
      <c r="AC61" s="227"/>
      <c r="AD61" s="227"/>
      <c r="AE61" s="227"/>
      <c r="AF61" s="193"/>
      <c r="AG61" s="193"/>
      <c r="AH61" s="191"/>
    </row>
    <row r="62">
      <c r="A62" s="245" t="s">
        <v>2677</v>
      </c>
      <c r="B62" s="246" t="str">
        <f>IFERROR(__xludf.DUMMYFUNCTION("GOOGLETRANSLATE(A62,""pt"",""en"")"),"Electric hair perm machine")</f>
        <v>Electric hair perm machine</v>
      </c>
      <c r="C62" s="247" t="str">
        <f>IFERROR(__xludf.DUMMYFUNCTION("GOOGLETRANSLATE(A62,""pt"",""zh-cn"")"),"电动烫发机")</f>
        <v>电动烫发机</v>
      </c>
      <c r="D62" s="193"/>
      <c r="E62" s="229"/>
      <c r="F62" s="229"/>
      <c r="G62" s="227"/>
      <c r="H62" s="193"/>
      <c r="I62" s="214" t="s">
        <v>2678</v>
      </c>
      <c r="J62" s="213" t="str">
        <f>IFERROR(__xludf.DUMMYFUNCTION("GOOGLETRANSLATE(I62,""pt"",""en"")"),"Packaging in general (Playful packaging with moving elements such as joints, wheels or sound modules, intended for children. Playful elements that can be detached from the main packaging and do not have the function of packaging the product are considered"&amp;" toys).")</f>
        <v>Packaging in general (Playful packaging with moving elements such as joints, wheels or sound modules, intended for children. Playful elements that can be detached from the main packaging and do not have the function of packaging the product are considered toys).</v>
      </c>
      <c r="K62" s="214" t="str">
        <f>IFERROR(__xludf.DUMMYFUNCTION("GOOGLETRANSLATE(I62,""pt"",""zh-cn"")"),"一般而言，包装是指带有活动部件（例如关节、轮子或发声模块）的儿童趣味包装。可从主包装上拆卸下来且不具有包装产品功能的趣味部件被视为玩具。")</f>
        <v>一般而言，包装是指带有活动部件（例如关节、轮子或发声模块）的儿童趣味包装。可从主包装上拆卸下来且不具有包装产品功能的趣味部件被视为玩具。</v>
      </c>
      <c r="L62" s="193"/>
      <c r="M62" s="191"/>
      <c r="N62" s="191"/>
      <c r="O62" s="191"/>
      <c r="P62" s="191"/>
      <c r="Q62" s="227"/>
      <c r="R62" s="227"/>
      <c r="S62" s="227"/>
      <c r="T62" s="191"/>
      <c r="U62" s="191"/>
      <c r="V62" s="191"/>
      <c r="W62" s="191"/>
      <c r="X62" s="193"/>
      <c r="Y62" s="227"/>
      <c r="Z62" s="227"/>
      <c r="AA62" s="227"/>
      <c r="AB62" s="193"/>
      <c r="AC62" s="227"/>
      <c r="AD62" s="227"/>
      <c r="AE62" s="227"/>
      <c r="AF62" s="193"/>
      <c r="AG62" s="193"/>
      <c r="AH62" s="191"/>
    </row>
    <row r="63">
      <c r="A63" s="245" t="s">
        <v>2679</v>
      </c>
      <c r="B63" s="246" t="str">
        <f>IFERROR(__xludf.DUMMYFUNCTION("GOOGLETRANSLATE(A63,""pt"",""en"")"),"Electric shaver")</f>
        <v>Electric shaver</v>
      </c>
      <c r="C63" s="247" t="str">
        <f>IFERROR(__xludf.DUMMYFUNCTION("GOOGLETRANSLATE(A63,""pt"",""zh-cn"")"),"电动剃须刀")</f>
        <v>电动剃须刀</v>
      </c>
      <c r="D63" s="193"/>
      <c r="E63" s="229"/>
      <c r="F63" s="229"/>
      <c r="G63" s="227"/>
      <c r="H63" s="193"/>
      <c r="I63" s="214" t="s">
        <v>2680</v>
      </c>
      <c r="J63" s="213" t="str">
        <f>IFERROR(__xludf.DUMMYFUNCTION("GOOGLETRANSLATE(I63,""pt"",""en"")"),"Toy household appliances (Realistically scaled-down household appliances with no real function).")</f>
        <v>Toy household appliances (Realistically scaled-down household appliances with no real function).</v>
      </c>
      <c r="K63" s="214" t="str">
        <f>IFERROR(__xludf.DUMMYFUNCTION("GOOGLETRANSLATE(I63,""pt"",""zh-cn"")"),"玩具家用电器（按比例缩小的家用电器，没有实际功能）。")</f>
        <v>玩具家用电器（按比例缩小的家用电器，没有实际功能）。</v>
      </c>
      <c r="L63" s="193"/>
      <c r="M63" s="191"/>
      <c r="N63" s="191"/>
      <c r="O63" s="191"/>
      <c r="P63" s="191"/>
      <c r="Q63" s="227"/>
      <c r="R63" s="227"/>
      <c r="S63" s="227"/>
      <c r="T63" s="191"/>
      <c r="U63" s="191"/>
      <c r="V63" s="191"/>
      <c r="W63" s="191"/>
      <c r="X63" s="193"/>
      <c r="Y63" s="227"/>
      <c r="Z63" s="227"/>
      <c r="AA63" s="227"/>
      <c r="AB63" s="193"/>
      <c r="AC63" s="227"/>
      <c r="AD63" s="227"/>
      <c r="AE63" s="227"/>
      <c r="AF63" s="193"/>
      <c r="AG63" s="193"/>
      <c r="AH63" s="191"/>
    </row>
    <row r="64">
      <c r="A64" s="245" t="s">
        <v>2681</v>
      </c>
      <c r="B64" s="246" t="str">
        <f>IFERROR(__xludf.DUMMYFUNCTION("GOOGLETRANSLATE(A64,""pt"",""en"")"),"Electric heat straightener (straightener / flat iron / curling iron)")</f>
        <v>Electric heat straightener (straightener / flat iron / curling iron)</v>
      </c>
      <c r="C64" s="247" t="str">
        <f>IFERROR(__xludf.DUMMYFUNCTION("GOOGLETRANSLATE(A64,""pt"",""zh-cn"")"),"电热直发器（直发器/卷发棒）")</f>
        <v>电热直发器（直发器/卷发棒）</v>
      </c>
      <c r="D64" s="193"/>
      <c r="E64" s="229"/>
      <c r="F64" s="229"/>
      <c r="G64" s="227"/>
      <c r="H64" s="193"/>
      <c r="I64" s="214" t="s">
        <v>2682</v>
      </c>
      <c r="J64" s="213" t="str">
        <f>IFERROR(__xludf.DUMMYFUNCTION("GOOGLETRANSLATE(I64,""pt"",""en"")"),"Toy sports equipment (Sports components for play that simulate those used professionally, with dimensions different from standard measurements).")</f>
        <v>Toy sports equipment (Sports components for play that simulate those used professionally, with dimensions different from standard measurements).</v>
      </c>
      <c r="K64" s="214" t="str">
        <f>IFERROR(__xludf.DUMMYFUNCTION("GOOGLETRANSLATE(I64,""pt"",""zh-cn"")"),"玩具运动器材（用于玩耍的运动器材，模拟专业运动器材，尺寸与标准尺寸不同）。")</f>
        <v>玩具运动器材（用于玩耍的运动器材，模拟专业运动器材，尺寸与标准尺寸不同）。</v>
      </c>
      <c r="L64" s="193"/>
      <c r="M64" s="191"/>
      <c r="N64" s="191"/>
      <c r="O64" s="191"/>
      <c r="P64" s="191"/>
      <c r="Q64" s="227"/>
      <c r="R64" s="227"/>
      <c r="S64" s="227"/>
      <c r="T64" s="191"/>
      <c r="U64" s="191"/>
      <c r="V64" s="191"/>
      <c r="W64" s="191"/>
      <c r="X64" s="193"/>
      <c r="Y64" s="227"/>
      <c r="Z64" s="227"/>
      <c r="AA64" s="227"/>
      <c r="AB64" s="193"/>
      <c r="AC64" s="227"/>
      <c r="AD64" s="227"/>
      <c r="AE64" s="227"/>
      <c r="AF64" s="193"/>
      <c r="AG64" s="193"/>
      <c r="AH64" s="191"/>
    </row>
    <row r="65">
      <c r="A65" s="245" t="s">
        <v>2683</v>
      </c>
      <c r="B65" s="246" t="str">
        <f>IFERROR(__xludf.DUMMYFUNCTION("GOOGLETRANSLATE(A65,""pt"",""en"")"),"Electric epilator")</f>
        <v>Electric epilator</v>
      </c>
      <c r="C65" s="247" t="str">
        <f>IFERROR(__xludf.DUMMYFUNCTION("GOOGLETRANSLATE(A65,""pt"",""zh-cn"")"),"电动脱毛器")</f>
        <v>电动脱毛器</v>
      </c>
      <c r="D65" s="193"/>
      <c r="E65" s="229"/>
      <c r="F65" s="229"/>
      <c r="G65" s="227"/>
      <c r="H65" s="193"/>
      <c r="I65" s="214" t="s">
        <v>2684</v>
      </c>
      <c r="J65" s="213" t="str">
        <f>IFERROR(__xludf.DUMMYFUNCTION("GOOGLETRANSLATE(I65,""pt"",""en"")"),"Playground-style equipment in reduced size (Toys similar to those used in playgrounds, inflatable or made of plastic, with reduced sizes for indoor residential environments, without permanent fixation, designed for children).")</f>
        <v>Playground-style equipment in reduced size (Toys similar to those used in playgrounds, inflatable or made of plastic, with reduced sizes for indoor residential environments, without permanent fixation, designed for children).</v>
      </c>
      <c r="K65" s="214" t="str">
        <f>IFERROR(__xludf.DUMMYFUNCTION("GOOGLETRANSLATE(I65,""pt"",""zh-cn"")"),"缩小版游乐场式设备（类似于游乐场使用的玩具，充气式或塑料材质，尺寸缩小，适用于室内住宅环境，无永久固定装置，专为儿童设计）。")</f>
        <v>缩小版游乐场式设备（类似于游乐场使用的玩具，充气式或塑料材质，尺寸缩小，适用于室内住宅环境，无永久固定装置，专为儿童设计）。</v>
      </c>
      <c r="L65" s="193"/>
      <c r="M65" s="191"/>
      <c r="N65" s="191"/>
      <c r="O65" s="191"/>
      <c r="P65" s="191"/>
      <c r="Q65" s="227"/>
      <c r="R65" s="227"/>
      <c r="S65" s="227"/>
      <c r="T65" s="191"/>
      <c r="U65" s="191"/>
      <c r="V65" s="191"/>
      <c r="W65" s="191"/>
      <c r="X65" s="193"/>
      <c r="Y65" s="227"/>
      <c r="Z65" s="227"/>
      <c r="AA65" s="227"/>
      <c r="AB65" s="193"/>
      <c r="AC65" s="227"/>
      <c r="AD65" s="227"/>
      <c r="AE65" s="227"/>
      <c r="AF65" s="193"/>
      <c r="AG65" s="193"/>
      <c r="AH65" s="191"/>
    </row>
    <row r="66">
      <c r="A66" s="245" t="s">
        <v>2685</v>
      </c>
      <c r="B66" s="246" t="str">
        <f>IFERROR(__xludf.DUMMYFUNCTION("GOOGLETRANSLATE(A66,""pt"",""en"")"),"Electric hair curling iron")</f>
        <v>Electric hair curling iron</v>
      </c>
      <c r="C66" s="247" t="str">
        <f>IFERROR(__xludf.DUMMYFUNCTION("GOOGLETRANSLATE(A66,""pt"",""zh-cn"")"),"电动卷发棒")</f>
        <v>电动卷发棒</v>
      </c>
      <c r="D66" s="193"/>
      <c r="E66" s="229"/>
      <c r="F66" s="229"/>
      <c r="G66" s="227"/>
      <c r="H66" s="193"/>
      <c r="I66" s="214" t="s">
        <v>2686</v>
      </c>
      <c r="J66" s="213" t="str">
        <f>IFERROR(__xludf.DUMMYFUNCTION("GOOGLETRANSLATE(I66,""pt"",""en"")"),"Cone caps (Flammable capsules used in some toys).")</f>
        <v>Cone caps (Flammable capsules used in some toys).</v>
      </c>
      <c r="K66" s="214" t="str">
        <f>IFERROR(__xludf.DUMMYFUNCTION("GOOGLETRANSLATE(I66,""pt"",""zh-cn"")"),"锥形帽（某些玩具中使用的易燃胶囊）。")</f>
        <v>锥形帽（某些玩具中使用的易燃胶囊）。</v>
      </c>
      <c r="L66" s="193"/>
      <c r="M66" s="191"/>
      <c r="N66" s="191"/>
      <c r="O66" s="191"/>
      <c r="P66" s="191"/>
      <c r="Q66" s="227"/>
      <c r="R66" s="227"/>
      <c r="S66" s="227"/>
      <c r="T66" s="191"/>
      <c r="U66" s="191"/>
      <c r="V66" s="191"/>
      <c r="W66" s="191"/>
      <c r="X66" s="193"/>
      <c r="Y66" s="227"/>
      <c r="Z66" s="227"/>
      <c r="AA66" s="227"/>
      <c r="AB66" s="193"/>
      <c r="AC66" s="227"/>
      <c r="AD66" s="227"/>
      <c r="AE66" s="227"/>
      <c r="AF66" s="193"/>
      <c r="AG66" s="193"/>
      <c r="AH66" s="191"/>
    </row>
    <row r="67">
      <c r="A67" s="245" t="s">
        <v>2687</v>
      </c>
      <c r="B67" s="246" t="str">
        <f>IFERROR(__xludf.DUMMYFUNCTION("GOOGLETRANSLATE(A67,""pt"",""en"")"),"Electric hair clipper")</f>
        <v>Electric hair clipper</v>
      </c>
      <c r="C67" s="247" t="str">
        <f>IFERROR(__xludf.DUMMYFUNCTION("GOOGLETRANSLATE(A67,""pt"",""zh-cn"")"),"电动理发器")</f>
        <v>电动理发器</v>
      </c>
      <c r="D67" s="193"/>
      <c r="E67" s="229"/>
      <c r="F67" s="229"/>
      <c r="G67" s="227"/>
      <c r="H67" s="193"/>
      <c r="I67" s="214" t="s">
        <v>2688</v>
      </c>
      <c r="J67" s="213" t="str">
        <f>IFERROR(__xludf.DUMMYFUNCTION("GOOGLETRANSLATE(I67,""pt"",""en"")"),"Toy bow, arrow and catapult (Toys whose unstretched bows do not exceed a distance of 1.20 m).")</f>
        <v>Toy bow, arrow and catapult (Toys whose unstretched bows do not exceed a distance of 1.20 m).</v>
      </c>
      <c r="K67" s="214" t="str">
        <f>IFERROR(__xludf.DUMMYFUNCTION("GOOGLETRANSLATE(I67,""pt"",""zh-cn"")"),"玩具弓、箭和弹弓（未拉开的弓的距离不超过 1.20 米的玩具）。")</f>
        <v>玩具弓、箭和弹弓（未拉开的弓的距离不超过 1.20 米的玩具）。</v>
      </c>
      <c r="L67" s="193"/>
      <c r="M67" s="191"/>
      <c r="N67" s="191"/>
      <c r="O67" s="191"/>
      <c r="P67" s="191"/>
      <c r="Q67" s="227"/>
      <c r="R67" s="227"/>
      <c r="S67" s="227"/>
      <c r="T67" s="191"/>
      <c r="U67" s="191"/>
      <c r="V67" s="191"/>
      <c r="W67" s="191"/>
      <c r="X67" s="193"/>
      <c r="Y67" s="227"/>
      <c r="Z67" s="227"/>
      <c r="AA67" s="227"/>
      <c r="AB67" s="193"/>
      <c r="AC67" s="227"/>
      <c r="AD67" s="227"/>
      <c r="AE67" s="227"/>
      <c r="AF67" s="193"/>
      <c r="AG67" s="193"/>
      <c r="AH67" s="191"/>
    </row>
    <row r="68">
      <c r="A68" s="245" t="s">
        <v>2689</v>
      </c>
      <c r="B68" s="246" t="str">
        <f>IFERROR(__xludf.DUMMYFUNCTION("GOOGLETRANSLATE(A68,""pt"",""en"")"),"Electric facial sauna")</f>
        <v>Electric facial sauna</v>
      </c>
      <c r="C68" s="247" t="str">
        <f>IFERROR(__xludf.DUMMYFUNCTION("GOOGLETRANSLATE(A68,""pt"",""zh-cn"")"),"电动面部桑拿")</f>
        <v>电动面部桑拿</v>
      </c>
      <c r="D68" s="193"/>
      <c r="E68" s="229"/>
      <c r="F68" s="229"/>
      <c r="G68" s="227"/>
      <c r="H68" s="193"/>
      <c r="I68" s="214" t="s">
        <v>2690</v>
      </c>
      <c r="J68" s="213" t="str">
        <f>IFERROR(__xludf.DUMMYFUNCTION("GOOGLETRANSLATE(I68,""pt"",""en"")"),"Hand or finger puppets or marionettes (Toys that move according to the manipulation of the hand or finger, intended for children to play with).")</f>
        <v>Hand or finger puppets or marionettes (Toys that move according to the manipulation of the hand or finger, intended for children to play with).</v>
      </c>
      <c r="K68" s="214" t="str">
        <f>IFERROR(__xludf.DUMMYFUNCTION("GOOGLETRANSLATE(I68,""pt"",""zh-cn"")"),"手偶或指偶（根据手或手指的操作而移动的玩具，供儿童玩耍）。")</f>
        <v>手偶或指偶（根据手或手指的操作而移动的玩具，供儿童玩耍）。</v>
      </c>
      <c r="L68" s="193"/>
      <c r="M68" s="191"/>
      <c r="N68" s="191"/>
      <c r="O68" s="191"/>
      <c r="P68" s="191"/>
      <c r="Q68" s="227"/>
      <c r="R68" s="227"/>
      <c r="S68" s="227"/>
      <c r="T68" s="191"/>
      <c r="U68" s="191"/>
      <c r="V68" s="191"/>
      <c r="W68" s="191"/>
      <c r="X68" s="193"/>
      <c r="Y68" s="227"/>
      <c r="Z68" s="227"/>
      <c r="AA68" s="227"/>
      <c r="AB68" s="193"/>
      <c r="AC68" s="227"/>
      <c r="AD68" s="227"/>
      <c r="AE68" s="227"/>
      <c r="AF68" s="193"/>
      <c r="AG68" s="193"/>
      <c r="AH68" s="191"/>
    </row>
    <row r="69">
      <c r="A69" s="245" t="s">
        <v>2691</v>
      </c>
      <c r="B69" s="246" t="str">
        <f>IFERROR(__xludf.DUMMYFUNCTION("GOOGLETRANSLATE(A69,""pt"",""en"")"),"Electric hair dryer")</f>
        <v>Electric hair dryer</v>
      </c>
      <c r="C69" s="247" t="str">
        <f>IFERROR(__xludf.DUMMYFUNCTION("GOOGLETRANSLATE(A69,""pt"",""zh-cn"")"),"电动吹风机")</f>
        <v>电动吹风机</v>
      </c>
      <c r="D69" s="193"/>
      <c r="E69" s="229"/>
      <c r="F69" s="229"/>
      <c r="G69" s="227"/>
      <c r="H69" s="193"/>
      <c r="I69" s="214" t="s">
        <v>2692</v>
      </c>
      <c r="J69" s="213" t="str">
        <f>IFERROR(__xludf.DUMMYFUNCTION("GOOGLETRANSLATE(I69,""pt"",""en"")"),"Toy wind instruments for parties, cheering, and celebrations (Hand-held wind instruments made for use in sporting events, parties, and/or celebrations).")</f>
        <v>Toy wind instruments for parties, cheering, and celebrations (Hand-held wind instruments made for use in sporting events, parties, and/or celebrations).</v>
      </c>
      <c r="K69" s="214" t="str">
        <f>IFERROR(__xludf.DUMMYFUNCTION("GOOGLETRANSLATE(I69,""pt"",""zh-cn"")"),"用于派对、欢呼和庆祝活动的玩具管乐器（手持式管乐器，专为体育赛事、派对和/或庆祝活动而设计）。")</f>
        <v>用于派对、欢呼和庆祝活动的玩具管乐器（手持式管乐器，专为体育赛事、派对和/或庆祝活动而设计）。</v>
      </c>
      <c r="L69" s="193"/>
      <c r="M69" s="191"/>
      <c r="N69" s="191"/>
      <c r="O69" s="191"/>
      <c r="P69" s="191"/>
      <c r="Q69" s="227"/>
      <c r="R69" s="227"/>
      <c r="S69" s="227"/>
      <c r="T69" s="191"/>
      <c r="U69" s="191"/>
      <c r="V69" s="191"/>
      <c r="W69" s="191"/>
      <c r="X69" s="193"/>
      <c r="Y69" s="227"/>
      <c r="Z69" s="227"/>
      <c r="AA69" s="227"/>
      <c r="AB69" s="193"/>
      <c r="AC69" s="227"/>
      <c r="AD69" s="227"/>
      <c r="AE69" s="227"/>
      <c r="AF69" s="193"/>
      <c r="AG69" s="193"/>
      <c r="AH69" s="191"/>
    </row>
    <row r="70">
      <c r="A70" s="248" t="s">
        <v>2693</v>
      </c>
      <c r="B70" s="249" t="str">
        <f>IFERROR(__xludf.DUMMYFUNCTION("GOOGLETRANSLATE(A70,""pt"",""en"")"),"Electric hand/nail dryer")</f>
        <v>Electric hand/nail dryer</v>
      </c>
      <c r="C70" s="250" t="str">
        <f>IFERROR(__xludf.DUMMYFUNCTION("GOOGLETRANSLATE(A70,""pt"",""zh-cn"")"),"电动干手器/干指甲器")</f>
        <v>电动干手器/干指甲器</v>
      </c>
      <c r="D70" s="193"/>
      <c r="E70" s="229"/>
      <c r="F70" s="229"/>
      <c r="G70" s="227"/>
      <c r="H70" s="193"/>
      <c r="I70" s="214" t="s">
        <v>2694</v>
      </c>
      <c r="J70" s="213" t="str">
        <f>IFERROR(__xludf.DUMMYFUNCTION("GOOGLETRANSLATE(I70,""pt"",""en"")"),"Electronic toy musical instruments (keyboards, guitars, electronic drums, and other electronic toy instruments that have no real function).")</f>
        <v>Electronic toy musical instruments (keyboards, guitars, electronic drums, and other electronic toy instruments that have no real function).</v>
      </c>
      <c r="K70" s="214" t="str">
        <f>IFERROR(__xludf.DUMMYFUNCTION("GOOGLETRANSLATE(I70,""pt"",""zh-cn"")"),"电子玩具乐器（键盘、吉他、电子鼓和其他没有实际功能的电子玩具乐器）。")</f>
        <v>电子玩具乐器（键盘、吉他、电子鼓和其他没有实际功能的电子玩具乐器）。</v>
      </c>
      <c r="L70" s="193"/>
      <c r="M70" s="191"/>
      <c r="N70" s="191"/>
      <c r="O70" s="191"/>
      <c r="P70" s="191"/>
      <c r="Q70" s="227"/>
      <c r="R70" s="227"/>
      <c r="S70" s="227"/>
      <c r="T70" s="191"/>
      <c r="U70" s="191"/>
      <c r="V70" s="191"/>
      <c r="W70" s="191"/>
      <c r="X70" s="193"/>
      <c r="Y70" s="227"/>
      <c r="Z70" s="227"/>
      <c r="AA70" s="227"/>
      <c r="AB70" s="193"/>
      <c r="AC70" s="227"/>
      <c r="AD70" s="227"/>
      <c r="AE70" s="227"/>
      <c r="AF70" s="193"/>
      <c r="AG70" s="193"/>
      <c r="AH70" s="191"/>
    </row>
    <row r="71">
      <c r="A71" s="251" t="s">
        <v>2695</v>
      </c>
      <c r="B71" s="252" t="str">
        <f>IFERROR(__xludf.DUMMYFUNCTION("GOOGLETRANSLATE(A71,""pt"",""en"")"),"Group 4: Self-service machines and devices")</f>
        <v>Group 4: Self-service machines and devices</v>
      </c>
      <c r="C71" s="253" t="str">
        <f>IFERROR(__xludf.DUMMYFUNCTION("GOOGLETRANSLATE(A71,""pt"",""zh-cn"")"),"第四组：自助服务机器和设备")</f>
        <v>第四组：自助服务机器和设备</v>
      </c>
      <c r="D71" s="193"/>
      <c r="E71" s="229"/>
      <c r="F71" s="229"/>
      <c r="G71" s="227"/>
      <c r="H71" s="193"/>
      <c r="I71" s="214" t="s">
        <v>2696</v>
      </c>
      <c r="J71" s="213" t="str">
        <f>IFERROR(__xludf.DUMMYFUNCTION("GOOGLETRANSLATE(I71,""pt"",""en"")"),"Toy manual musical instruments (Musical instruments that have no real function, cannot be tuned, and are not suitable for learning, with or without a playful aspect).")</f>
        <v>Toy manual musical instruments (Musical instruments that have no real function, cannot be tuned, and are not suitable for learning, with or without a playful aspect).</v>
      </c>
      <c r="K71" s="214" t="str">
        <f>IFERROR(__xludf.DUMMYFUNCTION("GOOGLETRANSLATE(I71,""pt"",""zh-cn"")"),"玩具手动乐器（没有实际功能、不能调音、不适合学习的乐器，无论是否具有娱乐性）。")</f>
        <v>玩具手动乐器（没有实际功能、不能调音、不适合学习的乐器，无论是否具有娱乐性）。</v>
      </c>
      <c r="L71" s="193"/>
      <c r="M71" s="191"/>
      <c r="N71" s="191"/>
      <c r="O71" s="191"/>
      <c r="P71" s="191"/>
      <c r="Q71" s="227"/>
      <c r="R71" s="227"/>
      <c r="S71" s="227"/>
      <c r="T71" s="191"/>
      <c r="U71" s="191"/>
      <c r="V71" s="191"/>
      <c r="W71" s="191"/>
      <c r="X71" s="193"/>
      <c r="Y71" s="227"/>
      <c r="Z71" s="227"/>
      <c r="AA71" s="227"/>
      <c r="AB71" s="193"/>
      <c r="AC71" s="227"/>
      <c r="AD71" s="227"/>
      <c r="AE71" s="227"/>
      <c r="AF71" s="193"/>
      <c r="AG71" s="193"/>
      <c r="AH71" s="191"/>
    </row>
    <row r="72">
      <c r="A72" s="254" t="s">
        <v>2697</v>
      </c>
      <c r="B72" s="255" t="str">
        <f>IFERROR(__xludf.DUMMYFUNCTION("GOOGLETRANSLATE(A72,""pt"",""en"")"),"Electric coin dispenser")</f>
        <v>Electric coin dispenser</v>
      </c>
      <c r="C72" s="256" t="str">
        <f>IFERROR(__xludf.DUMMYFUNCTION("GOOGLETRANSLATE(A72,""pt"",""zh-cn"")"),"电动投币器")</f>
        <v>电动投币器</v>
      </c>
      <c r="D72" s="193"/>
      <c r="E72" s="229"/>
      <c r="F72" s="229"/>
      <c r="G72" s="227"/>
      <c r="H72" s="193"/>
      <c r="I72" s="214" t="s">
        <v>2698</v>
      </c>
      <c r="J72" s="213" t="str">
        <f>IFERROR(__xludf.DUMMYFUNCTION("GOOGLETRANSLATE(I72,""pt"",""en"")"),"Yo-yo (Toy consisting of two discs, made of plastic or wood, joined in the center by an axle to which a string is attached).")</f>
        <v>Yo-yo (Toy consisting of two discs, made of plastic or wood, joined in the center by an axle to which a string is attached).</v>
      </c>
      <c r="K72" s="214" t="str">
        <f>IFERROR(__xludf.DUMMYFUNCTION("GOOGLETRANSLATE(I72,""pt"",""zh-cn"")"),"溜溜球（一种由两个塑料或木制圆盘组成的玩具，圆盘中心通过一根轴连接，轴上系着一根绳子）。")</f>
        <v>溜溜球（一种由两个塑料或木制圆盘组成的玩具，圆盘中心通过一根轴连接，轴上系着一根绳子）。</v>
      </c>
      <c r="L72" s="193"/>
      <c r="M72" s="191"/>
      <c r="N72" s="191"/>
      <c r="O72" s="191"/>
      <c r="P72" s="191"/>
      <c r="Q72" s="227"/>
      <c r="R72" s="227"/>
      <c r="S72" s="227"/>
      <c r="T72" s="191"/>
      <c r="U72" s="191"/>
      <c r="V72" s="191"/>
      <c r="W72" s="191"/>
      <c r="X72" s="193"/>
      <c r="Y72" s="227"/>
      <c r="Z72" s="227"/>
      <c r="AA72" s="227"/>
      <c r="AB72" s="193"/>
      <c r="AC72" s="227"/>
      <c r="AD72" s="227"/>
      <c r="AE72" s="227"/>
      <c r="AF72" s="193"/>
      <c r="AG72" s="193"/>
      <c r="AH72" s="191"/>
    </row>
    <row r="73">
      <c r="A73" s="254" t="s">
        <v>2699</v>
      </c>
      <c r="B73" s="255" t="str">
        <f>IFERROR(__xludf.DUMMYFUNCTION("GOOGLETRANSLATE(A73,""pt"",""en"")"),"Electric luggage rack / electric luggage locker")</f>
        <v>Electric luggage rack / electric luggage locker</v>
      </c>
      <c r="C73" s="256" t="str">
        <f>IFERROR(__xludf.DUMMYFUNCTION("GOOGLETRANSLATE(A73,""pt"",""zh-cn"")"),"电动行李架/电动行李柜")</f>
        <v>电动行李架/电动行李柜</v>
      </c>
      <c r="D73" s="193"/>
      <c r="E73" s="229"/>
      <c r="F73" s="229"/>
      <c r="G73" s="227"/>
      <c r="H73" s="193"/>
      <c r="I73" s="214" t="s">
        <v>2700</v>
      </c>
      <c r="J73" s="213" t="str">
        <f>IFERROR(__xludf.DUMMYFUNCTION("GOOGLETRANSLATE(I73,""pt"",""en"")"),"Games of chance (Games that use dice).")</f>
        <v>Games of chance (Games that use dice).</v>
      </c>
      <c r="K73" s="214" t="str">
        <f>IFERROR(__xludf.DUMMYFUNCTION("GOOGLETRANSLATE(I73,""pt"",""zh-cn"")"),"机会游戏（使用骰子的游戏）。")</f>
        <v>机会游戏（使用骰子的游戏）。</v>
      </c>
      <c r="L73" s="193"/>
      <c r="M73" s="191"/>
      <c r="N73" s="191"/>
      <c r="O73" s="191"/>
      <c r="P73" s="191"/>
      <c r="Q73" s="227"/>
      <c r="R73" s="227"/>
      <c r="S73" s="227"/>
      <c r="T73" s="191"/>
      <c r="U73" s="191"/>
      <c r="V73" s="191"/>
      <c r="W73" s="191"/>
      <c r="X73" s="193"/>
      <c r="Y73" s="227"/>
      <c r="Z73" s="227"/>
      <c r="AA73" s="227"/>
      <c r="AB73" s="193"/>
      <c r="AC73" s="227"/>
      <c r="AD73" s="227"/>
      <c r="AE73" s="227"/>
      <c r="AF73" s="193"/>
      <c r="AG73" s="193"/>
      <c r="AH73" s="191"/>
    </row>
    <row r="74">
      <c r="A74" s="254" t="s">
        <v>2701</v>
      </c>
      <c r="B74" s="255" t="str">
        <f>IFERROR(__xludf.DUMMYFUNCTION("GOOGLETRANSLATE(A74,""pt"",""en"")"),"Electric amusement machine / video game / pinball machine (arcade)")</f>
        <v>Electric amusement machine / video game / pinball machine (arcade)</v>
      </c>
      <c r="C74" s="256" t="str">
        <f>IFERROR(__xludf.DUMMYFUNCTION("GOOGLETRANSLATE(A74,""pt"",""zh-cn"")"),"电动游乐机/电子游戏机/弹球机（街机）")</f>
        <v>电动游乐机/电子游戏机/弹球机（街机）</v>
      </c>
      <c r="D74" s="193"/>
      <c r="E74" s="229"/>
      <c r="F74" s="229"/>
      <c r="G74" s="227"/>
      <c r="H74" s="193"/>
      <c r="I74" s="214" t="s">
        <v>2702</v>
      </c>
      <c r="J74" s="213" t="str">
        <f>IFERROR(__xludf.DUMMYFUNCTION("GOOGLETRANSLATE(I74,""pt"",""en"")"),"Billiards, Cricket, Mini Golf, Foosball, Table Football and similar games (Equipment intended for play, with or without a recreational purpose, for non-professional use).")</f>
        <v>Billiards, Cricket, Mini Golf, Foosball, Table Football and similar games (Equipment intended for play, with or without a recreational purpose, for non-professional use).</v>
      </c>
      <c r="K74" s="214" t="str">
        <f>IFERROR(__xludf.DUMMYFUNCTION("GOOGLETRANSLATE(I74,""pt"",""zh-cn"")"),"台球、板球、迷你高尔夫、桌上足球、桌上足球和类似游戏（供娱乐或非专业用途的娱乐性游戏设备）。")</f>
        <v>台球、板球、迷你高尔夫、桌上足球、桌上足球和类似游戏（供娱乐或非专业用途的娱乐性游戏设备）。</v>
      </c>
      <c r="L74" s="193"/>
      <c r="M74" s="191"/>
      <c r="N74" s="191"/>
      <c r="O74" s="191"/>
      <c r="P74" s="191"/>
      <c r="Q74" s="227"/>
      <c r="R74" s="227"/>
      <c r="S74" s="227"/>
      <c r="T74" s="191"/>
      <c r="U74" s="191"/>
      <c r="V74" s="191"/>
      <c r="W74" s="191"/>
      <c r="X74" s="193"/>
      <c r="Y74" s="227"/>
      <c r="Z74" s="227"/>
      <c r="AA74" s="227"/>
      <c r="AB74" s="193"/>
      <c r="AC74" s="227"/>
      <c r="AD74" s="227"/>
      <c r="AE74" s="227"/>
      <c r="AF74" s="193"/>
      <c r="AG74" s="193"/>
      <c r="AH74" s="191"/>
    </row>
    <row r="75">
      <c r="A75" s="254" t="s">
        <v>2703</v>
      </c>
      <c r="B75" s="255" t="str">
        <f>IFERROR(__xludf.DUMMYFUNCTION("GOOGLETRANSLATE(A75,""pt"",""en"")"),"Electric shoe shine machine")</f>
        <v>Electric shoe shine machine</v>
      </c>
      <c r="C75" s="256" t="str">
        <f>IFERROR(__xludf.DUMMYFUNCTION("GOOGLETRANSLATE(A75,""pt"",""zh-cn"")"),"电动擦鞋机")</f>
        <v>电动擦鞋机</v>
      </c>
      <c r="D75" s="193"/>
      <c r="E75" s="229"/>
      <c r="F75" s="229"/>
      <c r="G75" s="227"/>
      <c r="H75" s="193"/>
      <c r="I75" s="214" t="s">
        <v>2704</v>
      </c>
      <c r="J75" s="213" t="str">
        <f>IFERROR(__xludf.DUMMYFUNCTION("GOOGLETRANSLATE(I75,""pt"",""en"")"),"Card games / families (Card games, card games, family decks, trump decks intended for children).")</f>
        <v>Card games / families (Card games, card games, family decks, trump decks intended for children).</v>
      </c>
      <c r="K75" s="214" t="str">
        <f>IFERROR(__xludf.DUMMYFUNCTION("GOOGLETRANSLATE(I75,""pt"",""zh-cn"")"),"纸牌游戏/家庭（纸牌游戏、纸牌游戏、家庭牌组、儿童专用王牌牌组）。")</f>
        <v>纸牌游戏/家庭（纸牌游戏、纸牌游戏、家庭牌组、儿童专用王牌牌组）。</v>
      </c>
      <c r="L75" s="193"/>
      <c r="M75" s="191"/>
      <c r="N75" s="191"/>
      <c r="O75" s="191"/>
      <c r="P75" s="191"/>
      <c r="Q75" s="227"/>
      <c r="R75" s="227"/>
      <c r="S75" s="227"/>
      <c r="T75" s="191"/>
      <c r="U75" s="191"/>
      <c r="V75" s="191"/>
      <c r="W75" s="191"/>
      <c r="X75" s="193"/>
      <c r="Y75" s="227"/>
      <c r="Z75" s="227"/>
      <c r="AA75" s="227"/>
      <c r="AB75" s="193"/>
      <c r="AC75" s="227"/>
      <c r="AD75" s="227"/>
      <c r="AE75" s="227"/>
      <c r="AF75" s="193"/>
      <c r="AG75" s="193"/>
      <c r="AH75" s="191"/>
    </row>
    <row r="76">
      <c r="A76" s="254" t="s">
        <v>2705</v>
      </c>
      <c r="B76" s="255" t="str">
        <f>IFERROR(__xludf.DUMMYFUNCTION("GOOGLETRANSLATE(A76,""pt"",""en"")"),"electric billiard machine")</f>
        <v>electric billiard machine</v>
      </c>
      <c r="C76" s="256" t="str">
        <f>IFERROR(__xludf.DUMMYFUNCTION("GOOGLETRANSLATE(A76,""pt"",""zh-cn"")"),"电动台球机")</f>
        <v>电动台球机</v>
      </c>
      <c r="D76" s="193"/>
      <c r="E76" s="229"/>
      <c r="F76" s="229"/>
      <c r="G76" s="227"/>
      <c r="H76" s="193"/>
      <c r="I76" s="214" t="s">
        <v>2706</v>
      </c>
      <c r="J76" s="213" t="str">
        <f>IFERROR(__xludf.DUMMYFUNCTION("GOOGLETRANSLATE(I76,""pt"",""en"")"),"Drawing games (Toys with screens for drawing and erasing, toys for reproduction (pantograph) and imitation photocopying, games with writing boards).")</f>
        <v>Drawing games (Toys with screens for drawing and erasing, toys for reproduction (pantograph) and imitation photocopying, games with writing boards).</v>
      </c>
      <c r="K76" s="214" t="str">
        <f>IFERROR(__xludf.DUMMYFUNCTION("GOOGLETRANSLATE(I76,""pt"",""zh-cn"")"),"绘画游戏（带屏幕的绘画和擦除玩具、复制玩具（缩放仪）和模拟复印玩具、带书写板的游戏）。")</f>
        <v>绘画游戏（带屏幕的绘画和擦除玩具、复制玩具（缩放仪）和模拟复印玩具、带书写板的游戏）。</v>
      </c>
      <c r="L76" s="193"/>
      <c r="M76" s="191"/>
      <c r="N76" s="191"/>
      <c r="O76" s="191"/>
      <c r="P76" s="191"/>
      <c r="Q76" s="227"/>
      <c r="R76" s="227"/>
      <c r="S76" s="227"/>
      <c r="T76" s="191"/>
      <c r="U76" s="191"/>
      <c r="V76" s="191"/>
      <c r="W76" s="191"/>
      <c r="X76" s="193"/>
      <c r="Y76" s="227"/>
      <c r="Z76" s="227"/>
      <c r="AA76" s="227"/>
      <c r="AB76" s="193"/>
      <c r="AC76" s="227"/>
      <c r="AD76" s="227"/>
      <c r="AE76" s="227"/>
      <c r="AF76" s="193"/>
      <c r="AG76" s="193"/>
      <c r="AH76" s="191"/>
    </row>
    <row r="77">
      <c r="A77" s="254" t="s">
        <v>2707</v>
      </c>
      <c r="B77" s="255" t="str">
        <f>IFERROR(__xludf.DUMMYFUNCTION("GOOGLETRANSLATE(A77,""pt"",""en"")"),"Electric bowling machine")</f>
        <v>Electric bowling machine</v>
      </c>
      <c r="C77" s="256" t="str">
        <f>IFERROR(__xludf.DUMMYFUNCTION("GOOGLETRANSLATE(A77,""pt"",""zh-cn"")"),"电动保龄球机")</f>
        <v>电动保龄球机</v>
      </c>
      <c r="D77" s="193"/>
      <c r="E77" s="229"/>
      <c r="F77" s="229"/>
      <c r="G77" s="227"/>
      <c r="H77" s="193"/>
      <c r="I77" s="214" t="s">
        <v>2708</v>
      </c>
      <c r="J77" s="213" t="str">
        <f>IFERROR(__xludf.DUMMYFUNCTION("GOOGLETRANSLATE(I77,""pt"",""en"")"),"Plastic embedding games (Chemical toy intended for the preservation of certain products in a transparent material).")</f>
        <v>Plastic embedding games (Chemical toy intended for the preservation of certain products in a transparent material).</v>
      </c>
      <c r="K77" s="214" t="str">
        <f>IFERROR(__xludf.DUMMYFUNCTION("GOOGLETRANSLATE(I77,""pt"",""zh-cn"")"),"塑料嵌入游戏（一种用于将某些产品保存在透明材料中的化学玩具）。")</f>
        <v>塑料嵌入游戏（一种用于将某些产品保存在透明材料中的化学玩具）。</v>
      </c>
      <c r="L77" s="193"/>
      <c r="M77" s="191"/>
      <c r="N77" s="191"/>
      <c r="O77" s="191"/>
      <c r="P77" s="191"/>
      <c r="Q77" s="227"/>
      <c r="R77" s="227"/>
      <c r="S77" s="227"/>
      <c r="T77" s="191"/>
      <c r="U77" s="191"/>
      <c r="V77" s="191"/>
      <c r="W77" s="191"/>
      <c r="X77" s="193"/>
      <c r="Y77" s="227"/>
      <c r="Z77" s="227"/>
      <c r="AA77" s="227"/>
      <c r="AB77" s="193"/>
      <c r="AC77" s="227"/>
      <c r="AD77" s="227"/>
      <c r="AE77" s="227"/>
      <c r="AF77" s="193"/>
      <c r="AG77" s="193"/>
      <c r="AH77" s="191"/>
    </row>
    <row r="78">
      <c r="A78" s="254" t="s">
        <v>2709</v>
      </c>
      <c r="B78" s="255" t="str">
        <f>IFERROR(__xludf.DUMMYFUNCTION("GOOGLETRANSLATE(A78,""pt"",""en"")"),"Electric weighing machine")</f>
        <v>Electric weighing machine</v>
      </c>
      <c r="C78" s="256" t="str">
        <f>IFERROR(__xludf.DUMMYFUNCTION("GOOGLETRANSLATE(A78,""pt"",""zh-cn"")"),"电子秤")</f>
        <v>电子秤</v>
      </c>
      <c r="D78" s="193"/>
      <c r="E78" s="229"/>
      <c r="F78" s="229"/>
      <c r="G78" s="227"/>
      <c r="H78" s="193"/>
      <c r="I78" s="214" t="s">
        <v>2710</v>
      </c>
      <c r="J78" s="213" t="str">
        <f>IFERROR(__xludf.DUMMYFUNCTION("GOOGLETRANSLATE(I78,""pt"",""en"")"),"Vitreous enameling set (Chemical toy containing vitreous enameling materials, which after being added to water are applied to molds to obtain smooth surfaces, through a drying and heating process).")</f>
        <v>Vitreous enameling set (Chemical toy containing vitreous enameling materials, which after being added to water are applied to molds to obtain smooth surfaces, through a drying and heating process).</v>
      </c>
      <c r="K78" s="214" t="str">
        <f>IFERROR(__xludf.DUMMYFUNCTION("GOOGLETRANSLATE(I78,""pt"",""zh-cn"")"),"搪瓷套装（一种化学玩具，包含搪瓷材料，将其加入水中后，通过干燥和加热工艺涂覆在模具上，即可获得光滑的表面）。")</f>
        <v>搪瓷套装（一种化学玩具，包含搪瓷材料，将其加入水中后，通过干燥和加热工艺涂覆在模具上，即可获得光滑的表面）。</v>
      </c>
      <c r="L78" s="193"/>
      <c r="M78" s="191"/>
      <c r="N78" s="191"/>
      <c r="O78" s="191"/>
      <c r="P78" s="191"/>
      <c r="Q78" s="227"/>
      <c r="R78" s="227"/>
      <c r="S78" s="227"/>
      <c r="T78" s="191"/>
      <c r="U78" s="191"/>
      <c r="V78" s="191"/>
      <c r="W78" s="191"/>
      <c r="X78" s="193"/>
      <c r="Y78" s="227"/>
      <c r="Z78" s="227"/>
      <c r="AA78" s="227"/>
      <c r="AB78" s="193"/>
      <c r="AC78" s="227"/>
      <c r="AD78" s="227"/>
      <c r="AE78" s="227"/>
      <c r="AF78" s="193"/>
      <c r="AG78" s="193"/>
      <c r="AH78" s="191"/>
    </row>
    <row r="79">
      <c r="A79" s="254" t="s">
        <v>2711</v>
      </c>
      <c r="B79" s="255" t="str">
        <f>IFERROR(__xludf.DUMMYFUNCTION("GOOGLETRANSLATE(A79,""pt"",""en"")"),"Electric beverage preparation and vending machine")</f>
        <v>Electric beverage preparation and vending machine</v>
      </c>
      <c r="C79" s="256" t="str">
        <f>IFERROR(__xludf.DUMMYFUNCTION("GOOGLETRANSLATE(A79,""pt"",""zh-cn"")"),"电动饮料制备和自动售货机")</f>
        <v>电动饮料制备和自动售货机</v>
      </c>
      <c r="D79" s="193"/>
      <c r="E79" s="229"/>
      <c r="F79" s="229"/>
      <c r="G79" s="227"/>
      <c r="H79" s="193"/>
      <c r="I79" s="214" t="s">
        <v>2712</v>
      </c>
      <c r="J79" s="213" t="str">
        <f>IFERROR(__xludf.DUMMYFUNCTION("GOOGLETRANSLATE(I79,""pt"",""en"")"),"Strategy games for children (Chess, backgammon, Nine Men's Morris, Chinese chess, checkers, strategy games with clues, among others).")</f>
        <v>Strategy games for children (Chess, backgammon, Nine Men's Morris, Chinese chess, checkers, strategy games with clues, among others).</v>
      </c>
      <c r="K79" s="214" t="str">
        <f>IFERROR(__xludf.DUMMYFUNCTION("GOOGLETRANSLATE(I79,""pt"",""zh-cn"")"),"儿童策略游戏（国际象棋、西洋双陆棋、九子棋、象棋、跳棋、带线索的策略游戏等）。")</f>
        <v>儿童策略游戏（国际象棋、西洋双陆棋、九子棋、象棋、跳棋、带线索的策略游戏等）。</v>
      </c>
      <c r="L79" s="193"/>
      <c r="M79" s="191"/>
      <c r="N79" s="191"/>
      <c r="O79" s="191"/>
      <c r="P79" s="191"/>
      <c r="Q79" s="227"/>
      <c r="R79" s="227"/>
      <c r="S79" s="227"/>
      <c r="T79" s="191"/>
      <c r="U79" s="191"/>
      <c r="V79" s="191"/>
      <c r="W79" s="191"/>
      <c r="X79" s="193"/>
      <c r="Y79" s="227"/>
      <c r="Z79" s="227"/>
      <c r="AA79" s="227"/>
      <c r="AB79" s="193"/>
      <c r="AC79" s="227"/>
      <c r="AD79" s="227"/>
      <c r="AE79" s="227"/>
      <c r="AF79" s="193"/>
      <c r="AG79" s="193"/>
      <c r="AH79" s="191"/>
    </row>
    <row r="80">
      <c r="A80" s="254" t="s">
        <v>2713</v>
      </c>
      <c r="B80" s="255" t="str">
        <f>IFERROR(__xludf.DUMMYFUNCTION("GOOGLETRANSLATE(A80,""pt"",""en"")"),"Electric card recharge machine")</f>
        <v>Electric card recharge machine</v>
      </c>
      <c r="C80" s="256" t="str">
        <f>IFERROR(__xludf.DUMMYFUNCTION("GOOGLETRANSLATE(A80,""pt"",""zh-cn"")"),"电动汽车充电机")</f>
        <v>电动汽车充电机</v>
      </c>
      <c r="D80" s="193"/>
      <c r="E80" s="229"/>
      <c r="F80" s="229"/>
      <c r="G80" s="227"/>
      <c r="H80" s="193"/>
      <c r="I80" s="214" t="s">
        <v>2714</v>
      </c>
      <c r="J80" s="213" t="str">
        <f>IFERROR(__xludf.DUMMYFUNCTION("GOOGLETRANSLATE(I80,""pt"",""en"")"),"Games of skill and dexterity (Games with pieces to balance that require quick reflexes).")</f>
        <v>Games of skill and dexterity (Games with pieces to balance that require quick reflexes).</v>
      </c>
      <c r="K80" s="214" t="str">
        <f>IFERROR(__xludf.DUMMYFUNCTION("GOOGLETRANSLATE(I80,""pt"",""zh-cn"")"),"技巧和灵巧性游戏（需要快速反应的平衡游戏）。")</f>
        <v>技巧和灵巧性游戏（需要快速反应的平衡游戏）。</v>
      </c>
      <c r="L80" s="193"/>
      <c r="M80" s="191"/>
      <c r="N80" s="191"/>
      <c r="O80" s="191"/>
      <c r="P80" s="191"/>
      <c r="Q80" s="227"/>
      <c r="R80" s="227"/>
      <c r="S80" s="227"/>
      <c r="T80" s="191"/>
      <c r="U80" s="191"/>
      <c r="V80" s="191"/>
      <c r="W80" s="191"/>
      <c r="X80" s="193"/>
      <c r="Y80" s="227"/>
      <c r="Z80" s="227"/>
      <c r="AA80" s="227"/>
      <c r="AB80" s="193"/>
      <c r="AC80" s="227"/>
      <c r="AD80" s="227"/>
      <c r="AE80" s="227"/>
      <c r="AF80" s="193"/>
      <c r="AG80" s="193"/>
      <c r="AH80" s="191"/>
    </row>
    <row r="81">
      <c r="A81" s="254" t="s">
        <v>2715</v>
      </c>
      <c r="B81" s="255" t="str">
        <f>IFERROR(__xludf.DUMMYFUNCTION("GOOGLETRANSLATE(A81,""pt"",""en"")"),"Electric vending machine for cigarettes")</f>
        <v>Electric vending machine for cigarettes</v>
      </c>
      <c r="C81" s="256" t="str">
        <f>IFERROR(__xludf.DUMMYFUNCTION("GOOGLETRANSLATE(A81,""pt"",""zh-cn"")"),"香烟自动售货机")</f>
        <v>香烟自动售货机</v>
      </c>
      <c r="D81" s="193"/>
      <c r="E81" s="229"/>
      <c r="F81" s="229"/>
      <c r="G81" s="227"/>
      <c r="H81" s="193"/>
      <c r="I81" s="214" t="s">
        <v>2716</v>
      </c>
      <c r="J81" s="213" t="str">
        <f>IFERROR(__xludf.DUMMYFUNCTION("GOOGLETRANSLATE(I81,""pt"",""en"")"),"Plaster molding set (Chemical toy containing a mixture of water, plaster, and molds, where this mixture is poured and solidified to prepare engravings and figures).")</f>
        <v>Plaster molding set (Chemical toy containing a mixture of water, plaster, and molds, where this mixture is poured and solidified to prepare engravings and figures).</v>
      </c>
      <c r="K81" s="214" t="str">
        <f>IFERROR(__xludf.DUMMYFUNCTION("GOOGLETRANSLATE(I81,""pt"",""zh-cn"")"),"石膏模具套装（一种化学玩具，包含水、石膏和模具的混合物，将这种混合物倒入模具中使其凝固，从而制作雕刻品和人物）。")</f>
        <v>石膏模具套装（一种化学玩具，包含水、石膏和模具的混合物，将这种混合物倒入模具中使其凝固，从而制作雕刻品和人物）。</v>
      </c>
      <c r="L81" s="193"/>
      <c r="M81" s="191"/>
      <c r="N81" s="191"/>
      <c r="O81" s="191"/>
      <c r="P81" s="191"/>
      <c r="Q81" s="227"/>
      <c r="R81" s="227"/>
      <c r="S81" s="227"/>
      <c r="T81" s="191"/>
      <c r="U81" s="191"/>
      <c r="V81" s="191"/>
      <c r="W81" s="191"/>
      <c r="X81" s="193"/>
      <c r="Y81" s="227"/>
      <c r="Z81" s="227"/>
      <c r="AA81" s="227"/>
      <c r="AB81" s="193"/>
      <c r="AC81" s="227"/>
      <c r="AD81" s="227"/>
      <c r="AE81" s="227"/>
      <c r="AF81" s="193"/>
      <c r="AG81" s="193"/>
      <c r="AH81" s="191"/>
    </row>
    <row r="82">
      <c r="A82" s="254" t="s">
        <v>2717</v>
      </c>
      <c r="B82" s="255" t="str">
        <f>IFERROR(__xludf.DUMMYFUNCTION("GOOGLETRANSLATE(A82,""pt"",""en"")"),"Electric vending machine for selling packaged food (snacks) and drinks (soft drinks, juices, etc.)")</f>
        <v>Electric vending machine for selling packaged food (snacks) and drinks (soft drinks, juices, etc.)</v>
      </c>
      <c r="C82" s="256" t="str">
        <f>IFERROR(__xludf.DUMMYFUNCTION("GOOGLETRANSLATE(A82,""pt"",""zh-cn"")"),"用于出售包装食品（零食）和饮料（软饮料、果汁等）的电动自动售货机")</f>
        <v>用于出售包装食品（零食）和饮料（软饮料、果汁等）的电动自动售货机</v>
      </c>
      <c r="D82" s="193"/>
      <c r="E82" s="229"/>
      <c r="F82" s="229"/>
      <c r="G82" s="227"/>
      <c r="H82" s="193"/>
      <c r="I82" s="214" t="s">
        <v>2718</v>
      </c>
      <c r="J82" s="213" t="str">
        <f>IFERROR(__xludf.DUMMYFUNCTION("GOOGLETRANSLATE(I82,""pt"",""en"")"),"Modeling kit made of plasticized PVC, oven-hardening (Chemical toy intended for creating all types of figures, brooches, accessories, among others, through a solidification process inside an oven at a temperature of 100ºC to 130ºC).")</f>
        <v>Modeling kit made of plasticized PVC, oven-hardening (Chemical toy intended for creating all types of figures, brooches, accessories, among others, through a solidification process inside an oven at a temperature of 100ºC to 130ºC).</v>
      </c>
      <c r="K82" s="214" t="str">
        <f>IFERROR(__xludf.DUMMYFUNCTION("GOOGLETRANSLATE(I82,""pt"",""zh-cn"")"),"由塑化PVC制成的模型套件，可烘烤硬化（化学玩具，旨在通过在100ºC至130ºC的烤箱温度下进行固化过程，制作各种人物、胸针、配件等）。")</f>
        <v>由塑化PVC制成的模型套件，可烘烤硬化（化学玩具，旨在通过在100ºC至130ºC的烤箱温度下进行固化过程，制作各种人物、胸针、配件等）。</v>
      </c>
      <c r="L82" s="193"/>
      <c r="M82" s="191"/>
      <c r="N82" s="191"/>
      <c r="O82" s="191"/>
      <c r="P82" s="191"/>
      <c r="Q82" s="227"/>
      <c r="R82" s="227"/>
      <c r="S82" s="227"/>
      <c r="T82" s="191"/>
      <c r="U82" s="191"/>
      <c r="V82" s="191"/>
      <c r="W82" s="191"/>
      <c r="X82" s="193"/>
      <c r="Y82" s="227"/>
      <c r="Z82" s="227"/>
      <c r="AA82" s="227"/>
      <c r="AB82" s="193"/>
      <c r="AC82" s="227"/>
      <c r="AD82" s="227"/>
      <c r="AE82" s="227"/>
      <c r="AF82" s="193"/>
      <c r="AG82" s="193"/>
      <c r="AH82" s="191"/>
    </row>
    <row r="83">
      <c r="A83" s="254" t="s">
        <v>2719</v>
      </c>
      <c r="B83" s="255" t="str">
        <f>IFERROR(__xludf.DUMMYFUNCTION("GOOGLETRANSLATE(A83,""pt"",""en"")"),"Electric vending machine for newspapers and/or audio and video products.")</f>
        <v>Electric vending machine for newspapers and/or audio and video products.</v>
      </c>
      <c r="C83" s="256" t="str">
        <f>IFERROR(__xludf.DUMMYFUNCTION("GOOGLETRANSLATE(A83,""pt"",""zh-cn"")"),"用于售卖报纸和/或音像产品的电动自动售货机。")</f>
        <v>用于售卖报纸和/或音像产品的电动自动售货机。</v>
      </c>
      <c r="D83" s="193"/>
      <c r="E83" s="229"/>
      <c r="F83" s="229"/>
      <c r="G83" s="227"/>
      <c r="H83" s="193"/>
      <c r="I83" s="214" t="s">
        <v>2720</v>
      </c>
      <c r="J83" s="213" t="str">
        <f>IFERROR(__xludf.DUMMYFUNCTION("GOOGLETRANSLATE(I83,""pt"",""en"")"),"Plastic molding set (Chemical toy intended for creating decorative items or models by melting a polymer, through a heating process in an oven up to 180ºC).")</f>
        <v>Plastic molding set (Chemical toy intended for creating decorative items or models by melting a polymer, through a heating process in an oven up to 180ºC).</v>
      </c>
      <c r="K83" s="214" t="str">
        <f>IFERROR(__xludf.DUMMYFUNCTION("GOOGLETRANSLATE(I83,""pt"",""zh-cn"")"),"塑料成型套装（一种化学玩具，用于通过在烤箱中加热至 180ºC 来熔化聚合物，从而制作装饰品或模型）。")</f>
        <v>塑料成型套装（一种化学玩具，用于通过在烤箱中加热至 180ºC 来熔化聚合物，从而制作装饰品或模型）。</v>
      </c>
      <c r="L83" s="193"/>
      <c r="M83" s="191"/>
      <c r="N83" s="191"/>
      <c r="O83" s="191"/>
      <c r="P83" s="191"/>
      <c r="Q83" s="227"/>
      <c r="R83" s="227"/>
      <c r="S83" s="227"/>
      <c r="T83" s="191"/>
      <c r="U83" s="191"/>
      <c r="V83" s="191"/>
      <c r="W83" s="191"/>
      <c r="X83" s="193"/>
      <c r="Y83" s="227"/>
      <c r="Z83" s="227"/>
      <c r="AA83" s="227"/>
      <c r="AB83" s="193"/>
      <c r="AC83" s="227"/>
      <c r="AD83" s="227"/>
      <c r="AE83" s="227"/>
      <c r="AF83" s="193"/>
      <c r="AG83" s="193"/>
      <c r="AH83" s="191"/>
    </row>
    <row r="84">
      <c r="A84" s="254" t="s">
        <v>2721</v>
      </c>
      <c r="B84" s="255" t="str">
        <f>IFERROR(__xludf.DUMMYFUNCTION("GOOGLETRANSLATE(A84,""pt"",""en"")"),"Electric vending machine for ice cream / popsicles / ice.")</f>
        <v>Electric vending machine for ice cream / popsicles / ice.</v>
      </c>
      <c r="C84" s="256" t="str">
        <f>IFERROR(__xludf.DUMMYFUNCTION("GOOGLETRANSLATE(A84,""pt"",""zh-cn"")"),"电动冰淇淋/冰棒/冰块自动售货机。")</f>
        <v>电动冰淇淋/冰棒/冰块自动售货机。</v>
      </c>
      <c r="D84" s="193"/>
      <c r="E84" s="229"/>
      <c r="F84" s="229"/>
      <c r="G84" s="227"/>
      <c r="H84" s="193"/>
      <c r="I84" s="214" t="s">
        <v>2722</v>
      </c>
      <c r="J84" s="213" t="str">
        <f>IFERROR(__xludf.DUMMYFUNCTION("GOOGLETRANSLATE(I84,""pt"",""en"")"),"Number and letter games (Word, number, and letter discovery games).")</f>
        <v>Number and letter games (Word, number, and letter discovery games).</v>
      </c>
      <c r="K84" s="214" t="str">
        <f>IFERROR(__xludf.DUMMYFUNCTION("GOOGLETRANSLATE(I84,""pt"",""zh-cn"")"),"数字和字母游戏（单词、数字和字母发现游戏）。")</f>
        <v>数字和字母游戏（单词、数字和字母发现游戏）。</v>
      </c>
      <c r="L84" s="193"/>
      <c r="M84" s="191"/>
      <c r="N84" s="191"/>
      <c r="O84" s="191"/>
      <c r="P84" s="191"/>
      <c r="Q84" s="227"/>
      <c r="R84" s="227"/>
      <c r="S84" s="227"/>
      <c r="T84" s="191"/>
      <c r="U84" s="191"/>
      <c r="V84" s="191"/>
      <c r="W84" s="191"/>
      <c r="X84" s="193"/>
      <c r="Y84" s="227"/>
      <c r="Z84" s="227"/>
      <c r="AA84" s="227"/>
      <c r="AB84" s="193"/>
      <c r="AC84" s="227"/>
      <c r="AD84" s="227"/>
      <c r="AE84" s="227"/>
      <c r="AF84" s="193"/>
      <c r="AG84" s="193"/>
      <c r="AH84" s="191"/>
    </row>
    <row r="85">
      <c r="A85" s="257" t="s">
        <v>2723</v>
      </c>
      <c r="B85" s="258" t="str">
        <f>IFERROR(__xludf.DUMMYFUNCTION("GOOGLETRANSLATE(A85,""pt"",""en"")"),"Electric driving simulator")</f>
        <v>Electric driving simulator</v>
      </c>
      <c r="C85" s="259" t="str">
        <f>IFERROR(__xludf.DUMMYFUNCTION("GOOGLETRANSLATE(A85,""pt"",""zh-cn"")"),"电动驾驶模拟器")</f>
        <v>电动驾驶模拟器</v>
      </c>
      <c r="D85" s="193"/>
      <c r="E85" s="229"/>
      <c r="F85" s="229"/>
      <c r="G85" s="227"/>
      <c r="H85" s="193"/>
      <c r="I85" s="214" t="s">
        <v>2724</v>
      </c>
      <c r="J85" s="213" t="str">
        <f>IFERROR(__xludf.DUMMYFUNCTION("GOOGLETRANSLATE(I85,""pt"",""en"")"),"Path games (Board games with a path to be followed using an indicator or by rolling dice).")</f>
        <v>Path games (Board games with a path to be followed using an indicator or by rolling dice).</v>
      </c>
      <c r="K85" s="214" t="str">
        <f>IFERROR(__xludf.DUMMYFUNCTION("GOOGLETRANSLATE(I85,""pt"",""zh-cn"")"),"路径游戏（棋盘游戏，玩家需要通过指示器或掷骰子来沿着既定路径前进）。")</f>
        <v>路径游戏（棋盘游戏，玩家需要通过指示器或掷骰子来沿着既定路径前进）。</v>
      </c>
      <c r="L85" s="193"/>
      <c r="M85" s="191"/>
      <c r="N85" s="191"/>
      <c r="O85" s="191"/>
      <c r="P85" s="191"/>
      <c r="Q85" s="227"/>
      <c r="R85" s="227"/>
      <c r="S85" s="227"/>
      <c r="T85" s="191"/>
      <c r="U85" s="191"/>
      <c r="V85" s="191"/>
      <c r="W85" s="191"/>
      <c r="X85" s="193"/>
      <c r="Y85" s="227"/>
      <c r="Z85" s="227"/>
      <c r="AA85" s="227"/>
      <c r="AB85" s="193"/>
      <c r="AC85" s="227"/>
      <c r="AD85" s="227"/>
      <c r="AE85" s="227"/>
      <c r="AF85" s="193"/>
      <c r="AG85" s="193"/>
      <c r="AH85" s="191"/>
    </row>
    <row r="86">
      <c r="A86" s="260" t="s">
        <v>2725</v>
      </c>
      <c r="B86" s="261" t="str">
        <f>IFERROR(__xludf.DUMMYFUNCTION("GOOGLETRANSLATE(A86,""pt"",""en"")"),"Group 5: Vaporizers")</f>
        <v>Group 5: Vaporizers</v>
      </c>
      <c r="C86" s="262" t="str">
        <f>IFERROR(__xludf.DUMMYFUNCTION("GOOGLETRANSLATE(A86,""pt"",""zh-cn"")"),"第五组：雾化器")</f>
        <v>第五组：雾化器</v>
      </c>
      <c r="D86" s="193"/>
      <c r="E86" s="229"/>
      <c r="F86" s="229"/>
      <c r="G86" s="227"/>
      <c r="H86" s="193"/>
      <c r="I86" s="214" t="s">
        <v>2726</v>
      </c>
      <c r="J86" s="213" t="str">
        <f>IFERROR(__xludf.DUMMYFUNCTION("GOOGLETRANSLATE(I86,""pt"",""en"")"),"Photo developing kit (Chemical toy containing substances for processing black and white photographic film and prints, intended to teach the basic principles of photography).")</f>
        <v>Photo developing kit (Chemical toy containing substances for processing black and white photographic film and prints, intended to teach the basic principles of photography).</v>
      </c>
      <c r="K86" s="214" t="str">
        <f>IFERROR(__xludf.DUMMYFUNCTION("GOOGLETRANSLATE(I86,""pt"",""zh-cn"")"),"照片冲洗套装（一种化学玩具，内含用于冲洗黑白胶片和照片的物质，旨在教授摄影的基本原理）。")</f>
        <v>照片冲洗套装（一种化学玩具，内含用于冲洗黑白胶片和照片的物质，旨在教授摄影的基本原理）。</v>
      </c>
      <c r="L86" s="193"/>
      <c r="M86" s="191"/>
      <c r="N86" s="191"/>
      <c r="O86" s="191"/>
      <c r="P86" s="191"/>
      <c r="Q86" s="227"/>
      <c r="R86" s="227"/>
      <c r="S86" s="227"/>
      <c r="T86" s="191"/>
      <c r="U86" s="191"/>
      <c r="V86" s="191"/>
      <c r="W86" s="191"/>
      <c r="X86" s="193"/>
      <c r="Y86" s="227"/>
      <c r="Z86" s="227"/>
      <c r="AA86" s="227"/>
      <c r="AB86" s="193"/>
      <c r="AC86" s="227"/>
      <c r="AD86" s="227"/>
      <c r="AE86" s="227"/>
      <c r="AF86" s="193"/>
      <c r="AG86" s="193"/>
      <c r="AH86" s="191"/>
    </row>
    <row r="87">
      <c r="A87" s="263" t="s">
        <v>2727</v>
      </c>
      <c r="B87" s="264" t="str">
        <f>IFERROR(__xludf.DUMMYFUNCTION("GOOGLETRANSLATE(A87,""pt"",""en"")"),"Electric aroma diffuser")</f>
        <v>Electric aroma diffuser</v>
      </c>
      <c r="C87" s="265" t="str">
        <f>IFERROR(__xludf.DUMMYFUNCTION("GOOGLETRANSLATE(A87,""pt"",""zh-cn"")"),"电动香薰机")</f>
        <v>电动香薰机</v>
      </c>
      <c r="D87" s="193"/>
      <c r="E87" s="229"/>
      <c r="F87" s="229"/>
      <c r="G87" s="227"/>
      <c r="H87" s="193"/>
      <c r="I87" s="214" t="s">
        <v>2728</v>
      </c>
      <c r="J87" s="213" t="str">
        <f>IFERROR(__xludf.DUMMYFUNCTION("GOOGLETRANSLATE(I87,""pt"",""en"")"),"Simulation, achievement, and role-playing games (Simulation, achievement, and acquisition games where participants must, by analyzing various situations and using personal strategies, make decisions to conquer territories, acquire goods or real estate).")</f>
        <v>Simulation, achievement, and role-playing games (Simulation, achievement, and acquisition games where participants must, by analyzing various situations and using personal strategies, make decisions to conquer territories, acquire goods or real estate).</v>
      </c>
      <c r="K87" s="214" t="str">
        <f>IFERROR(__xludf.DUMMYFUNCTION("GOOGLETRANSLATE(I87,""pt"",""zh-cn"")"),"模拟、成就和角色扮演游戏（模拟、成就和获取游戏，参与者必须通过分析各种情况并运用个人策略来做出决策，以征服领土、获取商品或房地产）。")</f>
        <v>模拟、成就和角色扮演游戏（模拟、成就和获取游戏，参与者必须通过分析各种情况并运用个人策略来做出决策，以征服领土、获取商品或房地产）。</v>
      </c>
      <c r="L87" s="193"/>
      <c r="M87" s="191"/>
      <c r="N87" s="191"/>
      <c r="O87" s="191"/>
      <c r="P87" s="191"/>
      <c r="Q87" s="227"/>
      <c r="R87" s="227"/>
      <c r="S87" s="227"/>
      <c r="T87" s="191"/>
      <c r="U87" s="191"/>
      <c r="V87" s="191"/>
      <c r="W87" s="191"/>
      <c r="X87" s="193"/>
      <c r="Y87" s="227"/>
      <c r="Z87" s="227"/>
      <c r="AA87" s="227"/>
      <c r="AB87" s="193"/>
      <c r="AC87" s="227"/>
      <c r="AD87" s="227"/>
      <c r="AE87" s="227"/>
      <c r="AF87" s="193"/>
      <c r="AG87" s="193"/>
      <c r="AH87" s="191"/>
    </row>
    <row r="88">
      <c r="A88" s="266" t="s">
        <v>2729</v>
      </c>
      <c r="B88" s="267" t="str">
        <f>IFERROR(__xludf.DUMMYFUNCTION("GOOGLETRANSLATE(A88,""pt"",""en"")"),"Electric insect repellent (Vaporizer)")</f>
        <v>Electric insect repellent (Vaporizer)</v>
      </c>
      <c r="C88" s="268" t="str">
        <f>IFERROR(__xludf.DUMMYFUNCTION("GOOGLETRANSLATE(A88,""pt"",""zh-cn"")"),"电蚊香（蒸发式）")</f>
        <v>电蚊香（蒸发式）</v>
      </c>
      <c r="D88" s="193"/>
      <c r="E88" s="229"/>
      <c r="F88" s="229"/>
      <c r="G88" s="227"/>
      <c r="H88" s="193"/>
      <c r="I88" s="214" t="s">
        <v>2730</v>
      </c>
      <c r="J88" s="213" t="str">
        <f>IFERROR(__xludf.DUMMYFUNCTION("GOOGLETRANSLATE(I88,""pt"",""en"")"),"Board games (Games for multiple participants, with pre-set rules).")</f>
        <v>Board games (Games for multiple participants, with pre-set rules).</v>
      </c>
      <c r="K88" s="214" t="str">
        <f>IFERROR(__xludf.DUMMYFUNCTION("GOOGLETRANSLATE(I88,""pt"",""zh-cn"")"),"棋盘游戏（多人参与的游戏，有预设规则）。")</f>
        <v>棋盘游戏（多人参与的游戏，有预设规则）。</v>
      </c>
      <c r="L88" s="193"/>
      <c r="M88" s="191"/>
      <c r="N88" s="191"/>
      <c r="O88" s="191"/>
      <c r="P88" s="191"/>
      <c r="Q88" s="227"/>
      <c r="R88" s="227"/>
      <c r="S88" s="227"/>
      <c r="T88" s="191"/>
      <c r="U88" s="191"/>
      <c r="V88" s="191"/>
      <c r="W88" s="191"/>
      <c r="X88" s="193"/>
      <c r="Y88" s="227"/>
      <c r="Z88" s="227"/>
      <c r="AA88" s="227"/>
      <c r="AB88" s="193"/>
      <c r="AC88" s="227"/>
      <c r="AD88" s="227"/>
      <c r="AE88" s="227"/>
      <c r="AF88" s="193"/>
      <c r="AG88" s="193"/>
      <c r="AH88" s="191"/>
    </row>
    <row r="89">
      <c r="A89" s="269" t="s">
        <v>2731</v>
      </c>
      <c r="B89" s="270" t="str">
        <f>IFERROR(__xludf.DUMMYFUNCTION("GOOGLETRANSLATE(A89,""pt"",""en"")"),"Group 6: Insect exterminator device")</f>
        <v>Group 6: Insect exterminator device</v>
      </c>
      <c r="C89" s="271" t="str">
        <f>IFERROR(__xludf.DUMMYFUNCTION("GOOGLETRANSLATE(A89,""pt"",""zh-cn"")"),"第六组：灭虫装置")</f>
        <v>第六组：灭虫装置</v>
      </c>
      <c r="D89" s="193"/>
      <c r="E89" s="229"/>
      <c r="F89" s="229"/>
      <c r="G89" s="227"/>
      <c r="H89" s="193"/>
      <c r="I89" s="214" t="s">
        <v>2732</v>
      </c>
      <c r="J89" s="213" t="str">
        <f>IFERROR(__xludf.DUMMYFUNCTION("GOOGLETRANSLATE(I89,""pt"",""en"")"),"Games of chance (dice games, coin toss, bingo, roulette, among others).")</f>
        <v>Games of chance (dice games, coin toss, bingo, roulette, among others).</v>
      </c>
      <c r="K89" s="214" t="str">
        <f>IFERROR(__xludf.DUMMYFUNCTION("GOOGLETRANSLATE(I89,""pt"",""zh-cn"")"),"机会游戏（骰子游戏、抛硬币、宾果游戏、轮盘赌等）。")</f>
        <v>机会游戏（骰子游戏、抛硬币、宾果游戏、轮盘赌等）。</v>
      </c>
      <c r="L89" s="193"/>
      <c r="M89" s="191"/>
      <c r="N89" s="191"/>
      <c r="O89" s="191"/>
      <c r="P89" s="191"/>
      <c r="Q89" s="227"/>
      <c r="R89" s="227"/>
      <c r="S89" s="227"/>
      <c r="T89" s="191"/>
      <c r="U89" s="191"/>
      <c r="V89" s="191"/>
      <c r="W89" s="191"/>
      <c r="X89" s="193"/>
      <c r="Y89" s="227"/>
      <c r="Z89" s="227"/>
      <c r="AA89" s="227"/>
      <c r="AB89" s="193"/>
      <c r="AC89" s="227"/>
      <c r="AD89" s="227"/>
      <c r="AE89" s="227"/>
      <c r="AF89" s="193"/>
      <c r="AG89" s="193"/>
      <c r="AH89" s="191"/>
    </row>
    <row r="90">
      <c r="A90" s="272" t="s">
        <v>2733</v>
      </c>
      <c r="B90" s="273" t="str">
        <f>IFERROR(__xludf.DUMMYFUNCTION("GOOGLETRANSLATE(A90,""pt"",""en"")"),"Electric insect exterminator (excluding chemical vapor exterminators)")</f>
        <v>Electric insect exterminator (excluding chemical vapor exterminators)</v>
      </c>
      <c r="C90" s="274" t="str">
        <f>IFERROR(__xludf.DUMMYFUNCTION("GOOGLETRANSLATE(A90,""pt"",""zh-cn"")"),"电击式灭虫器（不包括化学蒸汽灭虫器）")</f>
        <v>电击式灭虫器（不包括化学蒸汽灭虫器）</v>
      </c>
      <c r="D90" s="193"/>
      <c r="E90" s="229"/>
      <c r="F90" s="229"/>
      <c r="G90" s="227"/>
      <c r="H90" s="193"/>
      <c r="I90" s="214" t="s">
        <v>2734</v>
      </c>
      <c r="J90" s="213" t="str">
        <f>IFERROR(__xludf.DUMMYFUNCTION("GOOGLETRANSLATE(I90,""pt"",""en"")"),"Portable video game (Portable video game – without console – with a voltage of up to 24 volts).")</f>
        <v>Portable video game (Portable video game – without console – with a voltage of up to 24 volts).</v>
      </c>
      <c r="K90" s="214" t="str">
        <f>IFERROR(__xludf.DUMMYFUNCTION("GOOGLETRANSLATE(I90,""pt"",""zh-cn"")"),"便携式视频游戏机（便携式视频游戏机——无主机——电压最高可达 24 伏）。")</f>
        <v>便携式视频游戏机（便携式视频游戏机——无主机——电压最高可达 24 伏）。</v>
      </c>
      <c r="L90" s="193"/>
      <c r="M90" s="191"/>
      <c r="N90" s="191"/>
      <c r="O90" s="191"/>
      <c r="P90" s="191"/>
      <c r="Q90" s="227"/>
      <c r="R90" s="227"/>
      <c r="S90" s="227"/>
      <c r="T90" s="191"/>
      <c r="U90" s="191"/>
      <c r="V90" s="191"/>
      <c r="W90" s="191"/>
      <c r="X90" s="193"/>
      <c r="Y90" s="227"/>
      <c r="Z90" s="227"/>
      <c r="AA90" s="227"/>
      <c r="AB90" s="193"/>
      <c r="AC90" s="227"/>
      <c r="AD90" s="227"/>
      <c r="AE90" s="227"/>
      <c r="AF90" s="193"/>
      <c r="AG90" s="193"/>
      <c r="AH90" s="191"/>
    </row>
    <row r="91">
      <c r="A91" s="275" t="s">
        <v>2735</v>
      </c>
      <c r="B91" s="276" t="str">
        <f>IFERROR(__xludf.DUMMYFUNCTION("GOOGLETRANSLATE(A91,""pt"",""en"")"),"Group 7: Machinery and equipment for commercial and industrial use")</f>
        <v>Group 7: Machinery and equipment for commercial and industrial use</v>
      </c>
      <c r="C91" s="277" t="str">
        <f>IFERROR(__xludf.DUMMYFUNCTION("GOOGLETRANSLATE(A91,""pt"",""zh-cn"")"),"第7组：商业和工业用机械及设备")</f>
        <v>第7组：商业和工业用机械及设备</v>
      </c>
      <c r="D91" s="193"/>
      <c r="E91" s="229"/>
      <c r="F91" s="229"/>
      <c r="G91" s="227"/>
      <c r="H91" s="193"/>
      <c r="I91" s="214" t="s">
        <v>2736</v>
      </c>
      <c r="J91" s="213" t="str">
        <f>IFERROR(__xludf.DUMMYFUNCTION("GOOGLETRANSLATE(I91,""pt"",""en"")"),"Encyclopedic games (Games that involve knowledge of various topics).")</f>
        <v>Encyclopedic games (Games that involve knowledge of various topics).</v>
      </c>
      <c r="K91" s="214" t="str">
        <f>IFERROR(__xludf.DUMMYFUNCTION("GOOGLETRANSLATE(I91,""pt"",""zh-cn"")"),"百科游戏（涉及各种主题知识的游戏）。")</f>
        <v>百科游戏（涉及各种主题知识的游戏）。</v>
      </c>
      <c r="L91" s="193"/>
      <c r="M91" s="191"/>
      <c r="N91" s="191"/>
      <c r="O91" s="191"/>
      <c r="P91" s="191"/>
      <c r="Q91" s="227"/>
      <c r="R91" s="227"/>
      <c r="S91" s="227"/>
      <c r="T91" s="191"/>
      <c r="U91" s="191"/>
      <c r="V91" s="191"/>
      <c r="W91" s="191"/>
      <c r="X91" s="193"/>
      <c r="Y91" s="227"/>
      <c r="Z91" s="227"/>
      <c r="AA91" s="227"/>
      <c r="AB91" s="193"/>
      <c r="AC91" s="227"/>
      <c r="AD91" s="227"/>
      <c r="AE91" s="227"/>
      <c r="AF91" s="193"/>
      <c r="AG91" s="193"/>
      <c r="AH91" s="191"/>
    </row>
    <row r="92">
      <c r="A92" s="278" t="s">
        <v>2737</v>
      </c>
      <c r="B92" s="279" t="str">
        <f>IFERROR(__xludf.DUMMYFUNCTION("GOOGLETRANSLATE(A92,""pt"",""en"")"),"Electric vacuum cleaner (dry and wet) for commercial and industrial use.")</f>
        <v>Electric vacuum cleaner (dry and wet) for commercial and industrial use.</v>
      </c>
      <c r="C92" s="280" t="str">
        <f>IFERROR(__xludf.DUMMYFUNCTION("GOOGLETRANSLATE(A92,""pt"",""zh-cn"")"),"商用和工业用电动吸尘器（干湿两用）。")</f>
        <v>商用和工业用电动吸尘器（干湿两用）。</v>
      </c>
      <c r="D92" s="193"/>
      <c r="E92" s="229"/>
      <c r="F92" s="229"/>
      <c r="G92" s="227"/>
      <c r="H92" s="193"/>
      <c r="I92" s="214" t="s">
        <v>2738</v>
      </c>
      <c r="J92" s="213" t="str">
        <f>IFERROR(__xludf.DUMMYFUNCTION("GOOGLETRANSLATE(I92,""pt"",""en"")"),"Chemical games (Toys containing one or more chemical substances and preparations, with or without equipment, intended for carrying out chemical experiments. This concept encompasses the areas of mineralogy, biology, physics, microscopy and environmental s"&amp;"ciences.)")</f>
        <v>Chemical games (Toys containing one or more chemical substances and preparations, with or without equipment, intended for carrying out chemical experiments. This concept encompasses the areas of mineralogy, biology, physics, microscopy and environmental sciences.)</v>
      </c>
      <c r="K92" s="214" t="str">
        <f>IFERROR(__xludf.DUMMYFUNCTION("GOOGLETRANSLATE(I92,""pt"",""zh-cn"")"),"化学游戏（包含一种或多种化学物质和制剂的玩具，可附带或不附带设备，旨在进行化学实验。这一概念涵盖矿物学、生物学、物理学、显微镜学和环境科学等领域。）")</f>
        <v>化学游戏（包含一种或多种化学物质和制剂的玩具，可附带或不附带设备，旨在进行化学实验。这一概念涵盖矿物学、生物学、物理学、显微镜学和环境科学等领域。）</v>
      </c>
      <c r="L92" s="193"/>
      <c r="M92" s="191"/>
      <c r="N92" s="191"/>
      <c r="O92" s="191"/>
      <c r="P92" s="191"/>
      <c r="Q92" s="227"/>
      <c r="R92" s="227"/>
      <c r="S92" s="227"/>
      <c r="T92" s="191"/>
      <c r="U92" s="191"/>
      <c r="V92" s="191"/>
      <c r="W92" s="191"/>
      <c r="X92" s="193"/>
      <c r="Y92" s="227"/>
      <c r="Z92" s="227"/>
      <c r="AA92" s="227"/>
      <c r="AB92" s="193"/>
      <c r="AC92" s="227"/>
      <c r="AD92" s="227"/>
      <c r="AE92" s="227"/>
      <c r="AF92" s="193"/>
      <c r="AG92" s="193"/>
      <c r="AH92" s="191"/>
    </row>
    <row r="93">
      <c r="A93" s="278" t="s">
        <v>2739</v>
      </c>
      <c r="B93" s="279" t="str">
        <f>IFERROR(__xludf.DUMMYFUNCTION("GOOGLETRANSLATE(A93,""pt"",""en"")"),"Electric floor treatment and/or cleaning machine for commercial and industrial use.")</f>
        <v>Electric floor treatment and/or cleaning machine for commercial and industrial use.</v>
      </c>
      <c r="C93" s="280" t="str">
        <f>IFERROR(__xludf.DUMMYFUNCTION("GOOGLETRANSLATE(A93,""pt"",""zh-cn"")"),"用于商业和工业用途的电动地面处理和/或清洁机。")</f>
        <v>用于商业和工业用途的电动地面处理和/或清洁机。</v>
      </c>
      <c r="D93" s="193"/>
      <c r="E93" s="229"/>
      <c r="F93" s="229"/>
      <c r="G93" s="227"/>
      <c r="H93" s="193"/>
      <c r="I93" s="214" t="s">
        <v>2740</v>
      </c>
      <c r="J93" s="213" t="str">
        <f>IFERROR(__xludf.DUMMYFUNCTION("GOOGLETRANSLATE(I93,""pt"",""en"")"),"Supplementary chemical set (Set of chemical substances intended to be used as a supplement to a complete chemical set).")</f>
        <v>Supplementary chemical set (Set of chemical substances intended to be used as a supplement to a complete chemical set).</v>
      </c>
      <c r="K93" s="214" t="str">
        <f>IFERROR(__xludf.DUMMYFUNCTION("GOOGLETRANSLATE(I93,""pt"",""zh-cn"")"),"补充化学品套装（旨在作为完整化学品套装的补充使用的化学物质套装）。")</f>
        <v>补充化学品套装（旨在作为完整化学品套装的补充使用的化学物质套装）。</v>
      </c>
      <c r="L93" s="193"/>
      <c r="M93" s="191"/>
      <c r="N93" s="191"/>
      <c r="O93" s="191"/>
      <c r="P93" s="191"/>
      <c r="Q93" s="227"/>
      <c r="R93" s="227"/>
      <c r="S93" s="227"/>
      <c r="T93" s="191"/>
      <c r="U93" s="191"/>
      <c r="V93" s="191"/>
      <c r="W93" s="191"/>
      <c r="X93" s="193"/>
      <c r="Y93" s="227"/>
      <c r="Z93" s="227"/>
      <c r="AA93" s="227"/>
      <c r="AB93" s="193"/>
      <c r="AC93" s="227"/>
      <c r="AD93" s="227"/>
      <c r="AE93" s="227"/>
      <c r="AF93" s="193"/>
      <c r="AG93" s="193"/>
      <c r="AH93" s="191"/>
    </row>
    <row r="94">
      <c r="A94" s="281" t="s">
        <v>2741</v>
      </c>
      <c r="B94" s="282" t="str">
        <f>IFERROR(__xludf.DUMMYFUNCTION("GOOGLETRANSLATE(A94,""pt"",""en"")"),"Electric carpet cleaning machine with spray for commercial and industrial use.")</f>
        <v>Electric carpet cleaning machine with spray for commercial and industrial use.</v>
      </c>
      <c r="C94" s="283" t="str">
        <f>IFERROR(__xludf.DUMMYFUNCTION("GOOGLETRANSLATE(A94,""pt"",""zh-cn"")"),"适用于商业和工业用途的带喷淋功能的电动地毯清洗机。")</f>
        <v>适用于商业和工业用途的带喷淋功能的电动地毯清洗机。</v>
      </c>
      <c r="D94" s="193"/>
      <c r="E94" s="229"/>
      <c r="F94" s="229"/>
      <c r="G94" s="227"/>
      <c r="H94" s="193"/>
      <c r="I94" s="214" t="s">
        <v>2742</v>
      </c>
      <c r="J94" s="213" t="str">
        <f>IFERROR(__xludf.DUMMYFUNCTION("GOOGLETRANSLATE(I94,""pt"",""en"")"),"Social strategy games with merchandising of brands from the adult world (Board games aimed at children, with images of brands/logos, such as stores, banks and credit cards, which explicitly represent the consumer universe).")</f>
        <v>Social strategy games with merchandising of brands from the adult world (Board games aimed at children, with images of brands/logos, such as stores, banks and credit cards, which explicitly represent the consumer universe).</v>
      </c>
      <c r="K94" s="214" t="str">
        <f>IFERROR(__xludf.DUMMYFUNCTION("GOOGLETRANSLATE(I94,""pt"",""zh-cn"")"),"带有成人世界品牌商品化的社交策略游戏（面向儿童的棋盘游戏，带有商店、银行和信用卡等品牌/标志的图像，明确地代表了消费世界）。")</f>
        <v>带有成人世界品牌商品化的社交策略游戏（面向儿童的棋盘游戏，带有商店、银行和信用卡等品牌/标志的图像，明确地代表了消费世界）。</v>
      </c>
      <c r="L94" s="193"/>
      <c r="M94" s="191"/>
      <c r="N94" s="191"/>
      <c r="O94" s="191"/>
      <c r="P94" s="191"/>
      <c r="Q94" s="227"/>
      <c r="R94" s="227"/>
      <c r="S94" s="227"/>
      <c r="T94" s="191"/>
      <c r="U94" s="191"/>
      <c r="V94" s="191"/>
      <c r="W94" s="191"/>
      <c r="X94" s="193"/>
      <c r="Y94" s="227"/>
      <c r="Z94" s="227"/>
      <c r="AA94" s="227"/>
      <c r="AB94" s="193"/>
      <c r="AC94" s="227"/>
      <c r="AD94" s="227"/>
      <c r="AE94" s="227"/>
      <c r="AF94" s="193"/>
      <c r="AG94" s="193"/>
      <c r="AH94" s="191"/>
    </row>
    <row r="95">
      <c r="A95" s="284" t="s">
        <v>2743</v>
      </c>
      <c r="B95" s="285" t="str">
        <f>IFERROR(__xludf.DUMMYFUNCTION("GOOGLETRANSLATE(A95,""pt"",""en"")"),"Group 8: Gardening Equipment")</f>
        <v>Group 8: Gardening Equipment</v>
      </c>
      <c r="C95" s="286" t="str">
        <f>IFERROR(__xludf.DUMMYFUNCTION("GOOGLETRANSLATE(A95,""pt"",""zh-cn"")"),"第 8 组：园艺设备")</f>
        <v>第 8 组：园艺设备</v>
      </c>
      <c r="D95" s="193"/>
      <c r="E95" s="229"/>
      <c r="F95" s="229"/>
      <c r="G95" s="227"/>
      <c r="H95" s="193"/>
      <c r="I95" s="214" t="s">
        <v>2744</v>
      </c>
      <c r="J95" s="213" t="str">
        <f>IFERROR(__xludf.DUMMYFUNCTION("GOOGLETRANSLATE(I95,""pt"",""en"")"),"Assembly kits (Toys with all the parts and pieces needed to assemble a final product, such as jewelry and doll clothes).")</f>
        <v>Assembly kits (Toys with all the parts and pieces needed to assemble a final product, such as jewelry and doll clothes).</v>
      </c>
      <c r="K95" s="214" t="str">
        <f>IFERROR(__xludf.DUMMYFUNCTION("GOOGLETRANSLATE(I95,""pt"",""zh-cn"")"),"组装套件（包含组装最终产品所需的所有零件和部件的玩具，例如珠宝和娃娃衣服）。")</f>
        <v>组装套件（包含组装最终产品所需的所有零件和部件的玩具，例如珠宝和娃娃衣服）。</v>
      </c>
      <c r="L95" s="193"/>
      <c r="M95" s="191"/>
      <c r="N95" s="191"/>
      <c r="O95" s="191"/>
      <c r="P95" s="191"/>
      <c r="Q95" s="227"/>
      <c r="R95" s="227"/>
      <c r="S95" s="227"/>
      <c r="T95" s="191"/>
      <c r="U95" s="191"/>
      <c r="V95" s="191"/>
      <c r="W95" s="191"/>
      <c r="X95" s="193"/>
      <c r="Y95" s="227"/>
      <c r="Z95" s="227"/>
      <c r="AA95" s="227"/>
      <c r="AB95" s="193"/>
      <c r="AC95" s="227"/>
      <c r="AD95" s="227"/>
      <c r="AE95" s="227"/>
      <c r="AF95" s="193"/>
      <c r="AG95" s="193"/>
      <c r="AH95" s="191"/>
    </row>
    <row r="96">
      <c r="A96" s="287" t="s">
        <v>2745</v>
      </c>
      <c r="B96" s="288" t="str">
        <f>IFERROR(__xludf.DUMMYFUNCTION("GOOGLETRANSLATE(A96,""pt"",""en"")"),"Electric blower for garden cleaning")</f>
        <v>Electric blower for garden cleaning</v>
      </c>
      <c r="C96" s="289" t="str">
        <f>IFERROR(__xludf.DUMMYFUNCTION("GOOGLETRANSLATE(A96,""pt"",""zh-cn"")"),"用于花园清洁的电动吹风机")</f>
        <v>用于花园清洁的电动吹风机</v>
      </c>
      <c r="D96" s="193"/>
      <c r="E96" s="229"/>
      <c r="F96" s="229"/>
      <c r="G96" s="227"/>
      <c r="H96" s="193"/>
      <c r="I96" s="214" t="s">
        <v>2746</v>
      </c>
      <c r="J96" s="213" t="str">
        <f>IFERROR(__xludf.DUMMYFUNCTION("GOOGLETRANSLATE(I96,""pt"",""en"")"),"Lanterns with images (Lanterns with a playful design that may or may not project images).")</f>
        <v>Lanterns with images (Lanterns with a playful design that may or may not project images).</v>
      </c>
      <c r="K96" s="214" t="str">
        <f>IFERROR(__xludf.DUMMYFUNCTION("GOOGLETRANSLATE(I96,""pt"",""zh-cn"")"),"带图案的灯笼（设计活泼有趣的灯笼，可能投射图像，也可能不投射图像）。")</f>
        <v>带图案的灯笼（设计活泼有趣的灯笼，可能投射图像，也可能不投射图像）。</v>
      </c>
      <c r="L96" s="193"/>
      <c r="M96" s="191"/>
      <c r="N96" s="191"/>
      <c r="O96" s="191"/>
      <c r="P96" s="191"/>
      <c r="Q96" s="227"/>
      <c r="R96" s="227"/>
      <c r="S96" s="227"/>
      <c r="T96" s="191"/>
      <c r="U96" s="191"/>
      <c r="V96" s="191"/>
      <c r="W96" s="191"/>
      <c r="X96" s="193"/>
      <c r="Y96" s="227"/>
      <c r="Z96" s="227"/>
      <c r="AA96" s="227"/>
      <c r="AB96" s="193"/>
      <c r="AC96" s="227"/>
      <c r="AD96" s="227"/>
      <c r="AE96" s="227"/>
      <c r="AF96" s="193"/>
      <c r="AG96" s="193"/>
      <c r="AH96" s="191"/>
    </row>
    <row r="97">
      <c r="A97" s="287" t="s">
        <v>2747</v>
      </c>
      <c r="B97" s="288" t="str">
        <f>IFERROR(__xludf.DUMMYFUNCTION("GOOGLETRANSLATE(A97,""pt"",""en"")"),"Electric lawn mower / electric lawn trimmer")</f>
        <v>Electric lawn mower / electric lawn trimmer</v>
      </c>
      <c r="C97" s="289" t="str">
        <f>IFERROR(__xludf.DUMMYFUNCTION("GOOGLETRANSLATE(A97,""pt"",""zh-cn"")"),"电动割草机/电动草坪修剪机")</f>
        <v>电动割草机/电动草坪修剪机</v>
      </c>
      <c r="D97" s="193"/>
      <c r="E97" s="229"/>
      <c r="F97" s="229"/>
      <c r="G97" s="227"/>
      <c r="H97" s="193"/>
      <c r="I97" s="214" t="s">
        <v>2748</v>
      </c>
      <c r="J97" s="213" t="str">
        <f>IFERROR(__xludf.DUMMYFUNCTION("GOOGLETRANSLATE(I97,""pt"",""en"")"),"Toy books (with playful activities after their main use), bath books; EVA books, inflatable books; fabric books; scene books whose pages are composed of detachable figures that, when folded, can stand upright.")</f>
        <v>Toy books (with playful activities after their main use), bath books; EVA books, inflatable books; fabric books; scene books whose pages are composed of detachable figures that, when folded, can stand upright.</v>
      </c>
      <c r="K97" s="214" t="str">
        <f>IFERROR(__xludf.DUMMYFUNCTION("GOOGLETRANSLATE(I97,""pt"",""zh-cn"")"),"玩具书（主要用途之后还有趣味活动）、洗澡书；EVA 书、充气书；布书；场景书，其页面由可拆卸的人物组成，折叠后可以直立放置。")</f>
        <v>玩具书（主要用途之后还有趣味活动）、洗澡书；EVA 书、充气书；布书；场景书，其页面由可拆卸的人物组成，折叠后可以直立放置。</v>
      </c>
      <c r="L97" s="193"/>
      <c r="M97" s="191"/>
      <c r="N97" s="191"/>
      <c r="O97" s="191"/>
      <c r="P97" s="191"/>
      <c r="Q97" s="227"/>
      <c r="R97" s="227"/>
      <c r="S97" s="227"/>
      <c r="T97" s="191"/>
      <c r="U97" s="191"/>
      <c r="V97" s="191"/>
      <c r="W97" s="191"/>
      <c r="X97" s="193"/>
      <c r="Y97" s="227"/>
      <c r="Z97" s="227"/>
      <c r="AA97" s="227"/>
      <c r="AB97" s="193"/>
      <c r="AC97" s="227"/>
      <c r="AD97" s="227"/>
      <c r="AE97" s="227"/>
      <c r="AF97" s="193"/>
      <c r="AG97" s="193"/>
      <c r="AH97" s="191"/>
    </row>
    <row r="98">
      <c r="A98" s="287" t="s">
        <v>2749</v>
      </c>
      <c r="B98" s="288" t="str">
        <f>IFERROR(__xludf.DUMMYFUNCTION("GOOGLETRANSLATE(A98,""pt"",""en"")"),"Electric brushcutter / Electric scarifier")</f>
        <v>Electric brushcutter / Electric scarifier</v>
      </c>
      <c r="C98" s="289" t="str">
        <f>IFERROR(__xludf.DUMMYFUNCTION("GOOGLETRANSLATE(A98,""pt"",""zh-cn"")"),"电动割灌机/电动松土机")</f>
        <v>电动割灌机/电动松土机</v>
      </c>
      <c r="D98" s="193"/>
      <c r="E98" s="229"/>
      <c r="F98" s="229"/>
      <c r="G98" s="227"/>
      <c r="H98" s="193"/>
      <c r="I98" s="214" t="s">
        <v>2750</v>
      </c>
      <c r="J98" s="213" t="str">
        <f>IFERROR(__xludf.DUMMYFUNCTION("GOOGLETRANSLATE(I98,""pt"",""en"")"),"Magic slates/boards, green and black toy boards (Portable boards weighing up to 1.5 kg, with or without a playful design, accompanied or not by accessories such as an eraser, chalk and pens).")</f>
        <v>Magic slates/boards, green and black toy boards (Portable boards weighing up to 1.5 kg, with or without a playful design, accompanied or not by accessories such as an eraser, chalk and pens).</v>
      </c>
      <c r="K98" s="214" t="str">
        <f>IFERROR(__xludf.DUMMYFUNCTION("GOOGLETRANSLATE(I98,""pt"",""zh-cn"")"),"魔法石板/板，绿色和黑色玩具板（便携式板，重量不超过 1.5 公斤，有或没有趣味设计，附带或不附带橡皮擦、粉笔和笔等配件）。")</f>
        <v>魔法石板/板，绿色和黑色玩具板（便携式板，重量不超过 1.5 公斤，有或没有趣味设计，附带或不附带橡皮擦、粉笔和笔等配件）。</v>
      </c>
      <c r="L98" s="193"/>
      <c r="M98" s="191"/>
      <c r="N98" s="191"/>
      <c r="O98" s="191"/>
      <c r="P98" s="191"/>
      <c r="Q98" s="227"/>
      <c r="R98" s="227"/>
      <c r="S98" s="227"/>
      <c r="T98" s="191"/>
      <c r="U98" s="191"/>
      <c r="V98" s="191"/>
      <c r="W98" s="191"/>
      <c r="X98" s="193"/>
      <c r="Y98" s="227"/>
      <c r="Z98" s="227"/>
      <c r="AA98" s="227"/>
      <c r="AB98" s="193"/>
      <c r="AC98" s="227"/>
      <c r="AD98" s="227"/>
      <c r="AE98" s="227"/>
      <c r="AF98" s="193"/>
      <c r="AG98" s="193"/>
      <c r="AH98" s="191"/>
    </row>
    <row r="99">
      <c r="A99" s="290" t="s">
        <v>2751</v>
      </c>
      <c r="B99" s="291" t="str">
        <f>IFERROR(__xludf.DUMMYFUNCTION("GOOGLETRANSLATE(A99,""pt"",""en"")"),"Electric lawn shears")</f>
        <v>Electric lawn shears</v>
      </c>
      <c r="C99" s="292" t="str">
        <f>IFERROR(__xludf.DUMMYFUNCTION("GOOGLETRANSLATE(A99,""pt"",""zh-cn"")"),"电动草坪剪")</f>
        <v>电动草坪剪</v>
      </c>
      <c r="D99" s="193"/>
      <c r="E99" s="229"/>
      <c r="F99" s="229"/>
      <c r="G99" s="227"/>
      <c r="H99" s="193"/>
      <c r="I99" s="214" t="s">
        <v>2752</v>
      </c>
      <c r="J99" s="213" t="str">
        <f>IFERROR(__xludf.DUMMYFUNCTION("GOOGLETRANSLATE(I99,""pt"",""en"")"),"Doll makeup (Makeup intended for use on dolls).")</f>
        <v>Doll makeup (Makeup intended for use on dolls).</v>
      </c>
      <c r="K99" s="214" t="str">
        <f>IFERROR(__xludf.DUMMYFUNCTION("GOOGLETRANSLATE(I99,""pt"",""zh-cn"")"),"娃娃化妆品（专为娃娃设计的化妆品）。")</f>
        <v>娃娃化妆品（专为娃娃设计的化妆品）。</v>
      </c>
      <c r="L99" s="193"/>
      <c r="M99" s="191"/>
      <c r="N99" s="191"/>
      <c r="O99" s="191"/>
      <c r="P99" s="191"/>
      <c r="Q99" s="227"/>
      <c r="R99" s="227"/>
      <c r="S99" s="227"/>
      <c r="T99" s="191"/>
      <c r="U99" s="191"/>
      <c r="V99" s="191"/>
      <c r="W99" s="191"/>
      <c r="X99" s="193"/>
      <c r="Y99" s="227"/>
      <c r="Z99" s="227"/>
      <c r="AA99" s="227"/>
      <c r="AB99" s="193"/>
      <c r="AC99" s="227"/>
      <c r="AD99" s="227"/>
      <c r="AE99" s="227"/>
      <c r="AF99" s="193"/>
      <c r="AG99" s="193"/>
      <c r="AH99" s="191"/>
    </row>
    <row r="100">
      <c r="A100" s="293" t="s">
        <v>2753</v>
      </c>
      <c r="B100" s="294" t="str">
        <f>IFERROR(__xludf.DUMMYFUNCTION("GOOGLETRANSLATE(A100,""pt"",""en"")"),"Group 9: Toilet appliances")</f>
        <v>Group 9: Toilet appliances</v>
      </c>
      <c r="C100" s="295" t="str">
        <f>IFERROR(__xludf.DUMMYFUNCTION("GOOGLETRANSLATE(A100,""pt"",""zh-cn"")"),"第九组：厕所用具")</f>
        <v>第九组：厕所用具</v>
      </c>
      <c r="D100" s="193"/>
      <c r="E100" s="229"/>
      <c r="F100" s="229"/>
      <c r="G100" s="227"/>
      <c r="H100" s="193"/>
      <c r="I100" s="214" t="s">
        <v>2754</v>
      </c>
      <c r="J100" s="213" t="str">
        <f>IFERROR(__xludf.DUMMYFUNCTION("GOOGLETRANSLATE(I100,""pt"",""en"")"),"Modeling clay (Toys that function with or come with modeling clay).")</f>
        <v>Modeling clay (Toys that function with or come with modeling clay).</v>
      </c>
      <c r="K100" s="214" t="str">
        <f>IFERROR(__xludf.DUMMYFUNCTION("GOOGLETRANSLATE(I100,""pt"",""zh-cn"")"),"橡皮泥（与橡皮泥一起使用或附带橡皮泥的玩具）。")</f>
        <v>橡皮泥（与橡皮泥一起使用或附带橡皮泥的玩具）。</v>
      </c>
      <c r="L100" s="193"/>
      <c r="M100" s="191"/>
      <c r="N100" s="191"/>
      <c r="O100" s="191"/>
      <c r="P100" s="191"/>
      <c r="Q100" s="227"/>
      <c r="R100" s="227"/>
      <c r="S100" s="227"/>
      <c r="T100" s="191"/>
      <c r="U100" s="191"/>
      <c r="V100" s="191"/>
      <c r="W100" s="191"/>
      <c r="X100" s="193"/>
      <c r="Y100" s="227"/>
      <c r="Z100" s="227"/>
      <c r="AA100" s="227"/>
      <c r="AB100" s="193"/>
      <c r="AC100" s="227"/>
      <c r="AD100" s="227"/>
      <c r="AE100" s="227"/>
      <c r="AF100" s="193"/>
      <c r="AG100" s="193"/>
      <c r="AH100" s="191"/>
    </row>
    <row r="101">
      <c r="A101" s="296" t="s">
        <v>2755</v>
      </c>
      <c r="B101" s="297" t="str">
        <f>IFERROR(__xludf.DUMMYFUNCTION("GOOGLETRANSLATE(A101,""pt"",""en"")"),"Electric water heater for shower or bath.")</f>
        <v>Electric water heater for shower or bath.</v>
      </c>
      <c r="C101" s="298" t="str">
        <f>IFERROR(__xludf.DUMMYFUNCTION("GOOGLETRANSLATE(A101,""pt"",""zh-cn"")"),"用于淋浴或浴缸的电热水器。")</f>
        <v>用于淋浴或浴缸的电热水器。</v>
      </c>
      <c r="D101" s="193"/>
      <c r="E101" s="229"/>
      <c r="F101" s="229"/>
      <c r="G101" s="227"/>
      <c r="H101" s="193"/>
      <c r="I101" s="214" t="s">
        <v>2756</v>
      </c>
      <c r="J101" s="213" t="str">
        <f>IFERROR(__xludf.DUMMYFUNCTION("GOOGLETRANSLATE(I101,""pt"",""en"")"),"Masks (Children's masks intended to cover the face or part of it. Excludes disposable full-face or half-face masks, predominantly made of paper or cardboard, colored or with children's motifs).")</f>
        <v>Masks (Children's masks intended to cover the face or part of it. Excludes disposable full-face or half-face masks, predominantly made of paper or cardboard, colored or with children's motifs).</v>
      </c>
      <c r="K101" s="214" t="str">
        <f>IFERROR(__xludf.DUMMYFUNCTION("GOOGLETRANSLATE(I101,""pt"",""zh-cn"")"),"口罩（儿童口罩，旨在遮盖面部或部分面部。不包括一次性全脸或半脸口罩，主要由纸或纸板制成，有颜色或带有儿童图案）。")</f>
        <v>口罩（儿童口罩，旨在遮盖面部或部分面部。不包括一次性全脸或半脸口罩，主要由纸或纸板制成，有颜色或带有儿童图案）。</v>
      </c>
      <c r="L101" s="193"/>
      <c r="M101" s="191"/>
      <c r="N101" s="191"/>
      <c r="O101" s="191"/>
      <c r="P101" s="191"/>
      <c r="Q101" s="227"/>
      <c r="R101" s="227"/>
      <c r="S101" s="227"/>
      <c r="T101" s="191"/>
      <c r="U101" s="191"/>
      <c r="V101" s="191"/>
      <c r="W101" s="191"/>
      <c r="X101" s="193"/>
      <c r="Y101" s="227"/>
      <c r="Z101" s="227"/>
      <c r="AA101" s="227"/>
      <c r="AB101" s="193"/>
      <c r="AC101" s="227"/>
      <c r="AD101" s="227"/>
      <c r="AE101" s="227"/>
      <c r="AF101" s="193"/>
      <c r="AG101" s="193"/>
      <c r="AH101" s="191"/>
    </row>
    <row r="102">
      <c r="A102" s="296" t="s">
        <v>2757</v>
      </c>
      <c r="B102" s="297" t="str">
        <f>IFERROR(__xludf.DUMMYFUNCTION("GOOGLETRANSLATE(A102,""pt"",""en"")"),"Heated electric toilet seat")</f>
        <v>Heated electric toilet seat</v>
      </c>
      <c r="C102" s="298" t="str">
        <f>IFERROR(__xludf.DUMMYFUNCTION("GOOGLETRANSLATE(A102,""pt"",""zh-cn"")"),"加热电动马桶座圈")</f>
        <v>加热电动马桶座圈</v>
      </c>
      <c r="D102" s="193"/>
      <c r="E102" s="229"/>
      <c r="F102" s="229"/>
      <c r="G102" s="227"/>
      <c r="H102" s="193"/>
      <c r="I102" s="214" t="s">
        <v>2758</v>
      </c>
      <c r="J102" s="213" t="str">
        <f>IFERROR(__xludf.DUMMYFUNCTION("GOOGLETRANSLATE(I102,""pt"",""en"")"),"Miniature figures (Animals, toy soldiers, creatures, superheroes, fantasy characters or historical themes (whose dimensions respect the small parts template)).")</f>
        <v>Miniature figures (Animals, toy soldiers, creatures, superheroes, fantasy characters or historical themes (whose dimensions respect the small parts template)).</v>
      </c>
      <c r="K102" s="214" t="str">
        <f>IFERROR(__xludf.DUMMYFUNCTION("GOOGLETRANSLATE(I102,""pt"",""zh-cn"")"),"微型人偶（动物、玩具士兵、生物、超级英雄、奇幻人物或历史主题（其尺寸符合小零件模板））。")</f>
        <v>微型人偶（动物、玩具士兵、生物、超级英雄、奇幻人物或历史主题（其尺寸符合小零件模板））。</v>
      </c>
      <c r="L102" s="193"/>
      <c r="M102" s="191"/>
      <c r="N102" s="191"/>
      <c r="O102" s="191"/>
      <c r="P102" s="191"/>
      <c r="Q102" s="227"/>
      <c r="R102" s="227"/>
      <c r="S102" s="227"/>
      <c r="T102" s="191"/>
      <c r="U102" s="191"/>
      <c r="V102" s="191"/>
      <c r="W102" s="191"/>
      <c r="X102" s="193"/>
      <c r="Y102" s="227"/>
      <c r="Z102" s="227"/>
      <c r="AA102" s="227"/>
      <c r="AB102" s="193"/>
      <c r="AC102" s="227"/>
      <c r="AD102" s="227"/>
      <c r="AE102" s="227"/>
      <c r="AF102" s="193"/>
      <c r="AG102" s="193"/>
      <c r="AH102" s="191"/>
    </row>
    <row r="103">
      <c r="A103" s="296" t="s">
        <v>2759</v>
      </c>
      <c r="B103" s="297" t="str">
        <f>IFERROR(__xludf.DUMMYFUNCTION("GOOGLETRANSLATE(A103,""pt"",""en"")"),"Multifunctional electric shower cabin")</f>
        <v>Multifunctional electric shower cabin</v>
      </c>
      <c r="C103" s="298" t="str">
        <f>IFERROR(__xludf.DUMMYFUNCTION("GOOGLETRANSLATE(A103,""pt"",""zh-cn"")"),"多功能电淋浴房")</f>
        <v>多功能电淋浴房</v>
      </c>
      <c r="D103" s="193"/>
      <c r="E103" s="229"/>
      <c r="F103" s="229"/>
      <c r="G103" s="227"/>
      <c r="H103" s="193"/>
      <c r="I103" s="214" t="s">
        <v>2760</v>
      </c>
      <c r="J103" s="213" t="str">
        <f>IFERROR(__xludf.DUMMYFUNCTION("GOOGLETRANSLATE(I103,""pt"",""en"")"),"Mobiles (Toys used to stimulate babies' visual perception, attached to cribs, strollers, and playpens, usually with animals, spheres, or figures strung on a cord, with or without sound).")</f>
        <v>Mobiles (Toys used to stimulate babies' visual perception, attached to cribs, strollers, and playpens, usually with animals, spheres, or figures strung on a cord, with or without sound).</v>
      </c>
      <c r="K103" s="214" t="str">
        <f>IFERROR(__xludf.DUMMYFUNCTION("GOOGLETRANSLATE(I103,""pt"",""zh-cn"")"),"婴儿床铃（用于刺激婴儿视觉感知的玩具，通常固定在婴儿床、婴儿车和游戏围栏上，通常用绳子串起动物、球体或人物，有或没有声音）。")</f>
        <v>婴儿床铃（用于刺激婴儿视觉感知的玩具，通常固定在婴儿床、婴儿车和游戏围栏上，通常用绳子串起动物、球体或人物，有或没有声音）。</v>
      </c>
      <c r="L103" s="193"/>
      <c r="M103" s="191"/>
      <c r="N103" s="191"/>
      <c r="O103" s="191"/>
      <c r="P103" s="191"/>
      <c r="Q103" s="227"/>
      <c r="R103" s="227"/>
      <c r="S103" s="227"/>
      <c r="T103" s="191"/>
      <c r="U103" s="191"/>
      <c r="V103" s="191"/>
      <c r="W103" s="191"/>
      <c r="X103" s="193"/>
      <c r="Y103" s="227"/>
      <c r="Z103" s="227"/>
      <c r="AA103" s="227"/>
      <c r="AB103" s="193"/>
      <c r="AC103" s="227"/>
      <c r="AD103" s="227"/>
      <c r="AE103" s="227"/>
      <c r="AF103" s="193"/>
      <c r="AG103" s="193"/>
      <c r="AH103" s="191"/>
    </row>
    <row r="104">
      <c r="A104" s="296" t="s">
        <v>2761</v>
      </c>
      <c r="B104" s="297" t="str">
        <f>IFERROR(__xludf.DUMMYFUNCTION("GOOGLETRANSLATE(A104,""pt"",""en"")"),"Electric paper towel/toilet paper dispenser")</f>
        <v>Electric paper towel/toilet paper dispenser</v>
      </c>
      <c r="C104" s="298" t="str">
        <f>IFERROR(__xludf.DUMMYFUNCTION("GOOGLETRANSLATE(A104,""pt"",""zh-cn"")"),"电动纸巾/卫生纸分配器")</f>
        <v>电动纸巾/卫生纸分配器</v>
      </c>
      <c r="D104" s="193"/>
      <c r="E104" s="229"/>
      <c r="F104" s="229"/>
      <c r="G104" s="227"/>
      <c r="H104" s="193"/>
      <c r="I104" s="214" t="s">
        <v>2762</v>
      </c>
      <c r="J104" s="213" t="str">
        <f>IFERROR(__xludf.DUMMYFUNCTION("GOOGLETRANSLATE(I104,""pt"",""en"")"),"Technical models for assembly (Kits with parts and pieces to assemble environments, vehicles, dinosaurs and scale models).")</f>
        <v>Technical models for assembly (Kits with parts and pieces to assemble environments, vehicles, dinosaurs and scale models).</v>
      </c>
      <c r="K104" s="214" t="str">
        <f>IFERROR(__xludf.DUMMYFUNCTION("GOOGLETRANSLATE(I104,""pt"",""zh-cn"")"),"用于组装的技术模型（包含用于组装环境、车辆、恐龙和比例模型的零件和组件的套件）。")</f>
        <v>用于组装的技术模型（包含用于组装环境、车辆、恐龙和比例模型的零件和组件的套件）。</v>
      </c>
      <c r="L104" s="193"/>
      <c r="M104" s="191"/>
      <c r="N104" s="191"/>
      <c r="O104" s="191"/>
      <c r="P104" s="191"/>
      <c r="Q104" s="227"/>
      <c r="R104" s="227"/>
      <c r="S104" s="227"/>
      <c r="T104" s="191"/>
      <c r="U104" s="191"/>
      <c r="V104" s="191"/>
      <c r="W104" s="191"/>
      <c r="X104" s="193"/>
      <c r="Y104" s="227"/>
      <c r="Z104" s="227"/>
      <c r="AA104" s="227"/>
      <c r="AB104" s="193"/>
      <c r="AC104" s="227"/>
      <c r="AD104" s="227"/>
      <c r="AE104" s="227"/>
      <c r="AF104" s="193"/>
      <c r="AG104" s="193"/>
      <c r="AH104" s="191"/>
    </row>
    <row r="105">
      <c r="A105" s="296" t="s">
        <v>2763</v>
      </c>
      <c r="B105" s="297" t="str">
        <f>IFERROR(__xludf.DUMMYFUNCTION("GOOGLETRANSLATE(A105,""pt"",""en"")"),"Electric soap dispenser")</f>
        <v>Electric soap dispenser</v>
      </c>
      <c r="C105" s="298" t="str">
        <f>IFERROR(__xludf.DUMMYFUNCTION("GOOGLETRANSLATE(A105,""pt"",""zh-cn"")"),"电动皂液器")</f>
        <v>电动皂液器</v>
      </c>
      <c r="D105" s="193"/>
      <c r="E105" s="229"/>
      <c r="F105" s="229"/>
      <c r="G105" s="227"/>
      <c r="H105" s="193"/>
      <c r="I105" s="214" t="s">
        <v>2764</v>
      </c>
      <c r="J105" s="213" t="str">
        <f>IFERROR(__xludf.DUMMYFUNCTION("GOOGLETRANSLATE(I105,""pt"",""en"")"),"Toy furniture (Furniture intended for play, designed to support the weight of a child, with or without a playful motif, generally imitating home or school furniture, made on a reduced scale compared to the original size).")</f>
        <v>Toy furniture (Furniture intended for play, designed to support the weight of a child, with or without a playful motif, generally imitating home or school furniture, made on a reduced scale compared to the original size).</v>
      </c>
      <c r="K105" s="214" t="str">
        <f>IFERROR(__xludf.DUMMYFUNCTION("GOOGLETRANSLATE(I105,""pt"",""zh-cn"")"),"玩具家具（供玩耍的家具，设计用于支撑儿童的体重，有或没有玩耍的图案，通常模仿家庭或学校家具，按比例缩小）。")</f>
        <v>玩具家具（供玩耍的家具，设计用于支撑儿童的体重，有或没有玩耍的图案，通常模仿家庭或学校家具，按比例缩小）。</v>
      </c>
      <c r="L105" s="193"/>
      <c r="M105" s="191"/>
      <c r="N105" s="191"/>
      <c r="O105" s="191"/>
      <c r="P105" s="191"/>
      <c r="Q105" s="227"/>
      <c r="R105" s="227"/>
      <c r="S105" s="227"/>
      <c r="T105" s="191"/>
      <c r="U105" s="191"/>
      <c r="V105" s="191"/>
      <c r="W105" s="191"/>
      <c r="X105" s="193"/>
      <c r="Y105" s="227"/>
      <c r="Z105" s="227"/>
      <c r="AA105" s="227"/>
      <c r="AB105" s="193"/>
      <c r="AC105" s="227"/>
      <c r="AD105" s="227"/>
      <c r="AE105" s="227"/>
      <c r="AF105" s="193"/>
      <c r="AG105" s="193"/>
      <c r="AH105" s="191"/>
    </row>
    <row r="106">
      <c r="A106" s="299" t="s">
        <v>2765</v>
      </c>
      <c r="B106" s="300" t="str">
        <f>IFERROR(__xludf.DUMMYFUNCTION("GOOGLETRANSLATE(A106,""pt"",""en"")"),"Electric water pressure booster for bathroom")</f>
        <v>Electric water pressure booster for bathroom</v>
      </c>
      <c r="C106" s="301" t="str">
        <f>IFERROR(__xludf.DUMMYFUNCTION("GOOGLETRANSLATE(A106,""pt"",""zh-cn"")"),"浴室用电动增压泵")</f>
        <v>浴室用电动增压泵</v>
      </c>
      <c r="D106" s="193"/>
      <c r="E106" s="229"/>
      <c r="F106" s="229"/>
      <c r="G106" s="227"/>
      <c r="H106" s="193"/>
      <c r="I106" s="214" t="s">
        <v>2766</v>
      </c>
      <c r="J106" s="213" t="str">
        <f>IFERROR(__xludf.DUMMYFUNCTION("GOOGLETRANSLATE(I106,""pt"",""en"")"),"Teether (Toy designed to be placed in the mouth (oral use), with or without liquid inside, and primarily intended for symptomatic relief of teething discomfort).")</f>
        <v>Teether (Toy designed to be placed in the mouth (oral use), with or without liquid inside, and primarily intended for symptomatic relief of teething discomfort).</v>
      </c>
      <c r="K106" s="214" t="str">
        <f>IFERROR(__xludf.DUMMYFUNCTION("GOOGLETRANSLATE(I106,""pt"",""zh-cn"")"),"磨牙器（一种设计用于放入口中的玩具，内部可装液体或不装液体，主要用于缓解出牙不适症状）。")</f>
        <v>磨牙器（一种设计用于放入口中的玩具，内部可装液体或不装液体，主要用于缓解出牙不适症状）。</v>
      </c>
      <c r="L106" s="193"/>
      <c r="M106" s="191"/>
      <c r="N106" s="191"/>
      <c r="O106" s="191"/>
      <c r="P106" s="191"/>
      <c r="Q106" s="227"/>
      <c r="R106" s="227"/>
      <c r="S106" s="227"/>
      <c r="T106" s="191"/>
      <c r="U106" s="191"/>
      <c r="V106" s="191"/>
      <c r="W106" s="191"/>
      <c r="X106" s="193"/>
      <c r="Y106" s="227"/>
      <c r="Z106" s="227"/>
      <c r="AA106" s="227"/>
      <c r="AB106" s="193"/>
      <c r="AC106" s="227"/>
      <c r="AD106" s="227"/>
      <c r="AE106" s="227"/>
      <c r="AF106" s="193"/>
      <c r="AG106" s="193"/>
      <c r="AH106" s="191"/>
    </row>
    <row r="107">
      <c r="A107" s="302" t="s">
        <v>2767</v>
      </c>
      <c r="B107" s="303" t="str">
        <f>IFERROR(__xludf.DUMMYFUNCTION("GOOGLETRANSLATE(A107,""pt"",""en"")"),"Group 10: Humidifiers")</f>
        <v>Group 10: Humidifiers</v>
      </c>
      <c r="C107" s="304" t="str">
        <f>IFERROR(__xludf.DUMMYFUNCTION("GOOGLETRANSLATE(A107,""pt"",""zh-cn"")"),"第 10 组：加湿器")</f>
        <v>第 10 组：加湿器</v>
      </c>
      <c r="D107" s="193"/>
      <c r="E107" s="229"/>
      <c r="F107" s="229"/>
      <c r="G107" s="227"/>
      <c r="H107" s="193"/>
      <c r="I107" s="214" t="s">
        <v>2768</v>
      </c>
      <c r="J107" s="213" t="str">
        <f>IFERROR(__xludf.DUMMYFUNCTION("GOOGLETRANSLATE(I107,""pt"",""en"")"),"Mosaics (Geometric pieces or pegs, made of wood, MDF or plastic, colored, used to form figures).")</f>
        <v>Mosaics (Geometric pieces or pegs, made of wood, MDF or plastic, colored, used to form figures).</v>
      </c>
      <c r="K107" s="214" t="str">
        <f>IFERROR(__xludf.DUMMYFUNCTION("GOOGLETRANSLATE(I107,""pt"",""zh-cn"")"),"马赛克（由木头、中密度纤维板或塑料制成的彩色几何块或木钉，用于组成图形）。")</f>
        <v>马赛克（由木头、中密度纤维板或塑料制成的彩色几何块或木钉，用于组成图形）。</v>
      </c>
      <c r="L107" s="193"/>
      <c r="M107" s="191"/>
      <c r="N107" s="191"/>
      <c r="O107" s="191"/>
      <c r="P107" s="191"/>
      <c r="Q107" s="227"/>
      <c r="R107" s="227"/>
      <c r="S107" s="227"/>
      <c r="T107" s="191"/>
      <c r="U107" s="191"/>
      <c r="V107" s="191"/>
      <c r="W107" s="191"/>
      <c r="X107" s="193"/>
      <c r="Y107" s="227"/>
      <c r="Z107" s="227"/>
      <c r="AA107" s="227"/>
      <c r="AB107" s="193"/>
      <c r="AC107" s="227"/>
      <c r="AD107" s="227"/>
      <c r="AE107" s="227"/>
      <c r="AF107" s="193"/>
      <c r="AG107" s="193"/>
      <c r="AH107" s="191"/>
    </row>
    <row r="108">
      <c r="A108" s="305" t="s">
        <v>2769</v>
      </c>
      <c r="B108" s="306" t="str">
        <f>IFERROR(__xludf.DUMMYFUNCTION("GOOGLETRANSLATE(A108,""pt"",""en"")"),"Electric humidifier for use in conjunction with heating, ventilation, or air conditioning systems.")</f>
        <v>Electric humidifier for use in conjunction with heating, ventilation, or air conditioning systems.</v>
      </c>
      <c r="C108" s="307" t="str">
        <f>IFERROR(__xludf.DUMMYFUNCTION("GOOGLETRANSLATE(A108,""pt"",""zh-cn"")"),"可与供暖、通风或空调系统配合使用的电动加湿器。")</f>
        <v>可与供暖、通风或空调系统配合使用的电动加湿器。</v>
      </c>
      <c r="D108" s="193"/>
      <c r="E108" s="229"/>
      <c r="F108" s="229"/>
      <c r="G108" s="227"/>
      <c r="H108" s="193"/>
      <c r="I108" s="308" t="s">
        <v>2770</v>
      </c>
      <c r="J108" s="309" t="str">
        <f>IFERROR(__xludf.DUMMYFUNCTION("GOOGLETRANSLATE(I108,""pt"",""en"")"),"Naninhas (Product made of fabric or soft material, accompanied by a playful object such as the head of a character or animal).")</f>
        <v>Naninhas (Product made of fabric or soft material, accompanied by a playful object such as the head of a character or animal).</v>
      </c>
      <c r="K108" s="310" t="str">
        <f>IFERROR(__xludf.DUMMYFUNCTION("GOOGLETRANSLATE(I108,""pt"",""zh-cn"")"),"Naninhas（由织物或柔软材料制成的产品，配有趣味物品，例如人物或动物的头部）。")</f>
        <v>Naninhas（由织物或柔软材料制成的产品，配有趣味物品，例如人物或动物的头部）。</v>
      </c>
      <c r="L108" s="193"/>
      <c r="M108" s="191"/>
      <c r="N108" s="191"/>
      <c r="O108" s="191"/>
      <c r="P108" s="191"/>
      <c r="Q108" s="227"/>
      <c r="R108" s="227"/>
      <c r="S108" s="227"/>
      <c r="T108" s="191"/>
      <c r="U108" s="191"/>
      <c r="V108" s="191"/>
      <c r="W108" s="191"/>
      <c r="X108" s="193"/>
      <c r="Y108" s="227"/>
      <c r="Z108" s="227"/>
      <c r="AA108" s="227"/>
      <c r="AB108" s="193"/>
      <c r="AC108" s="227"/>
      <c r="AD108" s="227"/>
      <c r="AE108" s="227"/>
      <c r="AF108" s="193"/>
      <c r="AG108" s="193"/>
      <c r="AH108" s="191"/>
    </row>
    <row r="109">
      <c r="A109" s="311" t="s">
        <v>2771</v>
      </c>
      <c r="B109" s="312" t="str">
        <f>IFERROR(__xludf.DUMMYFUNCTION("GOOGLETRANSLATE(A109,""pt"",""en"")"),"Electric humidifier")</f>
        <v>Electric humidifier</v>
      </c>
      <c r="C109" s="313" t="str">
        <f>IFERROR(__xludf.DUMMYFUNCTION("GOOGLETRANSLATE(A109,""pt"",""zh-cn"")"),"电动加湿器")</f>
        <v>电动加湿器</v>
      </c>
      <c r="D109" s="193"/>
      <c r="E109" s="229"/>
      <c r="F109" s="229"/>
      <c r="G109" s="227"/>
      <c r="H109" s="193"/>
      <c r="I109" s="214" t="s">
        <v>2772</v>
      </c>
      <c r="J109" s="213" t="str">
        <f>IFERROR(__xludf.DUMMYFUNCTION("GOOGLETRANSLATE(I109,""pt"",""en"")"),"Flying objects (Kites, toy boomerangs, small simple airplanes with string, among other toys that are made to fly).")</f>
        <v>Flying objects (Kites, toy boomerangs, small simple airplanes with string, among other toys that are made to fly).</v>
      </c>
      <c r="K109" s="214" t="str">
        <f>IFERROR(__xludf.DUMMYFUNCTION("GOOGLETRANSLATE(I109,""pt"",""zh-cn"")"),"飞行物（风筝、玩具回旋镖、带绳子的小型简易飞机以及其他可以飞行的玩具）。")</f>
        <v>飞行物（风筝、玩具回旋镖、带绳子的小型简易飞机以及其他可以飞行的玩具）。</v>
      </c>
      <c r="L109" s="193"/>
      <c r="M109" s="191"/>
      <c r="N109" s="191"/>
      <c r="O109" s="191"/>
      <c r="P109" s="191"/>
      <c r="Q109" s="227"/>
      <c r="R109" s="227"/>
      <c r="S109" s="227"/>
      <c r="T109" s="191"/>
      <c r="U109" s="191"/>
      <c r="V109" s="191"/>
      <c r="W109" s="191"/>
      <c r="X109" s="193"/>
      <c r="Y109" s="227"/>
      <c r="Z109" s="227"/>
      <c r="AA109" s="227"/>
      <c r="AB109" s="193"/>
      <c r="AC109" s="227"/>
      <c r="AD109" s="227"/>
      <c r="AE109" s="227"/>
      <c r="AF109" s="193"/>
      <c r="AG109" s="193"/>
      <c r="AH109" s="191"/>
    </row>
    <row r="110">
      <c r="A110" s="314" t="s">
        <v>2773</v>
      </c>
      <c r="B110" s="315" t="str">
        <f>IFERROR(__xludf.DUMMYFUNCTION("GOOGLETRANSLATE(A110,""pt"",""en"")"),"Group 11: Motors and electric controls")</f>
        <v>Group 11: Motors and electric controls</v>
      </c>
      <c r="C110" s="316" t="str">
        <f>IFERROR(__xludf.DUMMYFUNCTION("GOOGLETRANSLATE(A110,""pt"",""zh-cn"")"),"第 11 组：电机和电气控制")</f>
        <v>第 11 组：电机和电气控制</v>
      </c>
      <c r="D110" s="193"/>
      <c r="E110" s="229"/>
      <c r="F110" s="229"/>
      <c r="G110" s="227"/>
      <c r="H110" s="193"/>
      <c r="I110" s="214" t="s">
        <v>2774</v>
      </c>
      <c r="J110" s="213" t="str">
        <f>IFERROR(__xludf.DUMMYFUNCTION("GOOGLETRANSLATE(I110,""pt"",""en"")"),"Obstacles and courses (Toys, with or without obstacles, with plastic, fabric or rubber mats, that have courses, letters, animals, numbers, characters, among other playful activities).")</f>
        <v>Obstacles and courses (Toys, with or without obstacles, with plastic, fabric or rubber mats, that have courses, letters, animals, numbers, characters, among other playful activities).</v>
      </c>
      <c r="K110" s="214" t="str">
        <f>IFERROR(__xludf.DUMMYFUNCTION("GOOGLETRANSLATE(I110,""pt"",""zh-cn"")"),"障碍物和赛道（玩具，带或不带障碍物，带塑料、织物或橡胶垫，包含赛道、字母、动物、数字、人物等游戏活动）。")</f>
        <v>障碍物和赛道（玩具，带或不带障碍物，带塑料、织物或橡胶垫，包含赛道、字母、动物、数字、人物等游戏活动）。</v>
      </c>
      <c r="L110" s="193"/>
      <c r="M110" s="191"/>
      <c r="N110" s="191"/>
      <c r="O110" s="191"/>
      <c r="P110" s="191"/>
      <c r="Q110" s="227"/>
      <c r="R110" s="227"/>
      <c r="S110" s="227"/>
      <c r="T110" s="191"/>
      <c r="U110" s="191"/>
      <c r="V110" s="191"/>
      <c r="W110" s="191"/>
      <c r="X110" s="193"/>
      <c r="Y110" s="227"/>
      <c r="Z110" s="227"/>
      <c r="AA110" s="227"/>
      <c r="AB110" s="193"/>
      <c r="AC110" s="227"/>
      <c r="AD110" s="227"/>
      <c r="AE110" s="227"/>
      <c r="AF110" s="193"/>
      <c r="AG110" s="193"/>
      <c r="AH110" s="191"/>
    </row>
    <row r="111">
      <c r="A111" s="317" t="s">
        <v>2775</v>
      </c>
      <c r="B111" s="318" t="str">
        <f>IFERROR(__xludf.DUMMYFUNCTION("GOOGLETRANSLATE(A111,""pt"",""en"")"),"Electric motor for garage door.")</f>
        <v>Electric motor for garage door.</v>
      </c>
      <c r="C111" s="319" t="str">
        <f>IFERROR(__xludf.DUMMYFUNCTION("GOOGLETRANSLATE(A111,""pt"",""zh-cn"")"),"车库门用电动机。")</f>
        <v>车库门用电动机。</v>
      </c>
      <c r="D111" s="193"/>
      <c r="E111" s="229"/>
      <c r="F111" s="229"/>
      <c r="G111" s="227"/>
      <c r="H111" s="193"/>
      <c r="I111" s="214" t="s">
        <v>2776</v>
      </c>
      <c r="J111" s="213" t="str">
        <f>IFERROR(__xludf.DUMMYFUNCTION("GOOGLETRANSLATE(I111,""pt"",""en"")"),"Scooter (A children's vehicle for non-professional use consisting of a board mounted on two or more wheels and equipped with a steering rod, designed for children up to 14 (fourteen) years of age, regardless of the maximum load it can support. Electric on"&amp;"es, which operate...)")</f>
        <v>Scooter (A children's vehicle for non-professional use consisting of a board mounted on two or more wheels and equipped with a steering rod, designed for children up to 14 (fourteen) years of age, regardless of the maximum load it can support. Electric ones, which operate...)</v>
      </c>
      <c r="K111" s="214" t="str">
        <f>IFERROR(__xludf.DUMMYFUNCTION("GOOGLETRANSLATE(I111,""pt"",""zh-cn"")"),"滑板车（一种儿童非专业用途车辆，由安装在两个或多个轮子上的板子和转向杆组成，设计用于14岁以下儿童，无论其最大承重是多少。电动滑板车……）")</f>
        <v>滑板车（一种儿童非专业用途车辆，由安装在两个或多个轮子上的板子和转向杆组成，设计用于14岁以下儿童，无论其最大承重是多少。电动滑板车……）</v>
      </c>
      <c r="L111" s="193"/>
      <c r="M111" s="191"/>
      <c r="N111" s="191"/>
      <c r="O111" s="191"/>
      <c r="P111" s="191"/>
      <c r="Q111" s="227"/>
      <c r="R111" s="227"/>
      <c r="S111" s="227"/>
      <c r="T111" s="191"/>
      <c r="U111" s="191"/>
      <c r="V111" s="191"/>
      <c r="W111" s="191"/>
      <c r="X111" s="193"/>
      <c r="Y111" s="227"/>
      <c r="Z111" s="227"/>
      <c r="AA111" s="227"/>
      <c r="AB111" s="193"/>
      <c r="AC111" s="227"/>
      <c r="AD111" s="227"/>
      <c r="AE111" s="227"/>
      <c r="AF111" s="193"/>
      <c r="AG111" s="193"/>
      <c r="AH111" s="191"/>
    </row>
    <row r="112">
      <c r="A112" s="317" t="s">
        <v>2777</v>
      </c>
      <c r="B112" s="318" t="str">
        <f>IFERROR(__xludf.DUMMYFUNCTION("GOOGLETRANSLATE(A112,""pt"",""en"")"),"Electric control or electric motor for doors / Folding doors / Revolving doors / Rolling doors / Windows / Skylights / Retractable roofs and similar")</f>
        <v>Electric control or electric motor for doors / Folding doors / Revolving doors / Rolling doors / Windows / Skylights / Retractable roofs and similar</v>
      </c>
      <c r="C112" s="319" t="str">
        <f>IFERROR(__xludf.DUMMYFUNCTION("GOOGLETRANSLATE(A112,""pt"",""zh-cn"")"),"门/折叠门/旋转门/卷帘门/窗户/天窗/伸缩屋顶等的电动控制装置或电机")</f>
        <v>门/折叠门/旋转门/卷帘门/窗户/天窗/伸缩屋顶等的电动控制装置或电机</v>
      </c>
      <c r="D112" s="193"/>
      <c r="E112" s="229"/>
      <c r="F112" s="229"/>
      <c r="G112" s="227"/>
      <c r="H112" s="193"/>
      <c r="I112" s="214" t="s">
        <v>2778</v>
      </c>
      <c r="J112" s="213" t="str">
        <f>IFERROR(__xludf.DUMMYFUNCTION("GOOGLETRANSLATE(I112,""pt"",""en"")"),"Toy skates or roller skates (Footwear with a metal blade on the sole (for gliding on ice) or wheels (for rolling on smooth pavement), for non-professional use, regardless of the maximum weight it can support).")</f>
        <v>Toy skates or roller skates (Footwear with a metal blade on the sole (for gliding on ice) or wheels (for rolling on smooth pavement), for non-professional use, regardless of the maximum weight it can support).</v>
      </c>
      <c r="K112" s="214" t="str">
        <f>IFERROR(__xludf.DUMMYFUNCTION("GOOGLETRANSLATE(I112,""pt"",""zh-cn"")"),"玩具溜冰鞋或轮滑鞋（鞋底带有金属刀片（用于在冰上滑行）或轮子（用于在光滑路面上滚动）的鞋子，供非专业用途，无论其最大承重是多少）。")</f>
        <v>玩具溜冰鞋或轮滑鞋（鞋底带有金属刀片（用于在冰上滑行）或轮子（用于在光滑路面上滚动）的鞋子，供非专业用途，无论其最大承重是多少）。</v>
      </c>
      <c r="L112" s="193"/>
      <c r="M112" s="191"/>
      <c r="N112" s="191"/>
      <c r="O112" s="191"/>
      <c r="P112" s="191"/>
      <c r="Q112" s="227"/>
      <c r="R112" s="227"/>
      <c r="S112" s="227"/>
      <c r="T112" s="191"/>
      <c r="U112" s="191"/>
      <c r="V112" s="191"/>
      <c r="W112" s="191"/>
      <c r="X112" s="193"/>
      <c r="Y112" s="227"/>
      <c r="Z112" s="227"/>
      <c r="AA112" s="227"/>
      <c r="AB112" s="193"/>
      <c r="AC112" s="227"/>
      <c r="AD112" s="227"/>
      <c r="AE112" s="227"/>
      <c r="AF112" s="193"/>
      <c r="AG112" s="193"/>
      <c r="AH112" s="191"/>
    </row>
    <row r="113">
      <c r="A113" s="320" t="s">
        <v>2779</v>
      </c>
      <c r="B113" s="321" t="str">
        <f>IFERROR(__xludf.DUMMYFUNCTION("GOOGLETRANSLATE(A113,""pt"",""en"")"),"Electric control or electric motor for awnings / curtains / grilles / projection screens / blinds and similar items.")</f>
        <v>Electric control or electric motor for awnings / curtains / grilles / projection screens / blinds and similar items.</v>
      </c>
      <c r="C113" s="322" t="str">
        <f>IFERROR(__xludf.DUMMYFUNCTION("GOOGLETRANSLATE(A113,""pt"",""zh-cn"")"),"遮阳篷/窗帘/格栅/投影屏幕/百叶窗及类似物品的电动控制或电动马达。")</f>
        <v>遮阳篷/窗帘/格栅/投影屏幕/百叶窗及类似物品的电动控制或电动马达。</v>
      </c>
      <c r="D113" s="193"/>
      <c r="E113" s="229"/>
      <c r="F113" s="229"/>
      <c r="G113" s="227"/>
      <c r="H113" s="193"/>
      <c r="I113" s="214" t="s">
        <v>2780</v>
      </c>
      <c r="J113" s="213" t="str">
        <f>IFERROR(__xludf.DUMMYFUNCTION("GOOGLETRANSLATE(I113,""pt"",""en"")"),"Toy hair accessories and jewelry making set (Set with pieces for children to make jewelry; toy hair accessories (mini comb, brush, mirror – real or imitation – with or without a playful design)).")</f>
        <v>Toy hair accessories and jewelry making set (Set with pieces for children to make jewelry; toy hair accessories (mini comb, brush, mirror – real or imitation – with or without a playful design)).</v>
      </c>
      <c r="K113" s="214" t="str">
        <f>IFERROR(__xludf.DUMMYFUNCTION("GOOGLETRANSLATE(I113,""pt"",""zh-cn"")"),"玩具发饰和珠宝制作套装（包含儿童制作珠宝所需的零件；玩具发饰（迷你梳子、刷子、镜子——真品或仿品——带或不带趣味设计））。")</f>
        <v>玩具发饰和珠宝制作套装（包含儿童制作珠宝所需的零件；玩具发饰（迷你梳子、刷子、镜子——真品或仿品——带或不带趣味设计））。</v>
      </c>
      <c r="L113" s="193"/>
      <c r="M113" s="191"/>
      <c r="N113" s="191"/>
      <c r="O113" s="191"/>
      <c r="P113" s="191"/>
      <c r="Q113" s="227"/>
      <c r="R113" s="227"/>
      <c r="S113" s="227"/>
      <c r="T113" s="191"/>
      <c r="U113" s="191"/>
      <c r="V113" s="191"/>
      <c r="W113" s="191"/>
      <c r="X113" s="193"/>
      <c r="Y113" s="227"/>
      <c r="Z113" s="227"/>
      <c r="AA113" s="227"/>
      <c r="AB113" s="193"/>
      <c r="AC113" s="227"/>
      <c r="AD113" s="227"/>
      <c r="AE113" s="227"/>
      <c r="AF113" s="193"/>
      <c r="AG113" s="193"/>
      <c r="AH113" s="191"/>
    </row>
    <row r="114">
      <c r="A114" s="323" t="s">
        <v>2781</v>
      </c>
      <c r="B114" s="324" t="str">
        <f>IFERROR(__xludf.DUMMYFUNCTION("GOOGLETRANSLATE(A114,""pt"",""en"")"),"Group 12: Machines and apparatus for use with animals")</f>
        <v>Group 12: Machines and apparatus for use with animals</v>
      </c>
      <c r="C114" s="325" t="str">
        <f>IFERROR(__xludf.DUMMYFUNCTION("GOOGLETRANSLATE(A114,""pt"",""zh-cn"")"),"第12组：用于动物的机器和设备")</f>
        <v>第12组：用于动物的机器和设备</v>
      </c>
      <c r="D114" s="193"/>
      <c r="E114" s="229"/>
      <c r="F114" s="229"/>
      <c r="G114" s="227"/>
      <c r="H114" s="193"/>
      <c r="I114" s="214" t="s">
        <v>2782</v>
      </c>
      <c r="J114" s="213" t="str">
        <f>IFERROR(__xludf.DUMMYFUNCTION("GOOGLETRANSLATE(I114,""pt"",""en"")"),"Shuttlecocks (Sporting artifact consisting of a base that concentrates almost all of its weight, usually made of rubber, and a lighter extension, normally made of natural or synthetic feathers. A shuttlecock intended for adult use is not considered a toy."&amp;")")</f>
        <v>Shuttlecocks (Sporting artifact consisting of a base that concentrates almost all of its weight, usually made of rubber, and a lighter extension, normally made of natural or synthetic feathers. A shuttlecock intended for adult use is not considered a toy.)</v>
      </c>
      <c r="K114" s="214" t="str">
        <f>IFERROR(__xludf.DUMMYFUNCTION("GOOGLETRANSLATE(I114,""pt"",""zh-cn"")"),"羽毛球（一种体育运动用具，由一个几乎承载全部重量的底座（通常由橡胶制成）和一个较轻的延伸部分（通常由天然或人造羽毛制成）组成。供成人使用的羽毛球不属于玩具。）")</f>
        <v>羽毛球（一种体育运动用具，由一个几乎承载全部重量的底座（通常由橡胶制成）和一个较轻的延伸部分（通常由天然或人造羽毛制成）组成。供成人使用的羽毛球不属于玩具。）</v>
      </c>
      <c r="L114" s="193"/>
      <c r="M114" s="191"/>
      <c r="N114" s="191"/>
      <c r="O114" s="191"/>
      <c r="P114" s="191"/>
      <c r="Q114" s="227"/>
      <c r="R114" s="227"/>
      <c r="S114" s="227"/>
      <c r="T114" s="191"/>
      <c r="U114" s="191"/>
      <c r="V114" s="191"/>
      <c r="W114" s="191"/>
      <c r="X114" s="193"/>
      <c r="Y114" s="227"/>
      <c r="Z114" s="227"/>
      <c r="AA114" s="227"/>
      <c r="AB114" s="193"/>
      <c r="AC114" s="227"/>
      <c r="AD114" s="227"/>
      <c r="AE114" s="227"/>
      <c r="AF114" s="193"/>
      <c r="AG114" s="193"/>
      <c r="AH114" s="191"/>
    </row>
    <row r="115" ht="64.5" customHeight="1">
      <c r="A115" s="326" t="s">
        <v>2783</v>
      </c>
      <c r="B115" s="327" t="str">
        <f>IFERROR(__xludf.DUMMYFUNCTION("GOOGLETRANSLATE(A115,""pt"",""en"")"),"Electric animal feed feeder")</f>
        <v>Electric animal feed feeder</v>
      </c>
      <c r="C115" s="328" t="str">
        <f>IFERROR(__xludf.DUMMYFUNCTION("GOOGLETRANSLATE(A115,""pt"",""zh-cn"")"),"电动动物饲料喂食器")</f>
        <v>电动动物饲料喂食器</v>
      </c>
      <c r="D115" s="193"/>
      <c r="E115" s="229"/>
      <c r="F115" s="229"/>
      <c r="G115" s="227"/>
      <c r="H115" s="193"/>
      <c r="I115" s="214" t="s">
        <v>2784</v>
      </c>
      <c r="J115" s="213" t="str">
        <f>IFERROR(__xludf.DUMMYFUNCTION("GOOGLETRANSLATE(I115,""pt"",""en"")"),"Toy stilts (Equipment that alters a child's normal height and allows locomotion by balancing on their legs, intended for play. Except for leg extenders for sports).")</f>
        <v>Toy stilts (Equipment that alters a child's normal height and allows locomotion by balancing on their legs, intended for play. Except for leg extenders for sports).</v>
      </c>
      <c r="K115" s="214" t="str">
        <f>IFERROR(__xludf.DUMMYFUNCTION("GOOGLETRANSLATE(I115,""pt"",""zh-cn"")"),"玩具高跷（一种改变儿童正常身高并允许儿童通过双腿保持平衡来移动的设备，供玩耍之用。运动用腿部延长器除外）。")</f>
        <v>玩具高跷（一种改变儿童正常身高并允许儿童通过双腿保持平衡来移动的设备，供玩耍之用。运动用腿部延长器除外）。</v>
      </c>
      <c r="L115" s="193"/>
      <c r="M115" s="191"/>
      <c r="N115" s="191"/>
      <c r="O115" s="191"/>
      <c r="P115" s="191"/>
      <c r="Q115" s="227"/>
      <c r="R115" s="227"/>
      <c r="S115" s="227"/>
      <c r="T115" s="191"/>
      <c r="U115" s="191"/>
      <c r="V115" s="191"/>
      <c r="W115" s="191"/>
      <c r="X115" s="193"/>
      <c r="Y115" s="227"/>
      <c r="Z115" s="227"/>
      <c r="AA115" s="227"/>
      <c r="AB115" s="193"/>
      <c r="AC115" s="227"/>
      <c r="AD115" s="227"/>
      <c r="AE115" s="227"/>
      <c r="AF115" s="193"/>
      <c r="AG115" s="193"/>
      <c r="AH115" s="191"/>
    </row>
    <row r="116" ht="64.5" customHeight="1">
      <c r="A116" s="326" t="s">
        <v>2785</v>
      </c>
      <c r="B116" s="327" t="str">
        <f>IFERROR(__xludf.DUMMYFUNCTION("GOOGLETRANSLATE(A116,""pt"",""en"")"),"Electric heating device for animal breeding and reproduction.")</f>
        <v>Electric heating device for animal breeding and reproduction.</v>
      </c>
      <c r="C116" s="328" t="str">
        <f>IFERROR(__xludf.DUMMYFUNCTION("GOOGLETRANSLATE(A116,""pt"",""zh-cn"")"),"用于动物繁殖和饲养的电加热装置。")</f>
        <v>用于动物繁殖和饲养的电加热装置。</v>
      </c>
      <c r="D116" s="193"/>
      <c r="E116" s="229"/>
      <c r="F116" s="229"/>
      <c r="G116" s="227"/>
      <c r="H116" s="193"/>
      <c r="I116" s="214" t="s">
        <v>2786</v>
      </c>
      <c r="J116" s="213" t="str">
        <f>IFERROR(__xludf.DUMMYFUNCTION("GOOGLETRANSLATE(I116,""pt"",""en"")"),"Characters from the children's universe (Superheroes, cartoon characters, artists and athletes famous among children and teenagers, with or without joints, with or without a fixed base that cannot be removed without the aid of a tool).")</f>
        <v>Characters from the children's universe (Superheroes, cartoon characters, artists and athletes famous among children and teenagers, with or without joints, with or without a fixed base that cannot be removed without the aid of a tool).</v>
      </c>
      <c r="K116" s="214" t="str">
        <f>IFERROR(__xludf.DUMMYFUNCTION("GOOGLETRANSLATE(I116,""pt"",""zh-cn"")"),"来自儿童世界的角色（超级英雄、卡通人物、在儿童和青少年中知名的艺术家和运动员，有关节或无关节，有固定底座或无固定底座，固定底座必须借助工具才能拆卸）。")</f>
        <v>来自儿童世界的角色（超级英雄、卡通人物、在儿童和青少年中知名的艺术家和运动员，有关节或无关节，有固定底座或无固定底座，固定底座必须借助工具才能拆卸）。</v>
      </c>
      <c r="L116" s="193"/>
      <c r="M116" s="191"/>
      <c r="N116" s="191"/>
      <c r="O116" s="191"/>
      <c r="P116" s="191"/>
      <c r="Q116" s="227"/>
      <c r="R116" s="227"/>
      <c r="S116" s="227"/>
      <c r="T116" s="191"/>
      <c r="U116" s="191"/>
      <c r="V116" s="191"/>
      <c r="W116" s="191"/>
      <c r="X116" s="193"/>
      <c r="Y116" s="227"/>
      <c r="Z116" s="227"/>
      <c r="AA116" s="227"/>
      <c r="AB116" s="193"/>
      <c r="AC116" s="227"/>
      <c r="AD116" s="227"/>
      <c r="AE116" s="227"/>
      <c r="AF116" s="193"/>
      <c r="AG116" s="193"/>
      <c r="AH116" s="191"/>
    </row>
    <row r="117">
      <c r="A117" s="329" t="s">
        <v>2787</v>
      </c>
      <c r="B117" s="330" t="str">
        <f>IFERROR(__xludf.DUMMYFUNCTION("GOOGLETRANSLATE(A117,""pt"",""en"")"),"Electric shock equipment for animals")</f>
        <v>Electric shock equipment for animals</v>
      </c>
      <c r="C117" s="331" t="str">
        <f>IFERROR(__xludf.DUMMYFUNCTION("GOOGLETRANSLATE(A117,""pt"",""zh-cn"")"),"动物用电击设备")</f>
        <v>动物用电击设备</v>
      </c>
      <c r="D117" s="193"/>
      <c r="E117" s="229"/>
      <c r="F117" s="229"/>
      <c r="G117" s="227"/>
      <c r="H117" s="193"/>
      <c r="I117" s="214" t="s">
        <v>2788</v>
      </c>
      <c r="J117" s="213" t="str">
        <f>IFERROR(__xludf.DUMMYFUNCTION("GOOGLETRANSLATE(I117,""pt"",""en"")"),"Spinning top (Pear-shaped toy that spins when launched with a string or rubbed). Note: Except for professional spinning tops with metal tips. In this case, the product must display the label: WARNING! THIS PRODUCT IS NOT A TOY.")</f>
        <v>Spinning top (Pear-shaped toy that spins when launched with a string or rubbed). Note: Except for professional spinning tops with metal tips. In this case, the product must display the label: WARNING! THIS PRODUCT IS NOT A TOY.</v>
      </c>
      <c r="K117" s="214" t="str">
        <f>IFERROR(__xludf.DUMMYFUNCTION("GOOGLETRANSLATE(I117,""pt"",""zh-cn"")"),"陀螺（梨形玩具，用绳子发射或摩擦后会旋转）。注意：专业金属头陀螺除外。此类产品必须贴有标签：警告！本产品并非玩具。")</f>
        <v>陀螺（梨形玩具，用绳子发射或摩擦后会旋转）。注意：专业金属头陀螺除外。此类产品必须贴有标签：警告！本产品并非玩具。</v>
      </c>
      <c r="L117" s="193"/>
      <c r="M117" s="191"/>
      <c r="N117" s="191"/>
      <c r="O117" s="191"/>
      <c r="P117" s="191"/>
      <c r="Q117" s="227"/>
      <c r="R117" s="227"/>
      <c r="S117" s="227"/>
      <c r="T117" s="191"/>
      <c r="U117" s="191"/>
      <c r="V117" s="191"/>
      <c r="W117" s="191"/>
      <c r="X117" s="193"/>
      <c r="Y117" s="227"/>
      <c r="Z117" s="227"/>
      <c r="AA117" s="227"/>
      <c r="AB117" s="193"/>
      <c r="AC117" s="227"/>
      <c r="AD117" s="227"/>
      <c r="AE117" s="227"/>
      <c r="AF117" s="193"/>
      <c r="AG117" s="193"/>
      <c r="AH117" s="191"/>
    </row>
    <row r="118">
      <c r="A118" s="329" t="s">
        <v>2789</v>
      </c>
      <c r="B118" s="330" t="str">
        <f>IFERROR(__xludf.DUMMYFUNCTION("GOOGLETRANSLATE(A118,""pt"",""en"")"),"Electric horn cutting (dehorning) tool")</f>
        <v>Electric horn cutting (dehorning) tool</v>
      </c>
      <c r="C118" s="331" t="str">
        <f>IFERROR(__xludf.DUMMYFUNCTION("GOOGLETRANSLATE(A118,""pt"",""zh-cn"")"),"电动牛角切割（去角）工具")</f>
        <v>电动牛角切割（去角）工具</v>
      </c>
      <c r="D118" s="193"/>
      <c r="E118" s="229"/>
      <c r="F118" s="229"/>
      <c r="G118" s="227"/>
      <c r="H118" s="193"/>
      <c r="I118" s="214" t="s">
        <v>2790</v>
      </c>
      <c r="J118" s="213" t="str">
        <f>IFERROR(__xludf.DUMMYFUNCTION("GOOGLETRANSLATE(I118,""pt"",""en"")"),"Toy ping-pong, tennis and beach racket set (Set of rackets, net and toy ball for ping-pong, tennis and beach racket games that are not for professional use).")</f>
        <v>Toy ping-pong, tennis and beach racket set (Set of rackets, net and toy ball for ping-pong, tennis and beach racket games that are not for professional use).</v>
      </c>
      <c r="K118" s="214" t="str">
        <f>IFERROR(__xludf.DUMMYFUNCTION("GOOGLETRANSLATE(I118,""pt"",""zh-cn"")"),"玩具乒乓球、网球和沙滩球拍套装（一套球拍、球网和玩具球，用于乒乓球、网球和沙滩球拍游戏，非专业用途）。")</f>
        <v>玩具乒乓球、网球和沙滩球拍套装（一套球拍、球网和玩具球，用于乒乓球、网球和沙滩球拍游戏，非专业用途）。</v>
      </c>
      <c r="L118" s="193"/>
      <c r="M118" s="191"/>
      <c r="N118" s="191"/>
      <c r="O118" s="191"/>
      <c r="P118" s="191"/>
      <c r="Q118" s="227"/>
      <c r="R118" s="227"/>
      <c r="S118" s="227"/>
      <c r="T118" s="191"/>
      <c r="U118" s="191"/>
      <c r="V118" s="191"/>
      <c r="W118" s="191"/>
      <c r="X118" s="193"/>
      <c r="Y118" s="227"/>
      <c r="Z118" s="227"/>
      <c r="AA118" s="227"/>
      <c r="AB118" s="193"/>
      <c r="AC118" s="227"/>
      <c r="AD118" s="227"/>
      <c r="AE118" s="227"/>
      <c r="AF118" s="193"/>
      <c r="AG118" s="193"/>
      <c r="AH118" s="191"/>
    </row>
    <row r="119">
      <c r="A119" s="329" t="s">
        <v>2791</v>
      </c>
      <c r="B119" s="330" t="str">
        <f>IFERROR(__xludf.DUMMYFUNCTION("GOOGLETRANSLATE(A119,""pt"",""en"")"),"Electric milking machine")</f>
        <v>Electric milking machine</v>
      </c>
      <c r="C119" s="331" t="str">
        <f>IFERROR(__xludf.DUMMYFUNCTION("GOOGLETRANSLATE(A119,""pt"",""zh-cn"")"),"电动挤奶机")</f>
        <v>电动挤奶机</v>
      </c>
      <c r="D119" s="193"/>
      <c r="E119" s="229"/>
      <c r="F119" s="229"/>
      <c r="G119" s="227"/>
      <c r="H119" s="193"/>
      <c r="I119" s="214" t="s">
        <v>2792</v>
      </c>
      <c r="J119" s="213" t="str">
        <f>IFERROR(__xludf.DUMMYFUNCTION("GOOGLETRANSLATE(I119,""pt"",""en"")"),"Kite (Complete toy or kit to assemble a kite).")</f>
        <v>Kite (Complete toy or kit to assemble a kite).</v>
      </c>
      <c r="K119" s="214" t="str">
        <f>IFERROR(__xludf.DUMMYFUNCTION("GOOGLETRANSLATE(I119,""pt"",""zh-cn"")"),"风筝（完整的玩具或组装风筝的套件）。")</f>
        <v>风筝（完整的玩具或组装风筝的套件）。</v>
      </c>
      <c r="L119" s="193"/>
      <c r="M119" s="191"/>
      <c r="N119" s="191"/>
      <c r="O119" s="191"/>
      <c r="P119" s="191"/>
      <c r="Q119" s="227"/>
      <c r="R119" s="227"/>
      <c r="S119" s="227"/>
      <c r="T119" s="191"/>
      <c r="U119" s="191"/>
      <c r="V119" s="191"/>
      <c r="W119" s="191"/>
      <c r="X119" s="193"/>
      <c r="Y119" s="227"/>
      <c r="Z119" s="227"/>
      <c r="AA119" s="227"/>
      <c r="AB119" s="193"/>
      <c r="AC119" s="227"/>
      <c r="AD119" s="227"/>
      <c r="AE119" s="227"/>
      <c r="AF119" s="193"/>
      <c r="AG119" s="193"/>
      <c r="AH119" s="191"/>
    </row>
    <row r="120">
      <c r="A120" s="332" t="s">
        <v>2793</v>
      </c>
      <c r="B120" s="333" t="str">
        <f>IFERROR(__xludf.DUMMYFUNCTION("GOOGLETRANSLATE(A120,""pt"",""en"")"),"Electric fishing machine")</f>
        <v>Electric fishing machine</v>
      </c>
      <c r="C120" s="334" t="str">
        <f>IFERROR(__xludf.DUMMYFUNCTION("GOOGLETRANSLATE(A120,""pt"",""zh-cn"")"),"电动捕鱼机")</f>
        <v>电动捕鱼机</v>
      </c>
      <c r="D120" s="193"/>
      <c r="E120" s="229"/>
      <c r="F120" s="229"/>
      <c r="G120" s="227"/>
      <c r="H120" s="193"/>
      <c r="I120" s="214" t="s">
        <v>2794</v>
      </c>
      <c r="J120" s="213" t="str">
        <f>IFERROR(__xludf.DUMMYFUNCTION("GOOGLETRANSLATE(I120,""pt"",""en"")"),"Inflatable children's pool or bathtub (Inflatable pool or bathtub with a water level up to 30 cm high, with or without a playful design).")</f>
        <v>Inflatable children's pool or bathtub (Inflatable pool or bathtub with a water level up to 30 cm high, with or without a playful design).</v>
      </c>
      <c r="K120" s="214" t="str">
        <f>IFERROR(__xludf.DUMMYFUNCTION("GOOGLETRANSLATE(I120,""pt"",""zh-cn"")"),"充气儿童泳池或浴缸（水位高度达 30 厘米的充气泳池或浴缸，可带或不带趣味设计）。")</f>
        <v>充气儿童泳池或浴缸（水位高度达 30 厘米的充气泳池或浴缸，可带或不带趣味设计）。</v>
      </c>
      <c r="L120" s="193"/>
      <c r="M120" s="191"/>
      <c r="N120" s="191"/>
      <c r="O120" s="191"/>
      <c r="P120" s="191"/>
      <c r="Q120" s="227"/>
      <c r="R120" s="227"/>
      <c r="S120" s="227"/>
      <c r="T120" s="191"/>
      <c r="U120" s="191"/>
      <c r="V120" s="191"/>
      <c r="W120" s="191"/>
      <c r="X120" s="193"/>
      <c r="Y120" s="227"/>
      <c r="Z120" s="227"/>
      <c r="AA120" s="227"/>
      <c r="AB120" s="193"/>
      <c r="AC120" s="227"/>
      <c r="AD120" s="227"/>
      <c r="AE120" s="227"/>
      <c r="AF120" s="193"/>
      <c r="AG120" s="193"/>
      <c r="AH120" s="191"/>
    </row>
    <row r="121">
      <c r="A121" s="335" t="s">
        <v>2795</v>
      </c>
      <c r="B121" s="336" t="str">
        <f>IFERROR(__xludf.DUMMYFUNCTION("GOOGLETRANSLATE(A121,""pt"",""en"")"),"Group 13: Tools")</f>
        <v>Group 13: Tools</v>
      </c>
      <c r="C121" s="337" t="str">
        <f>IFERROR(__xludf.DUMMYFUNCTION("GOOGLETRANSLATE(A121,""pt"",""zh-cn"")"),"第 13 组：工具")</f>
        <v>第 13 组：工具</v>
      </c>
      <c r="D121" s="193"/>
      <c r="E121" s="229"/>
      <c r="F121" s="229"/>
      <c r="G121" s="227"/>
      <c r="H121" s="193"/>
      <c r="I121" s="214" t="s">
        <v>2796</v>
      </c>
      <c r="J121" s="213" t="str">
        <f>IFERROR(__xludf.DUMMYFUNCTION("GOOGLETRANSLATE(I121,""pt"",""en"")"),"Water pistol (A weapon with a playful purpose, used by children to spray water for play).")</f>
        <v>Water pistol (A weapon with a playful purpose, used by children to spray water for play).</v>
      </c>
      <c r="K121" s="214" t="str">
        <f>IFERROR(__xludf.DUMMYFUNCTION("GOOGLETRANSLATE(I121,""pt"",""zh-cn"")"),"水枪（一种用于玩耍的武器，儿童用它来喷水玩耍）。")</f>
        <v>水枪（一种用于玩耍的武器，儿童用它来喷水玩耍）。</v>
      </c>
      <c r="L121" s="193"/>
      <c r="M121" s="191"/>
      <c r="N121" s="191"/>
      <c r="O121" s="191"/>
      <c r="P121" s="191"/>
      <c r="Q121" s="227"/>
      <c r="R121" s="227"/>
      <c r="S121" s="227"/>
      <c r="T121" s="191"/>
      <c r="U121" s="191"/>
      <c r="V121" s="191"/>
      <c r="W121" s="191"/>
      <c r="X121" s="193"/>
      <c r="Y121" s="227"/>
      <c r="Z121" s="227"/>
      <c r="AA121" s="227"/>
      <c r="AB121" s="193"/>
      <c r="AC121" s="227"/>
      <c r="AD121" s="227"/>
      <c r="AE121" s="227"/>
      <c r="AF121" s="193"/>
      <c r="AG121" s="193"/>
      <c r="AH121" s="191"/>
    </row>
    <row r="122">
      <c r="A122" s="263" t="s">
        <v>2797</v>
      </c>
      <c r="B122" s="264" t="str">
        <f>IFERROR(__xludf.DUMMYFUNCTION("GOOGLETRANSLATE(A122,""pt"",""en"")"),"Electric wire stripper pliers")</f>
        <v>Electric wire stripper pliers</v>
      </c>
      <c r="C122" s="265" t="str">
        <f>IFERROR(__xludf.DUMMYFUNCTION("GOOGLETRANSLATE(A122,""pt"",""zh-cn"")"),"电线剥线钳")</f>
        <v>电线剥线钳</v>
      </c>
      <c r="D122" s="193"/>
      <c r="E122" s="229"/>
      <c r="F122" s="229"/>
      <c r="G122" s="227"/>
      <c r="H122" s="193"/>
      <c r="I122" s="214" t="s">
        <v>2798</v>
      </c>
      <c r="J122" s="213" t="str">
        <f>IFERROR(__xludf.DUMMYFUNCTION("GOOGLETRANSLATE(I122,""pt"",""en"")"),"Pacifier clip (Clips that form a toy, such as the head of a character or animal).")</f>
        <v>Pacifier clip (Clips that form a toy, such as the head of a character or animal).</v>
      </c>
      <c r="K122" s="214" t="str">
        <f>IFERROR(__xludf.DUMMYFUNCTION("GOOGLETRANSLATE(I122,""pt"",""zh-cn"")"),"奶嘴夹（可以夹成玩具形状的夹子，例如人物或动物的头部）。")</f>
        <v>奶嘴夹（可以夹成玩具形状的夹子，例如人物或动物的头部）。</v>
      </c>
      <c r="L122" s="193"/>
      <c r="M122" s="191"/>
      <c r="N122" s="191"/>
      <c r="O122" s="191"/>
      <c r="P122" s="191"/>
      <c r="Q122" s="227"/>
      <c r="R122" s="227"/>
      <c r="S122" s="227"/>
      <c r="T122" s="191"/>
      <c r="U122" s="191"/>
      <c r="V122" s="191"/>
      <c r="W122" s="191"/>
      <c r="X122" s="193"/>
      <c r="Y122" s="227"/>
      <c r="Z122" s="227"/>
      <c r="AA122" s="227"/>
      <c r="AB122" s="193"/>
      <c r="AC122" s="227"/>
      <c r="AD122" s="227"/>
      <c r="AE122" s="227"/>
      <c r="AF122" s="193"/>
      <c r="AG122" s="193"/>
      <c r="AH122" s="191"/>
    </row>
    <row r="123">
      <c r="A123" s="263" t="s">
        <v>2799</v>
      </c>
      <c r="B123" s="264" t="str">
        <f>IFERROR(__xludf.DUMMYFUNCTION("GOOGLETRANSLATE(A123,""pt"",""en"")"),"Electric paint stripper (peeler)")</f>
        <v>Electric paint stripper (peeler)</v>
      </c>
      <c r="C123" s="265" t="str">
        <f>IFERROR(__xludf.DUMMYFUNCTION("GOOGLETRANSLATE(A123,""pt"",""zh-cn"")"),"电动油漆剥离器（剥漆机）")</f>
        <v>电动油漆剥离器（剥漆机）</v>
      </c>
      <c r="D123" s="193"/>
      <c r="E123" s="229"/>
      <c r="F123" s="229"/>
      <c r="G123" s="227"/>
      <c r="H123" s="193"/>
      <c r="I123" s="214" t="s">
        <v>2800</v>
      </c>
      <c r="J123" s="213" t="str">
        <f>IFERROR(__xludf.DUMMYFUNCTION("GOOGLETRANSLATE(I123,""pt"",""en"")"),"Activity boards for cribs (Boards with colorful pieces of various shapes, unbreakable mirrors, rattles, bells, pieces that run on a track, little windows that open to place in the crib).")</f>
        <v>Activity boards for cribs (Boards with colorful pieces of various shapes, unbreakable mirrors, rattles, bells, pieces that run on a track, little windows that open to place in the crib).</v>
      </c>
      <c r="K123" s="214" t="str">
        <f>IFERROR(__xludf.DUMMYFUNCTION("GOOGLETRANSLATE(I123,""pt"",""zh-cn"")"),"婴儿床活动板（带有各种形状的彩色部件、不易碎的镜子、摇铃、铃铛、轨道上运行的部件、可打开的小窗户，可放置在婴儿床内）。")</f>
        <v>婴儿床活动板（带有各种形状的彩色部件、不易碎的镜子、摇铃、铃铛、轨道上运行的部件、可打开的小窗户，可放置在婴儿床内）。</v>
      </c>
      <c r="L123" s="193"/>
      <c r="M123" s="191"/>
      <c r="N123" s="191"/>
      <c r="O123" s="191"/>
      <c r="P123" s="191"/>
      <c r="Q123" s="227"/>
      <c r="R123" s="227"/>
      <c r="S123" s="227"/>
      <c r="T123" s="191"/>
      <c r="U123" s="191"/>
      <c r="V123" s="191"/>
      <c r="W123" s="191"/>
      <c r="X123" s="193"/>
      <c r="Y123" s="227"/>
      <c r="Z123" s="227"/>
      <c r="AA123" s="227"/>
      <c r="AB123" s="193"/>
      <c r="AC123" s="227"/>
      <c r="AD123" s="227"/>
      <c r="AE123" s="227"/>
      <c r="AF123" s="193"/>
      <c r="AG123" s="193"/>
      <c r="AH123" s="191"/>
    </row>
    <row r="124">
      <c r="A124" s="263" t="s">
        <v>2801</v>
      </c>
      <c r="B124" s="264" t="str">
        <f>IFERROR(__xludf.DUMMYFUNCTION("GOOGLETRANSLATE(A124,""pt"",""en"")"),"Electric plastic cutting tool")</f>
        <v>Electric plastic cutting tool</v>
      </c>
      <c r="C124" s="265" t="str">
        <f>IFERROR(__xludf.DUMMYFUNCTION("GOOGLETRANSLATE(A124,""pt"",""zh-cn"")"),"电动塑料切割工具")</f>
        <v>电动塑料切割工具</v>
      </c>
      <c r="D124" s="193"/>
      <c r="E124" s="229"/>
      <c r="F124" s="229"/>
      <c r="G124" s="227"/>
      <c r="H124" s="193"/>
      <c r="I124" s="214" t="s">
        <v>2802</v>
      </c>
      <c r="J124" s="213" t="str">
        <f>IFERROR(__xludf.DUMMYFUNCTION("GOOGLETRANSLATE(I124,""pt"",""en"")"),"Toy watches (Regular or wristwatches that allow interaction with the child, i.e., that have a play function or parts that come loose when handled).")</f>
        <v>Toy watches (Regular or wristwatches that allow interaction with the child, i.e., that have a play function or parts that come loose when handled).</v>
      </c>
      <c r="K124" s="214" t="str">
        <f>IFERROR(__xludf.DUMMYFUNCTION("GOOGLETRANSLATE(I124,""pt"",""zh-cn"")"),"玩具手表（普通手表或腕表，允许与儿童互动，即具有玩耍功能或在操作时部件会松动）。")</f>
        <v>玩具手表（普通手表或腕表，允许与儿童互动，即具有玩耍功能或在操作时部件会松动）。</v>
      </c>
      <c r="L124" s="193"/>
      <c r="M124" s="191"/>
      <c r="N124" s="191"/>
      <c r="O124" s="191"/>
      <c r="P124" s="191"/>
      <c r="Q124" s="227"/>
      <c r="R124" s="227"/>
      <c r="S124" s="227"/>
      <c r="T124" s="191"/>
      <c r="U124" s="191"/>
      <c r="V124" s="191"/>
      <c r="W124" s="191"/>
      <c r="X124" s="193"/>
      <c r="Y124" s="227"/>
      <c r="Z124" s="227"/>
      <c r="AA124" s="227"/>
      <c r="AB124" s="193"/>
      <c r="AC124" s="227"/>
      <c r="AD124" s="227"/>
      <c r="AE124" s="227"/>
      <c r="AF124" s="193"/>
      <c r="AG124" s="193"/>
      <c r="AH124" s="191"/>
    </row>
    <row r="125">
      <c r="A125" s="263" t="s">
        <v>2803</v>
      </c>
      <c r="B125" s="264" t="str">
        <f>IFERROR(__xludf.DUMMYFUNCTION("GOOGLETRANSLATE(A125,""pt"",""en"")"),"Electric marking (engraving) tool")</f>
        <v>Electric marking (engraving) tool</v>
      </c>
      <c r="C125" s="265" t="str">
        <f>IFERROR(__xludf.DUMMYFUNCTION("GOOGLETRANSLATE(A125,""pt"",""zh-cn"")"),"电动打标（雕刻）工具")</f>
        <v>电动打标（雕刻）工具</v>
      </c>
      <c r="D125" s="193"/>
      <c r="E125" s="229"/>
      <c r="F125" s="229"/>
      <c r="G125" s="227"/>
      <c r="H125" s="193"/>
      <c r="I125" s="214" t="s">
        <v>2804</v>
      </c>
      <c r="J125" s="213" t="str">
        <f>IFERROR(__xludf.DUMMYFUNCTION("GOOGLETRANSLATE(I125,""pt"",""en"")"),"Toy skateboard (A vehicle consisting of a small board (deck) with wheels, intended for children, for non-professional use, regardless of the maximum load it can support).")</f>
        <v>Toy skateboard (A vehicle consisting of a small board (deck) with wheels, intended for children, for non-professional use, regardless of the maximum load it can support).</v>
      </c>
      <c r="K125" s="214" t="str">
        <f>IFERROR(__xludf.DUMMYFUNCTION("GOOGLETRANSLATE(I125,""pt"",""zh-cn"")"),"玩具滑板（一种由带轮子的小板（板面）组成的车辆，供儿童使用，非专业用途，无论其最大承重是多少）。")</f>
        <v>玩具滑板（一种由带轮子的小板（板面）组成的车辆，供儿童使用，非专业用途，无论其最大承重是多少）。</v>
      </c>
      <c r="L125" s="193"/>
      <c r="M125" s="191"/>
      <c r="N125" s="191"/>
      <c r="O125" s="191"/>
      <c r="P125" s="191"/>
      <c r="Q125" s="227"/>
      <c r="R125" s="227"/>
      <c r="S125" s="227"/>
      <c r="T125" s="191"/>
      <c r="U125" s="191"/>
      <c r="V125" s="191"/>
      <c r="W125" s="191"/>
      <c r="X125" s="193"/>
      <c r="Y125" s="227"/>
      <c r="Z125" s="227"/>
      <c r="AA125" s="227"/>
      <c r="AB125" s="193"/>
      <c r="AC125" s="227"/>
      <c r="AD125" s="227"/>
      <c r="AE125" s="227"/>
      <c r="AF125" s="193"/>
      <c r="AG125" s="193"/>
      <c r="AH125" s="191"/>
    </row>
    <row r="126">
      <c r="A126" s="263" t="s">
        <v>2805</v>
      </c>
      <c r="B126" s="264" t="str">
        <f>IFERROR(__xludf.DUMMYFUNCTION("GOOGLETRANSLATE(A126,""pt"",""en"")"),"Electric conduit welding tool")</f>
        <v>Electric conduit welding tool</v>
      </c>
      <c r="C126" s="265" t="str">
        <f>IFERROR(__xludf.DUMMYFUNCTION("GOOGLETRANSLATE(A126,""pt"",""zh-cn"")"),"电线管焊接工具")</f>
        <v>电线管焊接工具</v>
      </c>
      <c r="D126" s="193"/>
      <c r="E126" s="229"/>
      <c r="F126" s="229"/>
      <c r="G126" s="227"/>
      <c r="H126" s="193"/>
      <c r="I126" s="214" t="s">
        <v>2806</v>
      </c>
      <c r="J126" s="213" t="str">
        <f>IFERROR(__xludf.DUMMYFUNCTION("GOOGLETRANSLATE(I126,""pt"",""en"")"),"Play mats (Mats, whole or interlocking, with or without musical mobiles, intended for use by young children, whose function is for the child to lie down, play or interact, with the exception of plain mats, whole or interlocking).")</f>
        <v>Play mats (Mats, whole or interlocking, with or without musical mobiles, intended for use by young children, whose function is for the child to lie down, play or interact, with the exception of plain mats, whole or interlocking).</v>
      </c>
      <c r="K126" s="214" t="str">
        <f>IFERROR(__xludf.DUMMYFUNCTION("GOOGLETRANSLATE(I126,""pt"",""zh-cn"")"),"游戏垫（整体式或互锁式垫子，带或不带音乐移动装置，供幼儿使用，其功能是让儿童躺下、玩耍或互动，但普通的整体式或互锁式垫子除外）。")</f>
        <v>游戏垫（整体式或互锁式垫子，带或不带音乐移动装置，供幼儿使用，其功能是让儿童躺下、玩耍或互动，但普通的整体式或互锁式垫子除外）。</v>
      </c>
      <c r="L126" s="193"/>
      <c r="M126" s="191"/>
      <c r="N126" s="191"/>
      <c r="O126" s="191"/>
      <c r="P126" s="191"/>
      <c r="Q126" s="227"/>
      <c r="R126" s="227"/>
      <c r="S126" s="227"/>
      <c r="T126" s="191"/>
      <c r="U126" s="191"/>
      <c r="V126" s="191"/>
      <c r="W126" s="191"/>
      <c r="X126" s="193"/>
      <c r="Y126" s="227"/>
      <c r="Z126" s="227"/>
      <c r="AA126" s="227"/>
      <c r="AB126" s="193"/>
      <c r="AC126" s="227"/>
      <c r="AD126" s="227"/>
      <c r="AE126" s="227"/>
      <c r="AF126" s="193"/>
      <c r="AG126" s="193"/>
      <c r="AH126" s="191"/>
    </row>
    <row r="127">
      <c r="A127" s="263" t="s">
        <v>2807</v>
      </c>
      <c r="B127" s="264" t="str">
        <f>IFERROR(__xludf.DUMMYFUNCTION("GOOGLETRANSLATE(A127,""pt"",""en"")"),"Soldering iron / electric soldering gun")</f>
        <v>Soldering iron / electric soldering gun</v>
      </c>
      <c r="C127" s="265" t="str">
        <f>IFERROR(__xludf.DUMMYFUNCTION("GOOGLETRANSLATE(A127,""pt"",""zh-cn"")"),"电烙铁/电焊枪")</f>
        <v>电烙铁/电焊枪</v>
      </c>
      <c r="D127" s="193"/>
      <c r="E127" s="229"/>
      <c r="F127" s="229"/>
      <c r="G127" s="227"/>
      <c r="H127" s="193"/>
      <c r="I127" s="214" t="s">
        <v>2808</v>
      </c>
      <c r="J127" s="213" t="str">
        <f>IFERROR(__xludf.DUMMYFUNCTION("GOOGLETRANSLATE(I127,""pt"",""en"")"),"Temporary tattoos for children (Temporary adhesive tattoos for the skin, similar to those that come with food packaging or chewing gum).")</f>
        <v>Temporary tattoos for children (Temporary adhesive tattoos for the skin, similar to those that come with food packaging or chewing gum).</v>
      </c>
      <c r="K127" s="214" t="str">
        <f>IFERROR(__xludf.DUMMYFUNCTION("GOOGLETRANSLATE(I127,""pt"",""zh-cn"")"),"儿童临时纹身贴纸（类似于食品包装或口香糖附带的临时性皮肤纹身贴纸）。")</f>
        <v>儿童临时纹身贴纸（类似于食品包装或口香糖附带的临时性皮肤纹身贴纸）。</v>
      </c>
      <c r="L127" s="193"/>
      <c r="M127" s="191"/>
      <c r="N127" s="191"/>
      <c r="O127" s="191"/>
      <c r="P127" s="191"/>
      <c r="Q127" s="227"/>
      <c r="R127" s="227"/>
      <c r="S127" s="227"/>
      <c r="T127" s="191"/>
      <c r="U127" s="191"/>
      <c r="V127" s="191"/>
      <c r="W127" s="191"/>
      <c r="X127" s="193"/>
      <c r="Y127" s="227"/>
      <c r="Z127" s="227"/>
      <c r="AA127" s="227"/>
      <c r="AB127" s="193"/>
      <c r="AC127" s="227"/>
      <c r="AD127" s="227"/>
      <c r="AE127" s="227"/>
      <c r="AF127" s="193"/>
      <c r="AG127" s="193"/>
      <c r="AH127" s="191"/>
    </row>
    <row r="128">
      <c r="A128" s="263" t="s">
        <v>2809</v>
      </c>
      <c r="B128" s="264" t="str">
        <f>IFERROR(__xludf.DUMMYFUNCTION("GOOGLETRANSLATE(A128,""pt"",""en"")"),"Electric hot air gun")</f>
        <v>Electric hot air gun</v>
      </c>
      <c r="C128" s="265" t="str">
        <f>IFERROR(__xludf.DUMMYFUNCTION("GOOGLETRANSLATE(A128,""pt"",""zh-cn"")"),"电动热风枪")</f>
        <v>电动热风枪</v>
      </c>
      <c r="D128" s="193"/>
      <c r="E128" s="229"/>
      <c r="F128" s="229"/>
      <c r="G128" s="227"/>
      <c r="H128" s="193"/>
      <c r="I128" s="214" t="s">
        <v>2810</v>
      </c>
      <c r="J128" s="213" t="str">
        <f>IFERROR(__xludf.DUMMYFUNCTION("GOOGLETRANSLATE(I128,""pt"",""en"")"),"UAVs / Drones (Unmanned aerial vehicles controlled by remote control weighing up to 250 grams and without a camera).")</f>
        <v>UAVs / Drones (Unmanned aerial vehicles controlled by remote control weighing up to 250 grams and without a camera).</v>
      </c>
      <c r="K128" s="214" t="str">
        <f>IFERROR(__xludf.DUMMYFUNCTION("GOOGLETRANSLATE(I128,""pt"",""zh-cn"")"),"无人机（无人驾驶飞行器，由遥控器控制，重量不超过 250 克，没有摄像头）。")</f>
        <v>无人机（无人驾驶飞行器，由遥控器控制，重量不超过 250 克，没有摄像头）。</v>
      </c>
      <c r="L128" s="193"/>
      <c r="M128" s="191"/>
      <c r="N128" s="191"/>
      <c r="O128" s="191"/>
      <c r="P128" s="191"/>
      <c r="Q128" s="227"/>
      <c r="R128" s="227"/>
      <c r="S128" s="227"/>
      <c r="T128" s="191"/>
      <c r="U128" s="191"/>
      <c r="V128" s="191"/>
      <c r="W128" s="191"/>
      <c r="X128" s="193"/>
      <c r="Y128" s="227"/>
      <c r="Z128" s="227"/>
      <c r="AA128" s="227"/>
      <c r="AB128" s="193"/>
      <c r="AC128" s="227"/>
      <c r="AD128" s="227"/>
      <c r="AE128" s="227"/>
      <c r="AF128" s="193"/>
      <c r="AG128" s="193"/>
      <c r="AH128" s="191"/>
    </row>
    <row r="129">
      <c r="A129" s="263" t="s">
        <v>2811</v>
      </c>
      <c r="B129" s="264" t="str">
        <f>IFERROR(__xludf.DUMMYFUNCTION("GOOGLETRANSLATE(A129,""pt"",""en"")"),"Electric hot glue gun")</f>
        <v>Electric hot glue gun</v>
      </c>
      <c r="C129" s="265" t="str">
        <f>IFERROR(__xludf.DUMMYFUNCTION("GOOGLETRANSLATE(A129,""pt"",""zh-cn"")"),"电动热熔胶枪")</f>
        <v>电动热熔胶枪</v>
      </c>
      <c r="D129" s="193"/>
      <c r="E129" s="229"/>
      <c r="F129" s="229"/>
      <c r="G129" s="227"/>
      <c r="H129" s="193"/>
      <c r="I129" s="214" t="s">
        <v>2812</v>
      </c>
      <c r="J129" s="213" t="str">
        <f>IFERROR(__xludf.DUMMYFUNCTION("GOOGLETRANSLATE(I129,""pt"",""en"")"),"Vehicles with pedals, tricycles, go-karts and ""tico-ticos"" (vehicles with pedals imitating real ones, motorcycles and bicycles with three wheels and go-karts for children).")</f>
        <v>Vehicles with pedals, tricycles, go-karts and "tico-ticos" (vehicles with pedals imitating real ones, motorcycles and bicycles with three wheels and go-karts for children).</v>
      </c>
      <c r="K129" s="214" t="str">
        <f>IFERROR(__xludf.DUMMYFUNCTION("GOOGLETRANSLATE(I129,""pt"",""zh-cn"")"),"带脚踏板的车辆、三轮车、卡丁车和“tico-ticos”（模仿真实车辆的带脚踏板的车辆、摩托车、三轮自行车和儿童卡丁车）。")</f>
        <v>带脚踏板的车辆、三轮车、卡丁车和“tico-ticos”（模仿真实车辆的带脚踏板的车辆、摩托车、三轮自行车和儿童卡丁车）。</v>
      </c>
      <c r="L129" s="193"/>
      <c r="M129" s="191"/>
      <c r="N129" s="191"/>
      <c r="O129" s="191"/>
      <c r="P129" s="191"/>
      <c r="Q129" s="227"/>
      <c r="R129" s="227"/>
      <c r="S129" s="227"/>
      <c r="T129" s="191"/>
      <c r="U129" s="191"/>
      <c r="V129" s="191"/>
      <c r="W129" s="191"/>
      <c r="X129" s="193"/>
      <c r="Y129" s="227"/>
      <c r="Z129" s="227"/>
      <c r="AA129" s="227"/>
      <c r="AB129" s="193"/>
      <c r="AC129" s="227"/>
      <c r="AD129" s="227"/>
      <c r="AE129" s="227"/>
      <c r="AF129" s="193"/>
      <c r="AG129" s="193"/>
      <c r="AH129" s="191"/>
    </row>
    <row r="130">
      <c r="A130" s="263" t="s">
        <v>2813</v>
      </c>
      <c r="B130" s="264" t="str">
        <f>IFERROR(__xludf.DUMMYFUNCTION("GOOGLETRANSLATE(A130,""pt"",""en"")"),"Electric desoldering gun")</f>
        <v>Electric desoldering gun</v>
      </c>
      <c r="C130" s="265" t="str">
        <f>IFERROR(__xludf.DUMMYFUNCTION("GOOGLETRANSLATE(A130,""pt"",""zh-cn"")"),"电动拆焊枪")</f>
        <v>电动拆焊枪</v>
      </c>
      <c r="D130" s="193"/>
      <c r="E130" s="229"/>
      <c r="F130" s="229"/>
      <c r="G130" s="227"/>
      <c r="H130" s="193"/>
      <c r="I130" s="214" t="s">
        <v>2814</v>
      </c>
      <c r="J130" s="213" t="str">
        <f>IFERROR(__xludf.DUMMYFUNCTION("GOOGLETRANSLATE(I130,""pt"",""en"")"),"Child-sized electric or battery-powered vehicles (Electric vehicles designed to be driven by the child, powered by batteries).")</f>
        <v>Child-sized electric or battery-powered vehicles (Electric vehicles designed to be driven by the child, powered by batteries).</v>
      </c>
      <c r="K130" s="214" t="str">
        <f>IFERROR(__xludf.DUMMYFUNCTION("GOOGLETRANSLATE(I130,""pt"",""zh-cn"")"),"儿童尺寸的电动或电池驱动车辆（由电池驱动，专为儿童驾驶而设计的电动汽车）。")</f>
        <v>儿童尺寸的电动或电池驱动车辆（由电池驱动，专为儿童驾驶而设计的电动汽车）。</v>
      </c>
      <c r="L130" s="193"/>
      <c r="M130" s="191"/>
      <c r="N130" s="191"/>
      <c r="O130" s="191"/>
      <c r="P130" s="191"/>
      <c r="Q130" s="227"/>
      <c r="R130" s="227"/>
      <c r="S130" s="227"/>
      <c r="T130" s="191"/>
      <c r="U130" s="191"/>
      <c r="V130" s="191"/>
      <c r="W130" s="191"/>
      <c r="X130" s="193"/>
      <c r="Y130" s="227"/>
      <c r="Z130" s="227"/>
      <c r="AA130" s="227"/>
      <c r="AB130" s="193"/>
      <c r="AC130" s="227"/>
      <c r="AD130" s="227"/>
      <c r="AE130" s="227"/>
      <c r="AF130" s="193"/>
      <c r="AG130" s="193"/>
      <c r="AH130" s="191"/>
    </row>
    <row r="131">
      <c r="A131" s="266" t="s">
        <v>2815</v>
      </c>
      <c r="B131" s="267" t="str">
        <f>IFERROR(__xludf.DUMMYFUNCTION("GOOGLETRANSLATE(A131,""pt"",""en"")"),"Electric plastic sealer/welder")</f>
        <v>Electric plastic sealer/welder</v>
      </c>
      <c r="C131" s="268" t="str">
        <f>IFERROR(__xludf.DUMMYFUNCTION("GOOGLETRANSLATE(A131,""pt"",""zh-cn"")"),"电动塑料封口机/焊接机")</f>
        <v>电动塑料封口机/焊接机</v>
      </c>
      <c r="D131" s="193"/>
      <c r="E131" s="229"/>
      <c r="F131" s="229"/>
      <c r="G131" s="227"/>
      <c r="H131" s="193"/>
      <c r="I131" s="214" t="s">
        <v>2816</v>
      </c>
      <c r="J131" s="213" t="str">
        <f>IFERROR(__xludf.DUMMYFUNCTION("GOOGLETRANSLATE(I131,""pt"",""en"")"),"Vehicles that can be filled and emptied (Vehicles that a child can push or pull, allowing them to fill and empty their interior).")</f>
        <v>Vehicles that can be filled and emptied (Vehicles that a child can push or pull, allowing them to fill and empty their interior).</v>
      </c>
      <c r="K131" s="214" t="str">
        <f>IFERROR(__xludf.DUMMYFUNCTION("GOOGLETRANSLATE(I131,""pt"",""zh-cn"")"),"可装卸物品的车辆（儿童可以推拉的车辆，允许他们装卸车内物品）。")</f>
        <v>可装卸物品的车辆（儿童可以推拉的车辆，允许他们装卸车内物品）。</v>
      </c>
      <c r="L131" s="193"/>
      <c r="M131" s="191"/>
      <c r="N131" s="191"/>
      <c r="O131" s="191"/>
      <c r="P131" s="191"/>
      <c r="Q131" s="227"/>
      <c r="R131" s="227"/>
      <c r="S131" s="227"/>
      <c r="T131" s="191"/>
      <c r="U131" s="191"/>
      <c r="V131" s="191"/>
      <c r="W131" s="191"/>
      <c r="X131" s="193"/>
      <c r="Y131" s="227"/>
      <c r="Z131" s="227"/>
      <c r="AA131" s="227"/>
      <c r="AB131" s="193"/>
      <c r="AC131" s="227"/>
      <c r="AD131" s="227"/>
      <c r="AE131" s="227"/>
      <c r="AF131" s="193"/>
      <c r="AG131" s="193"/>
      <c r="AH131" s="191"/>
    </row>
    <row r="132">
      <c r="A132" s="269" t="s">
        <v>2817</v>
      </c>
      <c r="B132" s="270" t="str">
        <f>IFERROR(__xludf.DUMMYFUNCTION("GOOGLETRANSLATE(A132,""pt"",""en"")"),"Group 14: Oral Hygiene Appliances")</f>
        <v>Group 14: Oral Hygiene Appliances</v>
      </c>
      <c r="C132" s="271" t="str">
        <f>IFERROR(__xludf.DUMMYFUNCTION("GOOGLETRANSLATE(A132,""pt"",""zh-cn"")"),"第14组：口腔卫生用品")</f>
        <v>第14组：口腔卫生用品</v>
      </c>
      <c r="D132" s="193"/>
      <c r="E132" s="229"/>
      <c r="F132" s="229"/>
      <c r="G132" s="227"/>
      <c r="H132" s="193"/>
      <c r="I132" s="214" t="s">
        <v>2818</v>
      </c>
      <c r="J132" s="213" t="str">
        <f>IFERROR(__xludf.DUMMYFUNCTION("GOOGLETRANSLATE(I132,""pt"",""en"")"),"Pedal-less vehicles (Low-profile carts without pedals that move by pushing off with the child's feet. This definition excludes pedal-less bicycles).")</f>
        <v>Pedal-less vehicles (Low-profile carts without pedals that move by pushing off with the child's feet. This definition excludes pedal-less bicycles).</v>
      </c>
      <c r="K132" s="214" t="str">
        <f>IFERROR(__xludf.DUMMYFUNCTION("GOOGLETRANSLATE(I132,""pt"",""zh-cn"")"),"无踏板车辆（低矮的无踏板手推车，通过儿童的脚蹬地移动。此定义不包括无踏板自行车）。")</f>
        <v>无踏板车辆（低矮的无踏板手推车，通过儿童的脚蹬地移动。此定义不包括无踏板自行车）。</v>
      </c>
      <c r="L132" s="193"/>
      <c r="M132" s="191"/>
      <c r="N132" s="191"/>
      <c r="O132" s="191"/>
      <c r="P132" s="191"/>
      <c r="Q132" s="227"/>
      <c r="R132" s="227"/>
      <c r="S132" s="227"/>
      <c r="T132" s="191"/>
      <c r="U132" s="191"/>
      <c r="V132" s="191"/>
      <c r="W132" s="191"/>
      <c r="X132" s="193"/>
      <c r="Y132" s="227"/>
      <c r="Z132" s="227"/>
      <c r="AA132" s="227"/>
      <c r="AB132" s="193"/>
      <c r="AC132" s="227"/>
      <c r="AD132" s="227"/>
      <c r="AE132" s="227"/>
      <c r="AF132" s="193"/>
      <c r="AG132" s="193"/>
      <c r="AH132" s="191"/>
    </row>
    <row r="133">
      <c r="A133" s="338" t="s">
        <v>2819</v>
      </c>
      <c r="B133" s="339" t="str">
        <f>IFERROR(__xludf.DUMMYFUNCTION("GOOGLETRANSLATE(A133,""pt"",""en"")"),"Electric toothbrush")</f>
        <v>Electric toothbrush</v>
      </c>
      <c r="C133" s="340" t="str">
        <f>IFERROR(__xludf.DUMMYFUNCTION("GOOGLETRANSLATE(A133,""pt"",""zh-cn"")"),"电动牙刷")</f>
        <v>电动牙刷</v>
      </c>
      <c r="D133" s="193"/>
      <c r="E133" s="229"/>
      <c r="F133" s="229"/>
      <c r="G133" s="227"/>
      <c r="H133" s="193"/>
      <c r="I133" s="214" t="s">
        <v>2820</v>
      </c>
      <c r="J133" s="213" t="str">
        <f>IFERROR(__xludf.DUMMYFUNCTION("GOOGLETRANSLATE(I133,""pt"",""en"")"),"Whiteboard (Portable board with a playful design).")</f>
        <v>Whiteboard (Portable board with a playful design).</v>
      </c>
      <c r="K133" s="214" t="str">
        <f>IFERROR(__xludf.DUMMYFUNCTION("GOOGLETRANSLATE(I133,""pt"",""zh-cn"")"),"白板（便携式白板，设计活泼有趣）。")</f>
        <v>白板（便携式白板，设计活泼有趣）。</v>
      </c>
      <c r="L133" s="193"/>
      <c r="M133" s="191"/>
      <c r="N133" s="191"/>
      <c r="O133" s="191"/>
      <c r="P133" s="191"/>
      <c r="Q133" s="227"/>
      <c r="R133" s="227"/>
      <c r="S133" s="227"/>
      <c r="T133" s="191"/>
      <c r="U133" s="191"/>
      <c r="V133" s="191"/>
      <c r="W133" s="191"/>
      <c r="X133" s="193"/>
      <c r="Y133" s="227"/>
      <c r="Z133" s="227"/>
      <c r="AA133" s="227"/>
      <c r="AB133" s="193"/>
      <c r="AC133" s="227"/>
      <c r="AD133" s="227"/>
      <c r="AE133" s="227"/>
      <c r="AF133" s="193"/>
      <c r="AG133" s="193"/>
      <c r="AH133" s="191"/>
    </row>
    <row r="134">
      <c r="A134" s="341" t="s">
        <v>2821</v>
      </c>
      <c r="B134" s="342" t="str">
        <f>IFERROR(__xludf.DUMMYFUNCTION("GOOGLETRANSLATE(A134,""pt"",""en"")"),"Electric oral irrigator")</f>
        <v>Electric oral irrigator</v>
      </c>
      <c r="C134" s="343" t="str">
        <f>IFERROR(__xludf.DUMMYFUNCTION("GOOGLETRANSLATE(A134,""pt"",""zh-cn"")"),"电动冲牙器")</f>
        <v>电动冲牙器</v>
      </c>
      <c r="D134" s="193"/>
      <c r="E134" s="229"/>
      <c r="F134" s="229"/>
      <c r="G134" s="227"/>
      <c r="H134" s="193"/>
      <c r="I134" s="214" t="s">
        <v>2822</v>
      </c>
      <c r="J134" s="213" t="str">
        <f>IFERROR(__xludf.DUMMYFUNCTION("GOOGLETRANSLATE(I134,""pt"",""en"")"),"Jigsaw puzzles or puzzles (Toy with pieces that fit together to build a two-dimensional or three-dimensional image with up to 500 pieces).")</f>
        <v>Jigsaw puzzles or puzzles (Toy with pieces that fit together to build a two-dimensional or three-dimensional image with up to 500 pieces).</v>
      </c>
      <c r="K134" s="214" t="str">
        <f>IFERROR(__xludf.DUMMYFUNCTION("GOOGLETRANSLATE(I134,""pt"",""zh-cn"")"),"拼图（一种玩具，由可拼合在一起的部件组成，最多可达 500 块，可以构建二维或三维图像）。")</f>
        <v>拼图（一种玩具，由可拼合在一起的部件组成，最多可达 500 块，可以构建二维或三维图像）。</v>
      </c>
      <c r="L134" s="193"/>
      <c r="M134" s="191"/>
      <c r="N134" s="191"/>
      <c r="O134" s="191"/>
      <c r="P134" s="191"/>
      <c r="Q134" s="227"/>
      <c r="R134" s="227"/>
      <c r="S134" s="227"/>
      <c r="T134" s="191"/>
      <c r="U134" s="191"/>
      <c r="V134" s="191"/>
      <c r="W134" s="191"/>
      <c r="X134" s="193"/>
      <c r="Y134" s="227"/>
      <c r="Z134" s="227"/>
      <c r="AA134" s="227"/>
      <c r="AB134" s="193"/>
      <c r="AC134" s="227"/>
      <c r="AD134" s="227"/>
      <c r="AE134" s="227"/>
      <c r="AF134" s="193"/>
      <c r="AG134" s="193"/>
      <c r="AH134" s="191"/>
    </row>
    <row r="135">
      <c r="A135" s="293" t="s">
        <v>2823</v>
      </c>
      <c r="B135" s="294" t="str">
        <f>IFERROR(__xludf.DUMMYFUNCTION("GOOGLETRANSLATE(A135,""pt"",""en"")"),"Group 15: Cleaning appliances")</f>
        <v>Group 15: Cleaning appliances</v>
      </c>
      <c r="C135" s="295" t="str">
        <f>IFERROR(__xludf.DUMMYFUNCTION("GOOGLETRANSLATE(A135,""pt"",""zh-cn"")"),"第15组：清洁设备")</f>
        <v>第15组：清洁设备</v>
      </c>
      <c r="D135" s="193"/>
      <c r="E135" s="229"/>
      <c r="F135" s="229"/>
      <c r="G135" s="227"/>
      <c r="H135" s="193"/>
      <c r="I135" s="193"/>
      <c r="J135" s="193"/>
      <c r="K135" s="344"/>
      <c r="L135" s="193"/>
      <c r="M135" s="191"/>
      <c r="N135" s="191"/>
      <c r="O135" s="191"/>
      <c r="P135" s="191"/>
      <c r="Q135" s="227"/>
      <c r="R135" s="227"/>
      <c r="S135" s="227"/>
      <c r="T135" s="191"/>
      <c r="U135" s="191"/>
      <c r="V135" s="191"/>
      <c r="W135" s="191"/>
      <c r="X135" s="193"/>
      <c r="Y135" s="227"/>
      <c r="Z135" s="227"/>
      <c r="AA135" s="227"/>
      <c r="AB135" s="193"/>
      <c r="AC135" s="227"/>
      <c r="AD135" s="227"/>
      <c r="AE135" s="227"/>
      <c r="AF135" s="193"/>
      <c r="AG135" s="193"/>
      <c r="AH135" s="191"/>
    </row>
    <row r="136">
      <c r="A136" s="345" t="s">
        <v>2824</v>
      </c>
      <c r="B136" s="346" t="str">
        <f>IFERROR(__xludf.DUMMYFUNCTION("GOOGLETRANSLATE(A136,""pt"",""en"")"),"Electric steam cleaner for surfaces")</f>
        <v>Electric steam cleaner for surfaces</v>
      </c>
      <c r="C136" s="347" t="str">
        <f>IFERROR(__xludf.DUMMYFUNCTION("GOOGLETRANSLATE(A136,""pt"",""zh-cn"")"),"适用于各种表面的电动蒸汽清洁器")</f>
        <v>适用于各种表面的电动蒸汽清洁器</v>
      </c>
      <c r="D136" s="193"/>
      <c r="E136" s="229"/>
      <c r="F136" s="229"/>
      <c r="G136" s="227"/>
      <c r="H136" s="193"/>
      <c r="I136" s="193"/>
      <c r="J136" s="193"/>
      <c r="K136" s="193"/>
      <c r="L136" s="193"/>
      <c r="M136" s="191"/>
      <c r="N136" s="191"/>
      <c r="O136" s="191"/>
      <c r="P136" s="191"/>
      <c r="Q136" s="227"/>
      <c r="R136" s="227"/>
      <c r="S136" s="227"/>
      <c r="T136" s="191"/>
      <c r="U136" s="191"/>
      <c r="V136" s="191"/>
      <c r="W136" s="191"/>
      <c r="X136" s="193"/>
      <c r="Y136" s="227"/>
      <c r="Z136" s="227"/>
      <c r="AA136" s="227"/>
      <c r="AB136" s="193"/>
      <c r="AC136" s="227"/>
      <c r="AD136" s="227"/>
      <c r="AE136" s="227"/>
      <c r="AF136" s="193"/>
      <c r="AG136" s="193"/>
      <c r="AH136" s="191"/>
    </row>
    <row r="137">
      <c r="A137" s="345" t="s">
        <v>2825</v>
      </c>
      <c r="B137" s="346" t="str">
        <f>IFERROR(__xludf.DUMMYFUNCTION("GOOGLETRANSLATE(A137,""pt"",""en"")"),"Electrical device for suction of sludge from aquariums and similar sources (fountains, water features, etc.)")</f>
        <v>Electrical device for suction of sludge from aquariums and similar sources (fountains, water features, etc.)</v>
      </c>
      <c r="C137" s="347" t="str">
        <f>IFERROR(__xludf.DUMMYFUNCTION("GOOGLETRANSLATE(A137,""pt"",""zh-cn"")"),"用于从水族箱及类似来源（喷泉、水景等）吸取污泥的电气装置")</f>
        <v>用于从水族箱及类似来源（喷泉、水景等）吸取污泥的电气装置</v>
      </c>
      <c r="D137" s="193"/>
      <c r="E137" s="229"/>
      <c r="F137" s="229"/>
      <c r="G137" s="227"/>
      <c r="H137" s="193"/>
      <c r="I137" s="193"/>
      <c r="J137" s="193"/>
      <c r="K137" s="193"/>
      <c r="L137" s="193"/>
      <c r="M137" s="191"/>
      <c r="N137" s="191"/>
      <c r="O137" s="191"/>
      <c r="P137" s="191"/>
      <c r="Q137" s="227"/>
      <c r="R137" s="227"/>
      <c r="S137" s="227"/>
      <c r="T137" s="191"/>
      <c r="U137" s="191"/>
      <c r="V137" s="191"/>
      <c r="W137" s="191"/>
      <c r="X137" s="193"/>
      <c r="Y137" s="227"/>
      <c r="Z137" s="227"/>
      <c r="AA137" s="227"/>
      <c r="AB137" s="193"/>
      <c r="AC137" s="227"/>
      <c r="AD137" s="227"/>
      <c r="AE137" s="227"/>
      <c r="AF137" s="193"/>
      <c r="AG137" s="193"/>
      <c r="AH137" s="191"/>
    </row>
    <row r="138">
      <c r="A138" s="345" t="s">
        <v>2826</v>
      </c>
      <c r="B138" s="346" t="str">
        <f>IFERROR(__xludf.DUMMYFUNCTION("GOOGLETRANSLATE(A138,""pt"",""en"")"),"Electric vacuum cleaner / Electric broom")</f>
        <v>Electric vacuum cleaner / Electric broom</v>
      </c>
      <c r="C138" s="347" t="str">
        <f>IFERROR(__xludf.DUMMYFUNCTION("GOOGLETRANSLATE(A138,""pt"",""zh-cn"")"),"电动吸尘器/电动扫帚")</f>
        <v>电动吸尘器/电动扫帚</v>
      </c>
      <c r="D138" s="193"/>
      <c r="E138" s="229"/>
      <c r="F138" s="229"/>
      <c r="G138" s="227"/>
      <c r="H138" s="193"/>
      <c r="I138" s="193"/>
      <c r="J138" s="193"/>
      <c r="K138" s="193"/>
      <c r="L138" s="193"/>
      <c r="M138" s="191"/>
      <c r="N138" s="191"/>
      <c r="O138" s="191"/>
      <c r="P138" s="191"/>
      <c r="Q138" s="227"/>
      <c r="R138" s="227"/>
      <c r="S138" s="227"/>
      <c r="T138" s="191"/>
      <c r="U138" s="191"/>
      <c r="V138" s="191"/>
      <c r="W138" s="191"/>
      <c r="X138" s="193"/>
      <c r="Y138" s="227"/>
      <c r="Z138" s="227"/>
      <c r="AA138" s="227"/>
      <c r="AB138" s="193"/>
      <c r="AC138" s="227"/>
      <c r="AD138" s="227"/>
      <c r="AE138" s="227"/>
      <c r="AF138" s="193"/>
      <c r="AG138" s="193"/>
      <c r="AH138" s="191"/>
    </row>
    <row r="139">
      <c r="A139" s="345" t="s">
        <v>2827</v>
      </c>
      <c r="B139" s="346" t="str">
        <f>IFERROR(__xludf.DUMMYFUNCTION("GOOGLETRANSLATE(A139,""pt"",""en"")"),"Electric high-pressure or steam cleaner")</f>
        <v>Electric high-pressure or steam cleaner</v>
      </c>
      <c r="C139" s="347" t="str">
        <f>IFERROR(__xludf.DUMMYFUNCTION("GOOGLETRANSLATE(A139,""pt"",""zh-cn"")"),"电动高压或蒸汽清洁器")</f>
        <v>电动高压或蒸汽清洁器</v>
      </c>
      <c r="D139" s="193"/>
      <c r="E139" s="229"/>
      <c r="F139" s="229"/>
      <c r="G139" s="227"/>
      <c r="H139" s="193"/>
      <c r="I139" s="193"/>
      <c r="J139" s="193"/>
      <c r="K139" s="193"/>
      <c r="L139" s="193"/>
      <c r="M139" s="191"/>
      <c r="N139" s="191"/>
      <c r="O139" s="191"/>
      <c r="P139" s="191"/>
      <c r="Q139" s="227"/>
      <c r="R139" s="227"/>
      <c r="S139" s="227"/>
      <c r="T139" s="191"/>
      <c r="U139" s="191"/>
      <c r="V139" s="191"/>
      <c r="W139" s="191"/>
      <c r="X139" s="193"/>
      <c r="Y139" s="227"/>
      <c r="Z139" s="227"/>
      <c r="AA139" s="227"/>
      <c r="AB139" s="193"/>
      <c r="AC139" s="227"/>
      <c r="AD139" s="227"/>
      <c r="AE139" s="227"/>
      <c r="AF139" s="193"/>
      <c r="AG139" s="193"/>
      <c r="AH139" s="191"/>
    </row>
    <row r="140">
      <c r="A140" s="345" t="s">
        <v>2828</v>
      </c>
      <c r="B140" s="346" t="str">
        <f>IFERROR(__xludf.DUMMYFUNCTION("GOOGLETRANSLATE(A140,""pt"",""en"")"),"Electric upholstery cleaning machine / Electric carpet cleaning machine")</f>
        <v>Electric upholstery cleaning machine / Electric carpet cleaning machine</v>
      </c>
      <c r="C140" s="347" t="str">
        <f>IFERROR(__xludf.DUMMYFUNCTION("GOOGLETRANSLATE(A140,""pt"",""zh-cn"")"),"电动家具清洗机/电动地毯清洗机")</f>
        <v>电动家具清洗机/电动地毯清洗机</v>
      </c>
      <c r="D140" s="193"/>
      <c r="E140" s="229"/>
      <c r="F140" s="229"/>
      <c r="G140" s="227"/>
      <c r="H140" s="193"/>
      <c r="I140" s="193"/>
      <c r="J140" s="193"/>
      <c r="K140" s="193"/>
      <c r="L140" s="193"/>
      <c r="M140" s="191"/>
      <c r="N140" s="191"/>
      <c r="O140" s="191"/>
      <c r="P140" s="191"/>
      <c r="Q140" s="227"/>
      <c r="R140" s="227"/>
      <c r="S140" s="227"/>
      <c r="T140" s="191"/>
      <c r="U140" s="191"/>
      <c r="V140" s="191"/>
      <c r="W140" s="191"/>
      <c r="X140" s="193"/>
      <c r="Y140" s="227"/>
      <c r="Z140" s="227"/>
      <c r="AA140" s="227"/>
      <c r="AB140" s="193"/>
      <c r="AC140" s="227"/>
      <c r="AD140" s="227"/>
      <c r="AE140" s="227"/>
      <c r="AF140" s="193"/>
      <c r="AG140" s="193"/>
      <c r="AH140" s="191"/>
    </row>
    <row r="141">
      <c r="A141" s="348" t="s">
        <v>2829</v>
      </c>
      <c r="B141" s="349" t="str">
        <f>IFERROR(__xludf.DUMMYFUNCTION("GOOGLETRANSLATE(A141,""pt"",""en"")"),"Electric steam cleaning machine for fabrics.")</f>
        <v>Electric steam cleaning machine for fabrics.</v>
      </c>
      <c r="C141" s="350" t="str">
        <f>IFERROR(__xludf.DUMMYFUNCTION("GOOGLETRANSLATE(A141,""pt"",""zh-cn"")"),"织物用电动蒸汽清洗机。")</f>
        <v>织物用电动蒸汽清洗机。</v>
      </c>
      <c r="D141" s="193"/>
      <c r="E141" s="229"/>
      <c r="F141" s="229"/>
      <c r="G141" s="227"/>
      <c r="H141" s="193"/>
      <c r="I141" s="193"/>
      <c r="J141" s="193"/>
      <c r="K141" s="193"/>
      <c r="L141" s="193"/>
      <c r="M141" s="191"/>
      <c r="N141" s="191"/>
      <c r="O141" s="191"/>
      <c r="P141" s="191"/>
      <c r="Q141" s="227"/>
      <c r="R141" s="227"/>
      <c r="S141" s="227"/>
      <c r="T141" s="191"/>
      <c r="U141" s="191"/>
      <c r="V141" s="191"/>
      <c r="W141" s="191"/>
      <c r="X141" s="193"/>
      <c r="Y141" s="227"/>
      <c r="Z141" s="227"/>
      <c r="AA141" s="227"/>
      <c r="AB141" s="193"/>
      <c r="AC141" s="227"/>
      <c r="AD141" s="227"/>
      <c r="AE141" s="227"/>
      <c r="AF141" s="193"/>
      <c r="AG141" s="193"/>
      <c r="AH141" s="191"/>
    </row>
    <row r="142">
      <c r="A142" s="233" t="s">
        <v>2830</v>
      </c>
      <c r="B142" s="234" t="str">
        <f>IFERROR(__xludf.DUMMYFUNCTION("GOOGLETRANSLATE(A142,""pt"",""en"")"),"Group 16: Heating appliances")</f>
        <v>Group 16: Heating appliances</v>
      </c>
      <c r="C142" s="235" t="str">
        <f>IFERROR(__xludf.DUMMYFUNCTION("GOOGLETRANSLATE(A142,""pt"",""zh-cn"")"),"第16组：取暖设备")</f>
        <v>第16组：取暖设备</v>
      </c>
      <c r="D142" s="193"/>
      <c r="E142" s="229"/>
      <c r="F142" s="229"/>
      <c r="G142" s="227"/>
      <c r="H142" s="193"/>
      <c r="I142" s="193"/>
      <c r="J142" s="193"/>
      <c r="K142" s="193"/>
      <c r="L142" s="193"/>
      <c r="M142" s="191"/>
      <c r="N142" s="191"/>
      <c r="O142" s="191"/>
      <c r="P142" s="191"/>
      <c r="Q142" s="227"/>
      <c r="R142" s="227"/>
      <c r="S142" s="227"/>
      <c r="T142" s="191"/>
      <c r="U142" s="191"/>
      <c r="V142" s="191"/>
      <c r="W142" s="191"/>
      <c r="X142" s="193"/>
      <c r="Y142" s="227"/>
      <c r="Z142" s="227"/>
      <c r="AA142" s="227"/>
      <c r="AB142" s="193"/>
      <c r="AC142" s="227"/>
      <c r="AD142" s="227"/>
      <c r="AE142" s="227"/>
      <c r="AF142" s="193"/>
      <c r="AG142" s="193"/>
      <c r="AH142" s="191"/>
    </row>
    <row r="143">
      <c r="A143" s="236" t="s">
        <v>2831</v>
      </c>
      <c r="B143" s="237" t="str">
        <f>IFERROR(__xludf.DUMMYFUNCTION("GOOGLETRANSLATE(A143,""pt"",""en"")"),"Electric device for heating saunas")</f>
        <v>Electric device for heating saunas</v>
      </c>
      <c r="C143" s="238" t="str">
        <f>IFERROR(__xludf.DUMMYFUNCTION("GOOGLETRANSLATE(A143,""pt"",""zh-cn"")"),"桑拿房加热用电器")</f>
        <v>桑拿房加热用电器</v>
      </c>
      <c r="D143" s="193"/>
      <c r="E143" s="229"/>
      <c r="F143" s="229"/>
      <c r="G143" s="227"/>
      <c r="H143" s="193"/>
      <c r="I143" s="193"/>
      <c r="J143" s="193"/>
      <c r="K143" s="193"/>
      <c r="L143" s="193"/>
      <c r="M143" s="191"/>
      <c r="N143" s="191"/>
      <c r="O143" s="191"/>
      <c r="P143" s="191"/>
      <c r="Q143" s="227"/>
      <c r="R143" s="227"/>
      <c r="S143" s="227"/>
      <c r="T143" s="191"/>
      <c r="U143" s="191"/>
      <c r="V143" s="191"/>
      <c r="W143" s="191"/>
      <c r="X143" s="193"/>
      <c r="Y143" s="227"/>
      <c r="Z143" s="227"/>
      <c r="AA143" s="227"/>
      <c r="AB143" s="193"/>
      <c r="AC143" s="227"/>
      <c r="AD143" s="227"/>
      <c r="AE143" s="227"/>
      <c r="AF143" s="193"/>
      <c r="AG143" s="193"/>
      <c r="AH143" s="191"/>
    </row>
    <row r="144">
      <c r="A144" s="236" t="s">
        <v>2832</v>
      </c>
      <c r="B144" s="237" t="str">
        <f>IFERROR(__xludf.DUMMYFUNCTION("GOOGLETRANSLATE(A144,""pt"",""en"")"),"Electric space heater")</f>
        <v>Electric space heater</v>
      </c>
      <c r="C144" s="238" t="str">
        <f>IFERROR(__xludf.DUMMYFUNCTION("GOOGLETRANSLATE(A144,""pt"",""zh-cn"")"),"电暖器")</f>
        <v>电暖器</v>
      </c>
      <c r="D144" s="193"/>
      <c r="E144" s="229"/>
      <c r="F144" s="229"/>
      <c r="G144" s="227"/>
      <c r="H144" s="193"/>
      <c r="I144" s="193"/>
      <c r="J144" s="193"/>
      <c r="K144" s="193"/>
      <c r="L144" s="193"/>
      <c r="M144" s="191"/>
      <c r="N144" s="191"/>
      <c r="O144" s="191"/>
      <c r="P144" s="191"/>
      <c r="Q144" s="227"/>
      <c r="R144" s="227"/>
      <c r="S144" s="227"/>
      <c r="T144" s="191"/>
      <c r="U144" s="191"/>
      <c r="V144" s="191"/>
      <c r="W144" s="191"/>
      <c r="X144" s="193"/>
      <c r="Y144" s="227"/>
      <c r="Z144" s="227"/>
      <c r="AA144" s="227"/>
      <c r="AB144" s="193"/>
      <c r="AC144" s="227"/>
      <c r="AD144" s="227"/>
      <c r="AE144" s="227"/>
      <c r="AF144" s="193"/>
      <c r="AG144" s="193"/>
      <c r="AH144" s="191"/>
    </row>
    <row r="145">
      <c r="A145" s="236" t="s">
        <v>2833</v>
      </c>
      <c r="B145" s="237" t="str">
        <f>IFERROR(__xludf.DUMMYFUNCTION("GOOGLETRANSLATE(A145,""pt"",""en"")"),"Electric waterbed heater")</f>
        <v>Electric waterbed heater</v>
      </c>
      <c r="C145" s="238" t="str">
        <f>IFERROR(__xludf.DUMMYFUNCTION("GOOGLETRANSLATE(A145,""pt"",""zh-cn"")"),"电水床加热器")</f>
        <v>电水床加热器</v>
      </c>
      <c r="D145" s="193"/>
      <c r="E145" s="229"/>
      <c r="F145" s="229"/>
      <c r="G145" s="227"/>
      <c r="H145" s="193"/>
      <c r="I145" s="193"/>
      <c r="J145" s="193"/>
      <c r="K145" s="193"/>
      <c r="L145" s="193"/>
      <c r="M145" s="191"/>
      <c r="N145" s="191"/>
      <c r="O145" s="191"/>
      <c r="P145" s="191"/>
      <c r="Q145" s="227"/>
      <c r="R145" s="227"/>
      <c r="S145" s="227"/>
      <c r="T145" s="191"/>
      <c r="U145" s="191"/>
      <c r="V145" s="191"/>
      <c r="W145" s="191"/>
      <c r="X145" s="193"/>
      <c r="Y145" s="227"/>
      <c r="Z145" s="227"/>
      <c r="AA145" s="227"/>
      <c r="AB145" s="193"/>
      <c r="AC145" s="227"/>
      <c r="AD145" s="227"/>
      <c r="AE145" s="227"/>
      <c r="AF145" s="193"/>
      <c r="AG145" s="193"/>
      <c r="AH145" s="191"/>
    </row>
    <row r="146">
      <c r="A146" s="236" t="s">
        <v>2834</v>
      </c>
      <c r="B146" s="237" t="str">
        <f>IFERROR(__xludf.DUMMYFUNCTION("GOOGLETRANSLATE(A146,""pt"",""en"")"),"Electric floor heater for carpeted floors")</f>
        <v>Electric floor heater for carpeted floors</v>
      </c>
      <c r="C146" s="238" t="str">
        <f>IFERROR(__xludf.DUMMYFUNCTION("GOOGLETRANSLATE(A146,""pt"",""zh-cn"")"),"适用于地毯的电地暖")</f>
        <v>适用于地毯的电地暖</v>
      </c>
      <c r="D146" s="193"/>
      <c r="E146" s="229"/>
      <c r="F146" s="229"/>
      <c r="G146" s="227"/>
      <c r="H146" s="193"/>
      <c r="I146" s="193"/>
      <c r="J146" s="193"/>
      <c r="K146" s="193"/>
      <c r="L146" s="193"/>
      <c r="M146" s="191"/>
      <c r="N146" s="191"/>
      <c r="O146" s="191"/>
      <c r="P146" s="191"/>
      <c r="Q146" s="227"/>
      <c r="R146" s="227"/>
      <c r="S146" s="227"/>
      <c r="T146" s="191"/>
      <c r="U146" s="191"/>
      <c r="V146" s="191"/>
      <c r="W146" s="191"/>
      <c r="X146" s="193"/>
      <c r="Y146" s="227"/>
      <c r="Z146" s="227"/>
      <c r="AA146" s="227"/>
      <c r="AB146" s="193"/>
      <c r="AC146" s="227"/>
      <c r="AD146" s="227"/>
      <c r="AE146" s="227"/>
      <c r="AF146" s="193"/>
      <c r="AG146" s="193"/>
      <c r="AH146" s="191"/>
    </row>
    <row r="147">
      <c r="A147" s="236" t="s">
        <v>2835</v>
      </c>
      <c r="B147" s="237" t="str">
        <f>IFERROR(__xludf.DUMMYFUNCTION("GOOGLETRANSLATE(A147,""pt"",""en"")"),"Fixed or portable electric immersion heater")</f>
        <v>Fixed or portable electric immersion heater</v>
      </c>
      <c r="C147" s="238" t="str">
        <f>IFERROR(__xludf.DUMMYFUNCTION("GOOGLETRANSLATE(A147,""pt"",""zh-cn"")"),"固定式或便携式电浸式加热器")</f>
        <v>固定式或便携式电浸式加热器</v>
      </c>
      <c r="D147" s="193"/>
      <c r="E147" s="229"/>
      <c r="F147" s="229"/>
      <c r="G147" s="227"/>
      <c r="H147" s="193"/>
      <c r="I147" s="193"/>
      <c r="J147" s="193"/>
      <c r="K147" s="193"/>
      <c r="L147" s="193"/>
      <c r="M147" s="191"/>
      <c r="N147" s="191"/>
      <c r="O147" s="191"/>
      <c r="P147" s="191"/>
      <c r="Q147" s="227"/>
      <c r="R147" s="227"/>
      <c r="S147" s="227"/>
      <c r="T147" s="191"/>
      <c r="U147" s="191"/>
      <c r="V147" s="191"/>
      <c r="W147" s="191"/>
      <c r="X147" s="193"/>
      <c r="Y147" s="227"/>
      <c r="Z147" s="227"/>
      <c r="AA147" s="227"/>
      <c r="AB147" s="193"/>
      <c r="AC147" s="227"/>
      <c r="AD147" s="227"/>
      <c r="AE147" s="227"/>
      <c r="AF147" s="193"/>
      <c r="AG147" s="193"/>
      <c r="AH147" s="191"/>
    </row>
    <row r="148">
      <c r="A148" s="236" t="s">
        <v>2836</v>
      </c>
      <c r="B148" s="237" t="str">
        <f>IFERROR(__xludf.DUMMYFUNCTION("GOOGLETRANSLATE(A148,""pt"",""en"")"),"Electric heater for aquariums and similar applications (fountains, water features, etc.)")</f>
        <v>Electric heater for aquariums and similar applications (fountains, water features, etc.)</v>
      </c>
      <c r="C148" s="238" t="str">
        <f>IFERROR(__xludf.DUMMYFUNCTION("GOOGLETRANSLATE(A148,""pt"",""zh-cn"")"),"用于水族箱及类似用途（喷泉、水景等）的电加热器")</f>
        <v>用于水族箱及类似用途（喷泉、水景等）的电加热器</v>
      </c>
      <c r="D148" s="193"/>
      <c r="E148" s="229"/>
      <c r="F148" s="229"/>
      <c r="G148" s="227"/>
      <c r="H148" s="193"/>
      <c r="I148" s="193"/>
      <c r="J148" s="193"/>
      <c r="K148" s="193"/>
      <c r="L148" s="193"/>
      <c r="M148" s="191"/>
      <c r="N148" s="191"/>
      <c r="O148" s="191"/>
      <c r="P148" s="191"/>
      <c r="Q148" s="227"/>
      <c r="R148" s="227"/>
      <c r="S148" s="227"/>
      <c r="T148" s="191"/>
      <c r="U148" s="191"/>
      <c r="V148" s="191"/>
      <c r="W148" s="191"/>
      <c r="X148" s="193"/>
      <c r="Y148" s="227"/>
      <c r="Z148" s="227"/>
      <c r="AA148" s="227"/>
      <c r="AB148" s="193"/>
      <c r="AC148" s="227"/>
      <c r="AD148" s="227"/>
      <c r="AE148" s="227"/>
      <c r="AF148" s="193"/>
      <c r="AG148" s="193"/>
      <c r="AH148" s="191"/>
    </row>
    <row r="149">
      <c r="A149" s="236" t="s">
        <v>2837</v>
      </c>
      <c r="B149" s="237" t="str">
        <f>IFERROR(__xludf.DUMMYFUNCTION("GOOGLETRANSLATE(A149,""pt"",""en"")"),"Electric heater for roof drain")</f>
        <v>Electric heater for roof drain</v>
      </c>
      <c r="C149" s="238" t="str">
        <f>IFERROR(__xludf.DUMMYFUNCTION("GOOGLETRANSLATE(A149,""pt"",""zh-cn"")"),"屋顶排水管用电加热器")</f>
        <v>屋顶排水管用电加热器</v>
      </c>
      <c r="D149" s="193"/>
      <c r="E149" s="229"/>
      <c r="F149" s="229"/>
      <c r="G149" s="227"/>
      <c r="H149" s="193"/>
      <c r="I149" s="193"/>
      <c r="J149" s="193"/>
      <c r="K149" s="193"/>
      <c r="L149" s="193"/>
      <c r="M149" s="191"/>
      <c r="N149" s="191"/>
      <c r="O149" s="191"/>
      <c r="P149" s="191"/>
      <c r="Q149" s="227"/>
      <c r="R149" s="227"/>
      <c r="S149" s="227"/>
      <c r="T149" s="191"/>
      <c r="U149" s="191"/>
      <c r="V149" s="191"/>
      <c r="W149" s="191"/>
      <c r="X149" s="193"/>
      <c r="Y149" s="227"/>
      <c r="Z149" s="227"/>
      <c r="AA149" s="227"/>
      <c r="AB149" s="193"/>
      <c r="AC149" s="227"/>
      <c r="AD149" s="227"/>
      <c r="AE149" s="227"/>
      <c r="AF149" s="193"/>
      <c r="AG149" s="193"/>
      <c r="AH149" s="191"/>
    </row>
    <row r="150">
      <c r="A150" s="236" t="s">
        <v>2838</v>
      </c>
      <c r="B150" s="237" t="str">
        <f>IFERROR(__xludf.DUMMYFUNCTION("GOOGLETRANSLATE(A150,""pt"",""en"")"),"Electric heater for greenhouse")</f>
        <v>Electric heater for greenhouse</v>
      </c>
      <c r="C150" s="238" t="str">
        <f>IFERROR(__xludf.DUMMYFUNCTION("GOOGLETRANSLATE(A150,""pt"",""zh-cn"")"),"温室用电加热器")</f>
        <v>温室用电加热器</v>
      </c>
      <c r="D150" s="193"/>
      <c r="E150" s="229"/>
      <c r="F150" s="229"/>
      <c r="G150" s="227"/>
      <c r="H150" s="193"/>
      <c r="I150" s="193"/>
      <c r="J150" s="193"/>
      <c r="K150" s="193"/>
      <c r="L150" s="193"/>
      <c r="M150" s="191"/>
      <c r="N150" s="191"/>
      <c r="O150" s="191"/>
      <c r="P150" s="191"/>
      <c r="Q150" s="227"/>
      <c r="R150" s="227"/>
      <c r="S150" s="227"/>
      <c r="T150" s="191"/>
      <c r="U150" s="191"/>
      <c r="V150" s="191"/>
      <c r="W150" s="191"/>
      <c r="X150" s="193"/>
      <c r="Y150" s="227"/>
      <c r="Z150" s="227"/>
      <c r="AA150" s="227"/>
      <c r="AB150" s="193"/>
      <c r="AC150" s="227"/>
      <c r="AD150" s="227"/>
      <c r="AE150" s="227"/>
      <c r="AF150" s="193"/>
      <c r="AG150" s="193"/>
      <c r="AH150" s="191"/>
    </row>
    <row r="151">
      <c r="A151" s="236" t="s">
        <v>2839</v>
      </c>
      <c r="B151" s="237" t="str">
        <f>IFERROR(__xludf.DUMMYFUNCTION("GOOGLETRANSLATE(A151,""pt"",""en"")"),"Oil and gas heater with electrical connection.")</f>
        <v>Oil and gas heater with electrical connection.</v>
      </c>
      <c r="C151" s="238" t="str">
        <f>IFERROR(__xludf.DUMMYFUNCTION("GOOGLETRANSLATE(A151,""pt"",""zh-cn"")"),"带电连接的油气加热器。")</f>
        <v>带电连接的油气加热器。</v>
      </c>
      <c r="D151" s="193"/>
      <c r="E151" s="229"/>
      <c r="F151" s="229"/>
      <c r="G151" s="227"/>
      <c r="H151" s="193"/>
      <c r="I151" s="193"/>
      <c r="J151" s="193"/>
      <c r="K151" s="193"/>
      <c r="L151" s="193"/>
      <c r="M151" s="191"/>
      <c r="N151" s="191"/>
      <c r="O151" s="191"/>
      <c r="P151" s="191"/>
      <c r="Q151" s="227"/>
      <c r="R151" s="227"/>
      <c r="S151" s="227"/>
      <c r="T151" s="191"/>
      <c r="U151" s="191"/>
      <c r="V151" s="191"/>
      <c r="W151" s="191"/>
      <c r="X151" s="193"/>
      <c r="Y151" s="227"/>
      <c r="Z151" s="227"/>
      <c r="AA151" s="227"/>
      <c r="AB151" s="193"/>
      <c r="AC151" s="227"/>
      <c r="AD151" s="227"/>
      <c r="AE151" s="227"/>
      <c r="AF151" s="193"/>
      <c r="AG151" s="193"/>
      <c r="AH151" s="191"/>
    </row>
    <row r="152">
      <c r="A152" s="239" t="s">
        <v>2840</v>
      </c>
      <c r="B152" s="240" t="str">
        <f>IFERROR(__xludf.DUMMYFUNCTION("GOOGLETRANSLATE(A152,""pt"",""en"")"),"Flexible sheet/panel for space heating.")</f>
        <v>Flexible sheet/panel for space heating.</v>
      </c>
      <c r="C152" s="241" t="str">
        <f>IFERROR(__xludf.DUMMYFUNCTION("GOOGLETRANSLATE(A152,""pt"",""zh-cn"")"),"用于空间供暖的柔性片材/面板。")</f>
        <v>用于空间供暖的柔性片材/面板。</v>
      </c>
      <c r="D152" s="193"/>
      <c r="E152" s="229"/>
      <c r="F152" s="229"/>
      <c r="G152" s="227"/>
      <c r="H152" s="193"/>
      <c r="I152" s="193"/>
      <c r="J152" s="193"/>
      <c r="K152" s="193"/>
      <c r="L152" s="193"/>
      <c r="M152" s="191"/>
      <c r="N152" s="191"/>
      <c r="O152" s="191"/>
      <c r="P152" s="191"/>
      <c r="Q152" s="227"/>
      <c r="R152" s="227"/>
      <c r="S152" s="227"/>
      <c r="T152" s="191"/>
      <c r="U152" s="191"/>
      <c r="V152" s="191"/>
      <c r="W152" s="191"/>
      <c r="X152" s="193"/>
      <c r="Y152" s="227"/>
      <c r="Z152" s="227"/>
      <c r="AA152" s="227"/>
      <c r="AB152" s="193"/>
      <c r="AC152" s="227"/>
      <c r="AD152" s="227"/>
      <c r="AE152" s="227"/>
      <c r="AF152" s="193"/>
      <c r="AG152" s="193"/>
      <c r="AH152" s="191"/>
    </row>
    <row r="153">
      <c r="A153" s="351" t="s">
        <v>2841</v>
      </c>
      <c r="B153" s="352" t="str">
        <f>IFERROR(__xludf.DUMMYFUNCTION("GOOGLETRANSLATE(A153,""pt"",""en"")"),"Group 17: Other household appliances")</f>
        <v>Group 17: Other household appliances</v>
      </c>
      <c r="C153" s="353" t="str">
        <f>IFERROR(__xludf.DUMMYFUNCTION("GOOGLETRANSLATE(A153,""pt"",""zh-cn"")"),"第17组：其他家用电器")</f>
        <v>第17组：其他家用电器</v>
      </c>
      <c r="D153" s="193"/>
      <c r="E153" s="229"/>
      <c r="F153" s="229"/>
      <c r="G153" s="227"/>
      <c r="H153" s="193"/>
      <c r="I153" s="193"/>
      <c r="J153" s="193"/>
      <c r="K153" s="193"/>
      <c r="L153" s="193"/>
      <c r="M153" s="191"/>
      <c r="N153" s="191"/>
      <c r="O153" s="191"/>
      <c r="P153" s="191"/>
      <c r="Q153" s="227"/>
      <c r="R153" s="227"/>
      <c r="S153" s="227"/>
      <c r="T153" s="191"/>
      <c r="U153" s="191"/>
      <c r="V153" s="191"/>
      <c r="W153" s="191"/>
      <c r="X153" s="193"/>
      <c r="Y153" s="227"/>
      <c r="Z153" s="227"/>
      <c r="AA153" s="227"/>
      <c r="AB153" s="193"/>
      <c r="AC153" s="227"/>
      <c r="AD153" s="227"/>
      <c r="AE153" s="227"/>
      <c r="AF153" s="193"/>
      <c r="AG153" s="193"/>
      <c r="AH153" s="191"/>
    </row>
    <row r="154">
      <c r="A154" s="329" t="s">
        <v>2842</v>
      </c>
      <c r="B154" s="330" t="str">
        <f>IFERROR(__xludf.DUMMYFUNCTION("GOOGLETRANSLATE(A154,""pt"",""en"")"),"Battery charger (A, AA, AAA, C, D, 9V and 12V)")</f>
        <v>Battery charger (A, AA, AAA, C, D, 9V and 12V)</v>
      </c>
      <c r="C154" s="331" t="str">
        <f>IFERROR(__xludf.DUMMYFUNCTION("GOOGLETRANSLATE(A154,""pt"",""zh-cn"")"),"电池充电器（A、AA、AAA、C、D、9V 和 12V）")</f>
        <v>电池充电器（A、AA、AAA、C、D、9V 和 12V）</v>
      </c>
      <c r="D154" s="193"/>
      <c r="E154" s="229"/>
      <c r="F154" s="229"/>
      <c r="G154" s="227"/>
      <c r="H154" s="193"/>
      <c r="I154" s="193"/>
      <c r="J154" s="193"/>
      <c r="K154" s="193"/>
      <c r="L154" s="193"/>
      <c r="M154" s="191"/>
      <c r="N154" s="191"/>
      <c r="O154" s="191"/>
      <c r="P154" s="191"/>
      <c r="Q154" s="227"/>
      <c r="R154" s="227"/>
      <c r="S154" s="227"/>
      <c r="T154" s="191"/>
      <c r="U154" s="191"/>
      <c r="V154" s="191"/>
      <c r="W154" s="191"/>
      <c r="X154" s="193"/>
      <c r="Y154" s="227"/>
      <c r="Z154" s="227"/>
      <c r="AA154" s="227"/>
      <c r="AB154" s="193"/>
      <c r="AC154" s="227"/>
      <c r="AD154" s="227"/>
      <c r="AE154" s="227"/>
      <c r="AF154" s="193"/>
      <c r="AG154" s="193"/>
      <c r="AH154" s="191"/>
    </row>
    <row r="155">
      <c r="A155" s="329" t="s">
        <v>2843</v>
      </c>
      <c r="B155" s="330" t="str">
        <f>IFERROR(__xludf.DUMMYFUNCTION("GOOGLETRANSLATE(A155,""pt"",""en"")"),"Electric grill for outdoor use")</f>
        <v>Electric grill for outdoor use</v>
      </c>
      <c r="C155" s="331" t="str">
        <f>IFERROR(__xludf.DUMMYFUNCTION("GOOGLETRANSLATE(A155,""pt"",""zh-cn"")"),"户外用电烤炉")</f>
        <v>户外用电烤炉</v>
      </c>
      <c r="D155" s="193"/>
      <c r="E155" s="229"/>
      <c r="F155" s="229"/>
      <c r="G155" s="227"/>
      <c r="H155" s="193"/>
      <c r="I155" s="193"/>
      <c r="J155" s="193"/>
      <c r="K155" s="193"/>
      <c r="L155" s="193"/>
      <c r="M155" s="191"/>
      <c r="N155" s="191"/>
      <c r="O155" s="191"/>
      <c r="P155" s="191"/>
      <c r="Q155" s="227"/>
      <c r="R155" s="227"/>
      <c r="S155" s="227"/>
      <c r="T155" s="191"/>
      <c r="U155" s="191"/>
      <c r="V155" s="191"/>
      <c r="W155" s="191"/>
      <c r="X155" s="193"/>
      <c r="Y155" s="227"/>
      <c r="Z155" s="227"/>
      <c r="AA155" s="227"/>
      <c r="AB155" s="193"/>
      <c r="AC155" s="227"/>
      <c r="AD155" s="227"/>
      <c r="AE155" s="227"/>
      <c r="AF155" s="193"/>
      <c r="AG155" s="193"/>
      <c r="AH155" s="191"/>
    </row>
    <row r="156">
      <c r="A156" s="329" t="s">
        <v>2844</v>
      </c>
      <c r="B156" s="330" t="str">
        <f>IFERROR(__xludf.DUMMYFUNCTION("GOOGLETRANSLATE(A156,""pt"",""en"")"),"Electric blanket / blanket")</f>
        <v>Electric blanket / blanket</v>
      </c>
      <c r="C156" s="331" t="str">
        <f>IFERROR(__xludf.DUMMYFUNCTION("GOOGLETRANSLATE(A156,""pt"",""zh-cn"")"),"电热毯/电热毯")</f>
        <v>电热毯/电热毯</v>
      </c>
      <c r="D156" s="193"/>
      <c r="E156" s="229"/>
      <c r="F156" s="229"/>
      <c r="G156" s="227"/>
      <c r="H156" s="193"/>
      <c r="I156" s="193"/>
      <c r="J156" s="193"/>
      <c r="K156" s="193"/>
      <c r="L156" s="193"/>
      <c r="M156" s="191"/>
      <c r="N156" s="191"/>
      <c r="O156" s="191"/>
      <c r="P156" s="191"/>
      <c r="Q156" s="227"/>
      <c r="R156" s="227"/>
      <c r="S156" s="227"/>
      <c r="T156" s="191"/>
      <c r="U156" s="191"/>
      <c r="V156" s="191"/>
      <c r="W156" s="191"/>
      <c r="X156" s="193"/>
      <c r="Y156" s="227"/>
      <c r="Z156" s="227"/>
      <c r="AA156" s="227"/>
      <c r="AB156" s="193"/>
      <c r="AC156" s="227"/>
      <c r="AD156" s="227"/>
      <c r="AE156" s="227"/>
      <c r="AF156" s="193"/>
      <c r="AG156" s="193"/>
      <c r="AH156" s="191"/>
    </row>
    <row r="157">
      <c r="A157" s="329" t="s">
        <v>2845</v>
      </c>
      <c r="B157" s="330" t="str">
        <f>IFERROR(__xludf.DUMMYFUNCTION("GOOGLETRANSLATE(A157,""pt"",""en"")"),"Electric dehumidifier")</f>
        <v>Electric dehumidifier</v>
      </c>
      <c r="C157" s="331" t="str">
        <f>IFERROR(__xludf.DUMMYFUNCTION("GOOGLETRANSLATE(A157,""pt"",""zh-cn"")"),"电动除湿机")</f>
        <v>电动除湿机</v>
      </c>
      <c r="D157" s="193"/>
      <c r="E157" s="229"/>
      <c r="F157" s="229"/>
      <c r="G157" s="227"/>
      <c r="H157" s="193"/>
      <c r="I157" s="193"/>
      <c r="J157" s="193"/>
      <c r="K157" s="193"/>
      <c r="L157" s="193"/>
      <c r="M157" s="191"/>
      <c r="N157" s="191"/>
      <c r="O157" s="191"/>
      <c r="P157" s="191"/>
      <c r="Q157" s="227"/>
      <c r="R157" s="227"/>
      <c r="S157" s="227"/>
      <c r="T157" s="191"/>
      <c r="U157" s="191"/>
      <c r="V157" s="191"/>
      <c r="W157" s="191"/>
      <c r="X157" s="193"/>
      <c r="Y157" s="227"/>
      <c r="Z157" s="227"/>
      <c r="AA157" s="227"/>
      <c r="AB157" s="193"/>
      <c r="AC157" s="227"/>
      <c r="AD157" s="227"/>
      <c r="AE157" s="227"/>
      <c r="AF157" s="193"/>
      <c r="AG157" s="193"/>
      <c r="AH157" s="191"/>
    </row>
    <row r="158">
      <c r="A158" s="329" t="s">
        <v>2846</v>
      </c>
      <c r="B158" s="330" t="str">
        <f>IFERROR(__xludf.DUMMYFUNCTION("GOOGLETRANSLATE(A158,""pt"",""en"")"),"Electric fence energizer")</f>
        <v>Electric fence energizer</v>
      </c>
      <c r="C158" s="331" t="str">
        <f>IFERROR(__xludf.DUMMYFUNCTION("GOOGLETRANSLATE(A158,""pt"",""zh-cn"")"),"电围栏脉冲发生器")</f>
        <v>电围栏脉冲发生器</v>
      </c>
      <c r="D158" s="193"/>
      <c r="E158" s="229"/>
      <c r="F158" s="229"/>
      <c r="G158" s="227"/>
      <c r="H158" s="193"/>
      <c r="I158" s="193"/>
      <c r="J158" s="193"/>
      <c r="K158" s="193"/>
      <c r="L158" s="193"/>
      <c r="M158" s="191"/>
      <c r="N158" s="191"/>
      <c r="O158" s="191"/>
      <c r="P158" s="191"/>
      <c r="Q158" s="227"/>
      <c r="R158" s="227"/>
      <c r="S158" s="227"/>
      <c r="T158" s="191"/>
      <c r="U158" s="191"/>
      <c r="V158" s="191"/>
      <c r="W158" s="191"/>
      <c r="X158" s="193"/>
      <c r="Y158" s="227"/>
      <c r="Z158" s="227"/>
      <c r="AA158" s="227"/>
      <c r="AB158" s="193"/>
      <c r="AC158" s="227"/>
      <c r="AD158" s="227"/>
      <c r="AE158" s="227"/>
      <c r="AF158" s="193"/>
      <c r="AG158" s="193"/>
      <c r="AH158" s="191"/>
    </row>
    <row r="159">
      <c r="A159" s="329" t="s">
        <v>2847</v>
      </c>
      <c r="B159" s="330" t="str">
        <f>IFERROR(__xludf.DUMMYFUNCTION("GOOGLETRANSLATE(A159,""pt"",""en"")"),"Electric floor polisher/waxer")</f>
        <v>Electric floor polisher/waxer</v>
      </c>
      <c r="C159" s="331" t="str">
        <f>IFERROR(__xludf.DUMMYFUNCTION("GOOGLETRANSLATE(A159,""pt"",""zh-cn"")"),"电动地板抛光/打蜡机")</f>
        <v>电动地板抛光/打蜡机</v>
      </c>
      <c r="D159" s="193"/>
      <c r="E159" s="229"/>
      <c r="F159" s="229"/>
      <c r="G159" s="227"/>
      <c r="H159" s="193"/>
      <c r="I159" s="193"/>
      <c r="J159" s="193"/>
      <c r="K159" s="193"/>
      <c r="L159" s="193"/>
      <c r="M159" s="191"/>
      <c r="N159" s="191"/>
      <c r="O159" s="191"/>
      <c r="P159" s="191"/>
      <c r="Q159" s="227"/>
      <c r="R159" s="227"/>
      <c r="S159" s="227"/>
      <c r="T159" s="191"/>
      <c r="U159" s="191"/>
      <c r="V159" s="191"/>
      <c r="W159" s="191"/>
      <c r="X159" s="193"/>
      <c r="Y159" s="227"/>
      <c r="Z159" s="227"/>
      <c r="AA159" s="227"/>
      <c r="AB159" s="193"/>
      <c r="AC159" s="227"/>
      <c r="AD159" s="227"/>
      <c r="AE159" s="227"/>
      <c r="AF159" s="193"/>
      <c r="AG159" s="193"/>
      <c r="AH159" s="191"/>
    </row>
    <row r="160">
      <c r="A160" s="329" t="s">
        <v>2848</v>
      </c>
      <c r="B160" s="330" t="str">
        <f>IFERROR(__xludf.DUMMYFUNCTION("GOOGLETRANSLATE(A160,""pt"",""en"")"),"electric iron")</f>
        <v>electric iron</v>
      </c>
      <c r="C160" s="331" t="str">
        <f>IFERROR(__xludf.DUMMYFUNCTION("GOOGLETRANSLATE(A160,""pt"",""zh-cn"")"),"电熨斗")</f>
        <v>电熨斗</v>
      </c>
      <c r="D160" s="193"/>
      <c r="E160" s="229"/>
      <c r="F160" s="229"/>
      <c r="G160" s="227"/>
      <c r="H160" s="193"/>
      <c r="I160" s="193"/>
      <c r="J160" s="193"/>
      <c r="K160" s="193"/>
      <c r="L160" s="193"/>
      <c r="M160" s="191"/>
      <c r="N160" s="191"/>
      <c r="O160" s="191"/>
      <c r="P160" s="191"/>
      <c r="Q160" s="227"/>
      <c r="R160" s="227"/>
      <c r="S160" s="227"/>
      <c r="T160" s="191"/>
      <c r="U160" s="191"/>
      <c r="V160" s="191"/>
      <c r="W160" s="191"/>
      <c r="X160" s="193"/>
      <c r="Y160" s="227"/>
      <c r="Z160" s="227"/>
      <c r="AA160" s="227"/>
      <c r="AB160" s="193"/>
      <c r="AC160" s="227"/>
      <c r="AD160" s="227"/>
      <c r="AE160" s="227"/>
      <c r="AF160" s="193"/>
      <c r="AG160" s="193"/>
      <c r="AH160" s="191"/>
    </row>
    <row r="161">
      <c r="A161" s="329" t="s">
        <v>2849</v>
      </c>
      <c r="B161" s="330" t="str">
        <f>IFERROR(__xludf.DUMMYFUNCTION("GOOGLETRANSLATE(A161,""pt"",""en"")"),"Electric air filter and/or ionizer")</f>
        <v>Electric air filter and/or ionizer</v>
      </c>
      <c r="C161" s="331" t="str">
        <f>IFERROR(__xludf.DUMMYFUNCTION("GOOGLETRANSLATE(A161,""pt"",""zh-cn"")"),"电动空气过滤器和/或离子发生器")</f>
        <v>电动空气过滤器和/或离子发生器</v>
      </c>
      <c r="D161" s="193"/>
      <c r="E161" s="229"/>
      <c r="F161" s="229"/>
      <c r="G161" s="227"/>
      <c r="H161" s="193"/>
      <c r="I161" s="193"/>
      <c r="J161" s="193"/>
      <c r="K161" s="193"/>
      <c r="L161" s="193"/>
      <c r="M161" s="191"/>
      <c r="N161" s="191"/>
      <c r="O161" s="191"/>
      <c r="P161" s="191"/>
      <c r="Q161" s="227"/>
      <c r="R161" s="227"/>
      <c r="S161" s="227"/>
      <c r="T161" s="191"/>
      <c r="U161" s="191"/>
      <c r="V161" s="191"/>
      <c r="W161" s="191"/>
      <c r="X161" s="193"/>
      <c r="Y161" s="227"/>
      <c r="Z161" s="227"/>
      <c r="AA161" s="227"/>
      <c r="AB161" s="193"/>
      <c r="AC161" s="227"/>
      <c r="AD161" s="227"/>
      <c r="AE161" s="227"/>
      <c r="AF161" s="193"/>
      <c r="AG161" s="193"/>
      <c r="AH161" s="191"/>
    </row>
    <row r="162">
      <c r="A162" s="329" t="s">
        <v>2850</v>
      </c>
      <c r="B162" s="330" t="str">
        <f>IFERROR(__xludf.DUMMYFUNCTION("GOOGLETRANSLATE(A162,""pt"",""en"")"),"Electric sewing machine")</f>
        <v>Electric sewing machine</v>
      </c>
      <c r="C162" s="331" t="str">
        <f>IFERROR(__xludf.DUMMYFUNCTION("GOOGLETRANSLATE(A162,""pt"",""zh-cn"")"),"电动缝纫机")</f>
        <v>电动缝纫机</v>
      </c>
      <c r="D162" s="193"/>
      <c r="E162" s="229"/>
      <c r="F162" s="229"/>
      <c r="G162" s="227"/>
      <c r="H162" s="193"/>
      <c r="I162" s="193"/>
      <c r="J162" s="193"/>
      <c r="K162" s="193"/>
      <c r="L162" s="193"/>
      <c r="M162" s="191"/>
      <c r="N162" s="191"/>
      <c r="O162" s="191"/>
      <c r="P162" s="191"/>
      <c r="Q162" s="227"/>
      <c r="R162" s="227"/>
      <c r="S162" s="227"/>
      <c r="T162" s="191"/>
      <c r="U162" s="191"/>
      <c r="V162" s="191"/>
      <c r="W162" s="191"/>
      <c r="X162" s="193"/>
      <c r="Y162" s="227"/>
      <c r="Z162" s="227"/>
      <c r="AA162" s="227"/>
      <c r="AB162" s="193"/>
      <c r="AC162" s="227"/>
      <c r="AD162" s="227"/>
      <c r="AE162" s="227"/>
      <c r="AF162" s="193"/>
      <c r="AG162" s="193"/>
      <c r="AH162" s="191"/>
    </row>
    <row r="163">
      <c r="A163" s="329" t="s">
        <v>2851</v>
      </c>
      <c r="B163" s="330" t="str">
        <f>IFERROR(__xludf.DUMMYFUNCTION("GOOGLETRANSLATE(A163,""pt"",""en"")"),"Heated electric floor")</f>
        <v>Heated electric floor</v>
      </c>
      <c r="C163" s="331" t="str">
        <f>IFERROR(__xludf.DUMMYFUNCTION("GOOGLETRANSLATE(A163,""pt"",""zh-cn"")"),"电热地板")</f>
        <v>电热地板</v>
      </c>
      <c r="D163" s="193"/>
      <c r="E163" s="229"/>
      <c r="F163" s="229"/>
      <c r="G163" s="227"/>
      <c r="H163" s="193"/>
      <c r="I163" s="193"/>
      <c r="J163" s="193"/>
      <c r="K163" s="193"/>
      <c r="L163" s="193"/>
      <c r="M163" s="191"/>
      <c r="N163" s="191"/>
      <c r="O163" s="191"/>
      <c r="P163" s="191"/>
      <c r="Q163" s="227"/>
      <c r="R163" s="227"/>
      <c r="S163" s="227"/>
      <c r="T163" s="191"/>
      <c r="U163" s="191"/>
      <c r="V163" s="191"/>
      <c r="W163" s="191"/>
      <c r="X163" s="193"/>
      <c r="Y163" s="227"/>
      <c r="Z163" s="227"/>
      <c r="AA163" s="227"/>
      <c r="AB163" s="193"/>
      <c r="AC163" s="227"/>
      <c r="AD163" s="227"/>
      <c r="AE163" s="227"/>
      <c r="AF163" s="193"/>
      <c r="AG163" s="193"/>
      <c r="AH163" s="191"/>
    </row>
    <row r="164">
      <c r="A164" s="329" t="s">
        <v>2852</v>
      </c>
      <c r="B164" s="330" t="str">
        <f>IFERROR(__xludf.DUMMYFUNCTION("GOOGLETRANSLATE(A164,""pt"",""en"")"),"Electric clock / Electric alarm clock (excluding radio clock)")</f>
        <v>Electric clock / Electric alarm clock (excluding radio clock)</v>
      </c>
      <c r="C164" s="331" t="str">
        <f>IFERROR(__xludf.DUMMYFUNCTION("GOOGLETRANSLATE(A164,""pt"",""zh-cn"")"),"电子钟/电子闹钟（不含收音机闹钟）")</f>
        <v>电子钟/电子闹钟（不含收音机闹钟）</v>
      </c>
      <c r="D164" s="193"/>
      <c r="E164" s="229"/>
      <c r="F164" s="229"/>
      <c r="G164" s="227"/>
      <c r="H164" s="193"/>
      <c r="I164" s="193"/>
      <c r="J164" s="193"/>
      <c r="K164" s="193"/>
      <c r="L164" s="193"/>
      <c r="M164" s="191"/>
      <c r="N164" s="191"/>
      <c r="O164" s="191"/>
      <c r="P164" s="191"/>
      <c r="Q164" s="227"/>
      <c r="R164" s="227"/>
      <c r="S164" s="227"/>
      <c r="T164" s="191"/>
      <c r="U164" s="191"/>
      <c r="V164" s="191"/>
      <c r="W164" s="191"/>
      <c r="X164" s="193"/>
      <c r="Y164" s="227"/>
      <c r="Z164" s="227"/>
      <c r="AA164" s="227"/>
      <c r="AB164" s="193"/>
      <c r="AC164" s="227"/>
      <c r="AD164" s="227"/>
      <c r="AE164" s="227"/>
      <c r="AF164" s="193"/>
      <c r="AG164" s="193"/>
      <c r="AH164" s="191"/>
    </row>
    <row r="165">
      <c r="A165" s="332" t="s">
        <v>2853</v>
      </c>
      <c r="B165" s="333" t="str">
        <f>IFERROR(__xludf.DUMMYFUNCTION("GOOGLETRANSLATE(A165,""pt"",""en"")"),"Electric food waste disposers")</f>
        <v>Electric food waste disposers</v>
      </c>
      <c r="C165" s="334" t="str">
        <f>IFERROR(__xludf.DUMMYFUNCTION("GOOGLETRANSLATE(A165,""pt"",""zh-cn"")"),"电动食物垃圾处理器")</f>
        <v>电动食物垃圾处理器</v>
      </c>
      <c r="D165" s="193"/>
      <c r="E165" s="229"/>
      <c r="F165" s="229"/>
      <c r="G165" s="227"/>
      <c r="H165" s="193"/>
      <c r="I165" s="193"/>
      <c r="J165" s="193"/>
      <c r="K165" s="193"/>
      <c r="L165" s="193"/>
      <c r="M165" s="191"/>
      <c r="N165" s="191"/>
      <c r="O165" s="191"/>
      <c r="P165" s="191"/>
      <c r="Q165" s="227"/>
      <c r="R165" s="227"/>
      <c r="S165" s="227"/>
      <c r="T165" s="191"/>
      <c r="U165" s="191"/>
      <c r="V165" s="191"/>
      <c r="W165" s="191"/>
      <c r="X165" s="193"/>
      <c r="Y165" s="227"/>
      <c r="Z165" s="227"/>
      <c r="AA165" s="227"/>
      <c r="AB165" s="193"/>
      <c r="AC165" s="227"/>
      <c r="AD165" s="227"/>
      <c r="AE165" s="227"/>
      <c r="AF165" s="193"/>
      <c r="AG165" s="193"/>
      <c r="AH165" s="191"/>
    </row>
    <row r="166">
      <c r="A166" s="193"/>
      <c r="B166" s="193"/>
      <c r="C166" s="193"/>
      <c r="D166" s="193"/>
      <c r="E166" s="229"/>
      <c r="F166" s="229"/>
      <c r="G166" s="227"/>
      <c r="H166" s="193"/>
      <c r="I166" s="193"/>
      <c r="J166" s="193"/>
      <c r="K166" s="193"/>
      <c r="L166" s="193"/>
      <c r="M166" s="191"/>
      <c r="N166" s="191"/>
      <c r="O166" s="191"/>
      <c r="P166" s="191"/>
      <c r="Q166" s="227"/>
      <c r="R166" s="227"/>
      <c r="S166" s="227"/>
      <c r="T166" s="191"/>
      <c r="U166" s="191"/>
      <c r="V166" s="191"/>
      <c r="W166" s="191"/>
      <c r="X166" s="193"/>
      <c r="Y166" s="227"/>
      <c r="Z166" s="227"/>
      <c r="AA166" s="227"/>
      <c r="AB166" s="193"/>
      <c r="AC166" s="227"/>
      <c r="AD166" s="227"/>
      <c r="AE166" s="227"/>
      <c r="AF166" s="193"/>
      <c r="AG166" s="193"/>
      <c r="AH166" s="191"/>
    </row>
    <row r="167">
      <c r="A167" s="193"/>
      <c r="B167" s="193"/>
      <c r="C167" s="193"/>
      <c r="D167" s="193"/>
      <c r="E167" s="229"/>
      <c r="F167" s="229"/>
      <c r="G167" s="227"/>
      <c r="H167" s="193"/>
      <c r="I167" s="193"/>
      <c r="J167" s="193"/>
      <c r="K167" s="193"/>
      <c r="L167" s="193"/>
      <c r="M167" s="191"/>
      <c r="N167" s="191"/>
      <c r="O167" s="191"/>
      <c r="P167" s="191"/>
      <c r="Q167" s="227"/>
      <c r="R167" s="227"/>
      <c r="S167" s="227"/>
      <c r="T167" s="191"/>
      <c r="U167" s="191"/>
      <c r="V167" s="191"/>
      <c r="W167" s="191"/>
      <c r="X167" s="193"/>
      <c r="Y167" s="227"/>
      <c r="Z167" s="227"/>
      <c r="AA167" s="227"/>
      <c r="AB167" s="193"/>
      <c r="AC167" s="227"/>
      <c r="AD167" s="227"/>
      <c r="AE167" s="227"/>
      <c r="AF167" s="193"/>
      <c r="AG167" s="193"/>
      <c r="AH167" s="191"/>
    </row>
    <row r="168">
      <c r="A168" s="193"/>
      <c r="B168" s="193"/>
      <c r="C168" s="193"/>
      <c r="D168" s="193"/>
      <c r="E168" s="229"/>
      <c r="F168" s="229"/>
      <c r="G168" s="227"/>
      <c r="H168" s="193"/>
      <c r="I168" s="193"/>
      <c r="J168" s="193"/>
      <c r="K168" s="193"/>
      <c r="L168" s="193"/>
      <c r="M168" s="191"/>
      <c r="N168" s="191"/>
      <c r="O168" s="191"/>
      <c r="P168" s="191"/>
      <c r="Q168" s="227"/>
      <c r="R168" s="227"/>
      <c r="S168" s="227"/>
      <c r="T168" s="191"/>
      <c r="U168" s="191"/>
      <c r="V168" s="191"/>
      <c r="W168" s="191"/>
      <c r="X168" s="193"/>
      <c r="Y168" s="227"/>
      <c r="Z168" s="227"/>
      <c r="AA168" s="227"/>
      <c r="AB168" s="193"/>
      <c r="AC168" s="227"/>
      <c r="AD168" s="227"/>
      <c r="AE168" s="227"/>
      <c r="AF168" s="193"/>
      <c r="AG168" s="193"/>
      <c r="AH168" s="191"/>
    </row>
    <row r="169">
      <c r="A169" s="193"/>
      <c r="B169" s="193"/>
      <c r="C169" s="193"/>
      <c r="D169" s="193"/>
      <c r="E169" s="229"/>
      <c r="F169" s="229"/>
      <c r="G169" s="227"/>
      <c r="H169" s="193"/>
      <c r="I169" s="193"/>
      <c r="J169" s="193"/>
      <c r="K169" s="193"/>
      <c r="L169" s="193"/>
      <c r="M169" s="191"/>
      <c r="N169" s="191"/>
      <c r="O169" s="191"/>
      <c r="P169" s="191"/>
      <c r="Q169" s="227"/>
      <c r="R169" s="227"/>
      <c r="S169" s="227"/>
      <c r="T169" s="191"/>
      <c r="U169" s="191"/>
      <c r="V169" s="191"/>
      <c r="W169" s="191"/>
      <c r="X169" s="193"/>
      <c r="Y169" s="227"/>
      <c r="Z169" s="227"/>
      <c r="AA169" s="227"/>
      <c r="AB169" s="193"/>
      <c r="AC169" s="227"/>
      <c r="AD169" s="227"/>
      <c r="AE169" s="227"/>
      <c r="AF169" s="193"/>
      <c r="AG169" s="193"/>
      <c r="AH169" s="191"/>
    </row>
    <row r="170">
      <c r="A170" s="193"/>
      <c r="B170" s="193"/>
      <c r="C170" s="193"/>
      <c r="D170" s="193"/>
      <c r="E170" s="229"/>
      <c r="F170" s="229"/>
      <c r="G170" s="227"/>
      <c r="H170" s="193"/>
      <c r="I170" s="193"/>
      <c r="J170" s="193"/>
      <c r="K170" s="193"/>
      <c r="L170" s="193"/>
      <c r="M170" s="191"/>
      <c r="N170" s="191"/>
      <c r="O170" s="191"/>
      <c r="P170" s="191"/>
      <c r="Q170" s="227"/>
      <c r="R170" s="227"/>
      <c r="S170" s="227"/>
      <c r="T170" s="191"/>
      <c r="U170" s="191"/>
      <c r="V170" s="191"/>
      <c r="W170" s="191"/>
      <c r="X170" s="193"/>
      <c r="Y170" s="227"/>
      <c r="Z170" s="227"/>
      <c r="AA170" s="227"/>
      <c r="AB170" s="193"/>
      <c r="AC170" s="227"/>
      <c r="AD170" s="227"/>
      <c r="AE170" s="227"/>
      <c r="AF170" s="193"/>
      <c r="AG170" s="193"/>
      <c r="AH170" s="191"/>
    </row>
    <row r="171">
      <c r="A171" s="193"/>
      <c r="B171" s="193"/>
      <c r="C171" s="193"/>
      <c r="D171" s="193"/>
      <c r="E171" s="229"/>
      <c r="F171" s="229"/>
      <c r="G171" s="227"/>
      <c r="H171" s="193"/>
      <c r="I171" s="193"/>
      <c r="J171" s="193"/>
      <c r="K171" s="193"/>
      <c r="L171" s="193"/>
      <c r="M171" s="191"/>
      <c r="N171" s="191"/>
      <c r="O171" s="191"/>
      <c r="P171" s="191"/>
      <c r="Q171" s="227"/>
      <c r="R171" s="227"/>
      <c r="S171" s="227"/>
      <c r="T171" s="191"/>
      <c r="U171" s="191"/>
      <c r="V171" s="191"/>
      <c r="W171" s="191"/>
      <c r="X171" s="193"/>
      <c r="Y171" s="227"/>
      <c r="Z171" s="227"/>
      <c r="AA171" s="227"/>
      <c r="AB171" s="193"/>
      <c r="AC171" s="227"/>
      <c r="AD171" s="227"/>
      <c r="AE171" s="227"/>
      <c r="AF171" s="193"/>
      <c r="AG171" s="193"/>
      <c r="AH171" s="191"/>
    </row>
    <row r="172">
      <c r="A172" s="193"/>
      <c r="B172" s="193"/>
      <c r="C172" s="193"/>
      <c r="D172" s="193"/>
      <c r="E172" s="229"/>
      <c r="F172" s="229"/>
      <c r="G172" s="227"/>
      <c r="H172" s="193"/>
      <c r="I172" s="193"/>
      <c r="J172" s="193"/>
      <c r="K172" s="193"/>
      <c r="L172" s="193"/>
      <c r="M172" s="191"/>
      <c r="N172" s="191"/>
      <c r="O172" s="191"/>
      <c r="P172" s="191"/>
      <c r="Q172" s="227"/>
      <c r="R172" s="227"/>
      <c r="S172" s="227"/>
      <c r="T172" s="191"/>
      <c r="U172" s="191"/>
      <c r="V172" s="191"/>
      <c r="W172" s="191"/>
      <c r="X172" s="193"/>
      <c r="Y172" s="227"/>
      <c r="Z172" s="227"/>
      <c r="AA172" s="227"/>
      <c r="AB172" s="193"/>
      <c r="AC172" s="227"/>
      <c r="AD172" s="227"/>
      <c r="AE172" s="227"/>
      <c r="AF172" s="193"/>
      <c r="AG172" s="193"/>
      <c r="AH172" s="191"/>
    </row>
    <row r="173">
      <c r="A173" s="193"/>
      <c r="B173" s="193"/>
      <c r="C173" s="193"/>
      <c r="D173" s="193"/>
      <c r="E173" s="229"/>
      <c r="F173" s="229"/>
      <c r="G173" s="227"/>
      <c r="H173" s="193"/>
      <c r="I173" s="193"/>
      <c r="J173" s="193"/>
      <c r="K173" s="193"/>
      <c r="L173" s="193"/>
      <c r="M173" s="191"/>
      <c r="N173" s="191"/>
      <c r="O173" s="191"/>
      <c r="P173" s="191"/>
      <c r="Q173" s="227"/>
      <c r="R173" s="227"/>
      <c r="S173" s="227"/>
      <c r="T173" s="191"/>
      <c r="U173" s="191"/>
      <c r="V173" s="191"/>
      <c r="W173" s="191"/>
      <c r="X173" s="193"/>
      <c r="Y173" s="227"/>
      <c r="Z173" s="227"/>
      <c r="AA173" s="227"/>
      <c r="AB173" s="193"/>
      <c r="AC173" s="227"/>
      <c r="AD173" s="227"/>
      <c r="AE173" s="227"/>
      <c r="AF173" s="193"/>
      <c r="AG173" s="193"/>
      <c r="AH173" s="191"/>
    </row>
    <row r="174">
      <c r="A174" s="193"/>
      <c r="B174" s="193"/>
      <c r="C174" s="193"/>
      <c r="D174" s="193"/>
      <c r="E174" s="229"/>
      <c r="F174" s="229"/>
      <c r="G174" s="227"/>
      <c r="H174" s="193"/>
      <c r="I174" s="193"/>
      <c r="J174" s="193"/>
      <c r="K174" s="193"/>
      <c r="L174" s="193"/>
      <c r="M174" s="191"/>
      <c r="N174" s="191"/>
      <c r="O174" s="191"/>
      <c r="P174" s="191"/>
      <c r="Q174" s="227"/>
      <c r="R174" s="227"/>
      <c r="S174" s="227"/>
      <c r="T174" s="191"/>
      <c r="U174" s="191"/>
      <c r="V174" s="191"/>
      <c r="W174" s="191"/>
      <c r="X174" s="193"/>
      <c r="Y174" s="227"/>
      <c r="Z174" s="227"/>
      <c r="AA174" s="227"/>
      <c r="AB174" s="193"/>
      <c r="AC174" s="227"/>
      <c r="AD174" s="227"/>
      <c r="AE174" s="227"/>
      <c r="AF174" s="193"/>
      <c r="AG174" s="193"/>
      <c r="AH174" s="191"/>
    </row>
    <row r="175">
      <c r="A175" s="193"/>
      <c r="B175" s="193"/>
      <c r="C175" s="193"/>
      <c r="D175" s="193"/>
      <c r="E175" s="229"/>
      <c r="F175" s="229"/>
      <c r="G175" s="227"/>
      <c r="H175" s="193"/>
      <c r="I175" s="193"/>
      <c r="J175" s="193"/>
      <c r="K175" s="193"/>
      <c r="L175" s="193"/>
      <c r="M175" s="191"/>
      <c r="N175" s="191"/>
      <c r="O175" s="191"/>
      <c r="P175" s="191"/>
      <c r="Q175" s="227"/>
      <c r="R175" s="227"/>
      <c r="S175" s="227"/>
      <c r="T175" s="191"/>
      <c r="U175" s="191"/>
      <c r="V175" s="191"/>
      <c r="W175" s="191"/>
      <c r="X175" s="193"/>
      <c r="Y175" s="227"/>
      <c r="Z175" s="227"/>
      <c r="AA175" s="227"/>
      <c r="AB175" s="193"/>
      <c r="AC175" s="227"/>
      <c r="AD175" s="227"/>
      <c r="AE175" s="227"/>
      <c r="AF175" s="193"/>
      <c r="AG175" s="193"/>
      <c r="AH175" s="191"/>
    </row>
    <row r="176">
      <c r="A176" s="193"/>
      <c r="B176" s="193"/>
      <c r="C176" s="193"/>
      <c r="D176" s="193"/>
      <c r="E176" s="229"/>
      <c r="F176" s="229"/>
      <c r="G176" s="227"/>
      <c r="H176" s="193"/>
      <c r="I176" s="193"/>
      <c r="J176" s="193"/>
      <c r="K176" s="193"/>
      <c r="L176" s="193"/>
      <c r="M176" s="191"/>
      <c r="N176" s="191"/>
      <c r="O176" s="191"/>
      <c r="P176" s="191"/>
      <c r="Q176" s="227"/>
      <c r="R176" s="227"/>
      <c r="S176" s="227"/>
      <c r="T176" s="191"/>
      <c r="U176" s="191"/>
      <c r="V176" s="191"/>
      <c r="W176" s="191"/>
      <c r="X176" s="193"/>
      <c r="Y176" s="227"/>
      <c r="Z176" s="227"/>
      <c r="AA176" s="227"/>
      <c r="AB176" s="193"/>
      <c r="AC176" s="227"/>
      <c r="AD176" s="227"/>
      <c r="AE176" s="227"/>
      <c r="AF176" s="193"/>
      <c r="AG176" s="193"/>
      <c r="AH176" s="191"/>
    </row>
    <row r="177">
      <c r="A177" s="193"/>
      <c r="B177" s="193"/>
      <c r="C177" s="193"/>
      <c r="D177" s="193"/>
      <c r="E177" s="229"/>
      <c r="F177" s="229"/>
      <c r="G177" s="227"/>
      <c r="H177" s="193"/>
      <c r="I177" s="193"/>
      <c r="J177" s="193"/>
      <c r="K177" s="193"/>
      <c r="L177" s="193"/>
      <c r="M177" s="191"/>
      <c r="N177" s="191"/>
      <c r="O177" s="191"/>
      <c r="P177" s="191"/>
      <c r="Q177" s="227"/>
      <c r="R177" s="227"/>
      <c r="S177" s="227"/>
      <c r="T177" s="191"/>
      <c r="U177" s="191"/>
      <c r="V177" s="191"/>
      <c r="W177" s="191"/>
      <c r="X177" s="193"/>
      <c r="Y177" s="227"/>
      <c r="Z177" s="227"/>
      <c r="AA177" s="227"/>
      <c r="AB177" s="193"/>
      <c r="AC177" s="227"/>
      <c r="AD177" s="227"/>
      <c r="AE177" s="227"/>
      <c r="AF177" s="193"/>
      <c r="AG177" s="193"/>
      <c r="AH177" s="191"/>
    </row>
    <row r="178">
      <c r="A178" s="193"/>
      <c r="B178" s="193"/>
      <c r="C178" s="193"/>
      <c r="D178" s="193"/>
      <c r="E178" s="229"/>
      <c r="F178" s="229"/>
      <c r="G178" s="227"/>
      <c r="H178" s="193"/>
      <c r="I178" s="193"/>
      <c r="J178" s="193"/>
      <c r="K178" s="193"/>
      <c r="L178" s="193"/>
      <c r="M178" s="191"/>
      <c r="N178" s="191"/>
      <c r="O178" s="191"/>
      <c r="P178" s="191"/>
      <c r="Q178" s="227"/>
      <c r="R178" s="227"/>
      <c r="S178" s="227"/>
      <c r="T178" s="191"/>
      <c r="U178" s="191"/>
      <c r="V178" s="191"/>
      <c r="W178" s="191"/>
      <c r="X178" s="193"/>
      <c r="Y178" s="227"/>
      <c r="Z178" s="227"/>
      <c r="AA178" s="227"/>
      <c r="AB178" s="193"/>
      <c r="AC178" s="227"/>
      <c r="AD178" s="227"/>
      <c r="AE178" s="227"/>
      <c r="AF178" s="193"/>
      <c r="AG178" s="193"/>
      <c r="AH178" s="191"/>
    </row>
    <row r="179">
      <c r="A179" s="193"/>
      <c r="B179" s="193"/>
      <c r="C179" s="193"/>
      <c r="D179" s="193"/>
      <c r="E179" s="229"/>
      <c r="F179" s="229"/>
      <c r="G179" s="227"/>
      <c r="H179" s="193"/>
      <c r="I179" s="193"/>
      <c r="J179" s="193"/>
      <c r="K179" s="193"/>
      <c r="L179" s="193"/>
      <c r="M179" s="191"/>
      <c r="N179" s="191"/>
      <c r="O179" s="191"/>
      <c r="P179" s="191"/>
      <c r="Q179" s="227"/>
      <c r="R179" s="227"/>
      <c r="S179" s="227"/>
      <c r="T179" s="191"/>
      <c r="U179" s="191"/>
      <c r="V179" s="191"/>
      <c r="W179" s="191"/>
      <c r="X179" s="193"/>
      <c r="Y179" s="227"/>
      <c r="Z179" s="227"/>
      <c r="AA179" s="227"/>
      <c r="AB179" s="193"/>
      <c r="AC179" s="227"/>
      <c r="AD179" s="227"/>
      <c r="AE179" s="227"/>
      <c r="AF179" s="193"/>
      <c r="AG179" s="193"/>
      <c r="AH179" s="191"/>
    </row>
    <row r="180">
      <c r="A180" s="193"/>
      <c r="B180" s="193"/>
      <c r="C180" s="193"/>
      <c r="D180" s="193"/>
      <c r="E180" s="229"/>
      <c r="F180" s="229"/>
      <c r="G180" s="227"/>
      <c r="H180" s="193"/>
      <c r="I180" s="193"/>
      <c r="J180" s="193"/>
      <c r="K180" s="193"/>
      <c r="L180" s="193"/>
      <c r="M180" s="191"/>
      <c r="N180" s="191"/>
      <c r="O180" s="191"/>
      <c r="P180" s="191"/>
      <c r="Q180" s="227"/>
      <c r="R180" s="227"/>
      <c r="S180" s="227"/>
      <c r="T180" s="191"/>
      <c r="U180" s="191"/>
      <c r="V180" s="191"/>
      <c r="W180" s="191"/>
      <c r="X180" s="193"/>
      <c r="Y180" s="227"/>
      <c r="Z180" s="227"/>
      <c r="AA180" s="227"/>
      <c r="AB180" s="193"/>
      <c r="AC180" s="227"/>
      <c r="AD180" s="227"/>
      <c r="AE180" s="227"/>
      <c r="AF180" s="193"/>
      <c r="AG180" s="193"/>
      <c r="AH180" s="191"/>
    </row>
    <row r="181">
      <c r="A181" s="193"/>
      <c r="B181" s="193"/>
      <c r="C181" s="193"/>
      <c r="D181" s="193"/>
      <c r="E181" s="229"/>
      <c r="F181" s="229"/>
      <c r="G181" s="227"/>
      <c r="H181" s="193"/>
      <c r="I181" s="193"/>
      <c r="J181" s="193"/>
      <c r="K181" s="193"/>
      <c r="L181" s="193"/>
      <c r="M181" s="191"/>
      <c r="N181" s="191"/>
      <c r="O181" s="191"/>
      <c r="P181" s="191"/>
      <c r="Q181" s="227"/>
      <c r="R181" s="227"/>
      <c r="S181" s="227"/>
      <c r="T181" s="191"/>
      <c r="U181" s="191"/>
      <c r="V181" s="191"/>
      <c r="W181" s="191"/>
      <c r="X181" s="193"/>
      <c r="Y181" s="227"/>
      <c r="Z181" s="227"/>
      <c r="AA181" s="227"/>
      <c r="AB181" s="193"/>
      <c r="AC181" s="227"/>
      <c r="AD181" s="227"/>
      <c r="AE181" s="227"/>
      <c r="AF181" s="193"/>
      <c r="AG181" s="193"/>
      <c r="AH181" s="191"/>
    </row>
    <row r="182">
      <c r="A182" s="193"/>
      <c r="B182" s="193"/>
      <c r="C182" s="193"/>
      <c r="D182" s="193"/>
      <c r="E182" s="229"/>
      <c r="F182" s="229"/>
      <c r="G182" s="227"/>
      <c r="H182" s="193"/>
      <c r="I182" s="193"/>
      <c r="J182" s="193"/>
      <c r="K182" s="193"/>
      <c r="L182" s="193"/>
      <c r="M182" s="191"/>
      <c r="N182" s="191"/>
      <c r="O182" s="191"/>
      <c r="P182" s="191"/>
      <c r="Q182" s="227"/>
      <c r="R182" s="227"/>
      <c r="S182" s="227"/>
      <c r="T182" s="191"/>
      <c r="U182" s="191"/>
      <c r="V182" s="191"/>
      <c r="W182" s="191"/>
      <c r="X182" s="193"/>
      <c r="Y182" s="227"/>
      <c r="Z182" s="227"/>
      <c r="AA182" s="227"/>
      <c r="AB182" s="193"/>
      <c r="AC182" s="227"/>
      <c r="AD182" s="227"/>
      <c r="AE182" s="227"/>
      <c r="AF182" s="193"/>
      <c r="AG182" s="193"/>
      <c r="AH182" s="191"/>
    </row>
    <row r="183">
      <c r="A183" s="193"/>
      <c r="B183" s="193"/>
      <c r="C183" s="193"/>
      <c r="D183" s="193"/>
      <c r="E183" s="229"/>
      <c r="F183" s="229"/>
      <c r="G183" s="227"/>
      <c r="H183" s="193"/>
      <c r="I183" s="193"/>
      <c r="J183" s="193"/>
      <c r="K183" s="193"/>
      <c r="L183" s="193"/>
      <c r="M183" s="191"/>
      <c r="N183" s="191"/>
      <c r="O183" s="191"/>
      <c r="P183" s="191"/>
      <c r="Q183" s="227"/>
      <c r="R183" s="227"/>
      <c r="S183" s="227"/>
      <c r="T183" s="191"/>
      <c r="U183" s="191"/>
      <c r="V183" s="191"/>
      <c r="W183" s="191"/>
      <c r="X183" s="193"/>
      <c r="Y183" s="227"/>
      <c r="Z183" s="227"/>
      <c r="AA183" s="227"/>
      <c r="AB183" s="193"/>
      <c r="AC183" s="227"/>
      <c r="AD183" s="227"/>
      <c r="AE183" s="227"/>
      <c r="AF183" s="193"/>
      <c r="AG183" s="193"/>
      <c r="AH183" s="191"/>
    </row>
    <row r="184">
      <c r="A184" s="193"/>
      <c r="B184" s="193"/>
      <c r="C184" s="193"/>
      <c r="D184" s="193"/>
      <c r="E184" s="229"/>
      <c r="F184" s="229"/>
      <c r="G184" s="227"/>
      <c r="H184" s="193"/>
      <c r="I184" s="193"/>
      <c r="J184" s="193"/>
      <c r="K184" s="193"/>
      <c r="L184" s="193"/>
      <c r="M184" s="191"/>
      <c r="N184" s="191"/>
      <c r="O184" s="191"/>
      <c r="P184" s="191"/>
      <c r="Q184" s="227"/>
      <c r="R184" s="227"/>
      <c r="S184" s="227"/>
      <c r="T184" s="191"/>
      <c r="U184" s="191"/>
      <c r="V184" s="191"/>
      <c r="W184" s="191"/>
      <c r="X184" s="193"/>
      <c r="Y184" s="227"/>
      <c r="Z184" s="227"/>
      <c r="AA184" s="227"/>
      <c r="AB184" s="193"/>
      <c r="AC184" s="227"/>
      <c r="AD184" s="227"/>
      <c r="AE184" s="227"/>
      <c r="AF184" s="193"/>
      <c r="AG184" s="193"/>
      <c r="AH184" s="191"/>
    </row>
    <row r="185">
      <c r="A185" s="193"/>
      <c r="B185" s="193"/>
      <c r="C185" s="193"/>
      <c r="D185" s="193"/>
      <c r="E185" s="229"/>
      <c r="F185" s="229"/>
      <c r="G185" s="227"/>
      <c r="H185" s="193"/>
      <c r="I185" s="193"/>
      <c r="J185" s="193"/>
      <c r="K185" s="193"/>
      <c r="L185" s="193"/>
      <c r="M185" s="191"/>
      <c r="N185" s="191"/>
      <c r="O185" s="191"/>
      <c r="P185" s="191"/>
      <c r="Q185" s="227"/>
      <c r="R185" s="227"/>
      <c r="S185" s="227"/>
      <c r="T185" s="191"/>
      <c r="U185" s="191"/>
      <c r="V185" s="191"/>
      <c r="W185" s="191"/>
      <c r="X185" s="193"/>
      <c r="Y185" s="227"/>
      <c r="Z185" s="227"/>
      <c r="AA185" s="227"/>
      <c r="AB185" s="193"/>
      <c r="AC185" s="227"/>
      <c r="AD185" s="227"/>
      <c r="AE185" s="227"/>
      <c r="AF185" s="193"/>
      <c r="AG185" s="193"/>
      <c r="AH185" s="191"/>
    </row>
    <row r="186">
      <c r="A186" s="193"/>
      <c r="B186" s="193"/>
      <c r="C186" s="193"/>
      <c r="D186" s="193"/>
      <c r="E186" s="229"/>
      <c r="F186" s="229"/>
      <c r="G186" s="227"/>
      <c r="H186" s="193"/>
      <c r="I186" s="193"/>
      <c r="J186" s="193"/>
      <c r="K186" s="193"/>
      <c r="L186" s="193"/>
      <c r="M186" s="191"/>
      <c r="N186" s="191"/>
      <c r="O186" s="191"/>
      <c r="P186" s="191"/>
      <c r="Q186" s="227"/>
      <c r="R186" s="227"/>
      <c r="S186" s="227"/>
      <c r="T186" s="191"/>
      <c r="U186" s="191"/>
      <c r="V186" s="191"/>
      <c r="W186" s="191"/>
      <c r="X186" s="193"/>
      <c r="Y186" s="227"/>
      <c r="Z186" s="227"/>
      <c r="AA186" s="227"/>
      <c r="AB186" s="193"/>
      <c r="AC186" s="227"/>
      <c r="AD186" s="227"/>
      <c r="AE186" s="227"/>
      <c r="AF186" s="193"/>
      <c r="AG186" s="193"/>
      <c r="AH186" s="191"/>
    </row>
    <row r="187">
      <c r="A187" s="193"/>
      <c r="B187" s="193"/>
      <c r="C187" s="193"/>
      <c r="D187" s="193"/>
      <c r="E187" s="354"/>
      <c r="F187" s="354"/>
      <c r="G187" s="355"/>
      <c r="H187" s="356"/>
      <c r="I187" s="356"/>
      <c r="J187" s="356"/>
      <c r="K187" s="356"/>
      <c r="L187" s="356"/>
      <c r="M187" s="191"/>
      <c r="N187" s="191"/>
      <c r="O187" s="191"/>
      <c r="P187" s="191"/>
      <c r="Q187" s="355"/>
      <c r="R187" s="355"/>
      <c r="S187" s="355"/>
      <c r="T187" s="191"/>
      <c r="U187" s="191"/>
      <c r="V187" s="191"/>
      <c r="W187" s="191"/>
      <c r="X187" s="356"/>
      <c r="Y187" s="355"/>
      <c r="Z187" s="355"/>
      <c r="AA187" s="355"/>
      <c r="AB187" s="356"/>
      <c r="AC187" s="355"/>
      <c r="AD187" s="355"/>
      <c r="AE187" s="355"/>
      <c r="AF187" s="356"/>
      <c r="AG187" s="356"/>
      <c r="AH187" s="191"/>
    </row>
    <row r="188">
      <c r="D188" s="157"/>
    </row>
    <row r="189">
      <c r="D189" s="157"/>
    </row>
    <row r="190">
      <c r="D190" s="157"/>
    </row>
    <row r="191">
      <c r="D191" s="157"/>
    </row>
    <row r="192">
      <c r="D192" s="157"/>
    </row>
    <row r="193">
      <c r="D193" s="157"/>
    </row>
    <row r="194">
      <c r="D194" s="157"/>
    </row>
    <row r="195">
      <c r="D195" s="157"/>
    </row>
    <row r="196">
      <c r="D196" s="157"/>
    </row>
    <row r="197">
      <c r="D197" s="157"/>
    </row>
    <row r="198">
      <c r="D198" s="157"/>
    </row>
    <row r="199">
      <c r="D199" s="157"/>
    </row>
    <row r="200">
      <c r="D200" s="157"/>
    </row>
    <row r="201">
      <c r="D201" s="157"/>
    </row>
    <row r="202">
      <c r="D202" s="157"/>
    </row>
    <row r="203">
      <c r="D203" s="157"/>
    </row>
    <row r="204">
      <c r="D204" s="157"/>
    </row>
    <row r="205">
      <c r="D205" s="157"/>
    </row>
    <row r="206">
      <c r="D206" s="157"/>
    </row>
    <row r="207">
      <c r="D207" s="157"/>
    </row>
    <row r="208">
      <c r="D208" s="157"/>
    </row>
    <row r="209">
      <c r="D209" s="157"/>
    </row>
    <row r="210">
      <c r="D210" s="157"/>
    </row>
    <row r="211">
      <c r="D211" s="157"/>
    </row>
    <row r="212">
      <c r="D212" s="157"/>
    </row>
    <row r="213">
      <c r="D213" s="157"/>
    </row>
    <row r="214">
      <c r="D214" s="157"/>
    </row>
    <row r="215">
      <c r="D215" s="157"/>
    </row>
    <row r="216">
      <c r="D216" s="157"/>
    </row>
    <row r="217">
      <c r="D217" s="157"/>
    </row>
    <row r="218">
      <c r="D218" s="157"/>
    </row>
    <row r="219">
      <c r="D219" s="157"/>
    </row>
    <row r="220">
      <c r="D220" s="157"/>
    </row>
    <row r="221">
      <c r="D221" s="157"/>
    </row>
    <row r="222">
      <c r="D222" s="157"/>
    </row>
    <row r="223">
      <c r="D223" s="157"/>
    </row>
    <row r="224">
      <c r="D224" s="157"/>
    </row>
    <row r="225">
      <c r="D225" s="157"/>
    </row>
    <row r="226">
      <c r="D226" s="157"/>
    </row>
    <row r="227">
      <c r="D227" s="157"/>
    </row>
    <row r="228">
      <c r="D228" s="157"/>
    </row>
    <row r="229">
      <c r="D229" s="157"/>
    </row>
    <row r="230">
      <c r="D230" s="157"/>
    </row>
    <row r="231">
      <c r="D231" s="157"/>
    </row>
    <row r="232">
      <c r="D232" s="157"/>
    </row>
    <row r="233">
      <c r="D233" s="157"/>
    </row>
    <row r="234">
      <c r="D234" s="157"/>
    </row>
    <row r="235">
      <c r="D235" s="157"/>
    </row>
    <row r="236">
      <c r="D236" s="157"/>
    </row>
    <row r="237">
      <c r="D237" s="157"/>
    </row>
    <row r="238">
      <c r="D238" s="157"/>
    </row>
    <row r="239">
      <c r="D239" s="157"/>
    </row>
    <row r="240">
      <c r="D240" s="157"/>
    </row>
    <row r="241">
      <c r="D241" s="157"/>
    </row>
    <row r="242">
      <c r="D242" s="157"/>
    </row>
    <row r="243">
      <c r="D243" s="157"/>
    </row>
    <row r="244">
      <c r="D244" s="157"/>
    </row>
    <row r="245">
      <c r="D245" s="157"/>
    </row>
    <row r="246">
      <c r="D246" s="157"/>
    </row>
    <row r="247">
      <c r="D247" s="157"/>
    </row>
    <row r="248">
      <c r="D248" s="157"/>
    </row>
    <row r="249">
      <c r="D249" s="157"/>
    </row>
    <row r="250">
      <c r="D250" s="157"/>
    </row>
    <row r="251">
      <c r="D251" s="157"/>
    </row>
    <row r="252">
      <c r="D252" s="157"/>
    </row>
    <row r="253">
      <c r="D253" s="157"/>
    </row>
    <row r="254">
      <c r="D254" s="157"/>
    </row>
    <row r="255">
      <c r="D255" s="157"/>
    </row>
    <row r="256">
      <c r="D256" s="157"/>
    </row>
    <row r="257">
      <c r="D257" s="157"/>
    </row>
    <row r="258">
      <c r="D258" s="157"/>
    </row>
    <row r="259">
      <c r="D259" s="157"/>
    </row>
    <row r="260">
      <c r="D260" s="157"/>
    </row>
    <row r="261">
      <c r="D261" s="157"/>
    </row>
    <row r="262">
      <c r="D262" s="157"/>
    </row>
    <row r="263">
      <c r="D263" s="157"/>
    </row>
    <row r="264">
      <c r="D264" s="157"/>
    </row>
    <row r="265">
      <c r="D265" s="157"/>
    </row>
    <row r="266">
      <c r="D266" s="157"/>
    </row>
    <row r="267">
      <c r="D267" s="157"/>
    </row>
    <row r="268">
      <c r="D268" s="157"/>
    </row>
    <row r="269">
      <c r="D269" s="157"/>
    </row>
    <row r="270">
      <c r="D270" s="157"/>
    </row>
    <row r="271">
      <c r="D271" s="157"/>
    </row>
    <row r="272">
      <c r="D272" s="157"/>
    </row>
    <row r="273">
      <c r="D273" s="157"/>
    </row>
    <row r="274">
      <c r="D274" s="157"/>
    </row>
    <row r="275">
      <c r="D275" s="157"/>
    </row>
    <row r="276">
      <c r="D276" s="157"/>
    </row>
    <row r="277">
      <c r="D277" s="157"/>
    </row>
    <row r="278">
      <c r="D278" s="157"/>
    </row>
    <row r="279">
      <c r="D279" s="157"/>
    </row>
    <row r="280">
      <c r="D280" s="157"/>
    </row>
    <row r="281">
      <c r="D281" s="157"/>
    </row>
    <row r="282">
      <c r="D282" s="157"/>
    </row>
    <row r="283">
      <c r="D283" s="157"/>
    </row>
    <row r="284">
      <c r="D284" s="157"/>
    </row>
    <row r="285">
      <c r="D285" s="157"/>
    </row>
    <row r="286">
      <c r="D286" s="157"/>
    </row>
    <row r="287">
      <c r="D287" s="157"/>
    </row>
    <row r="288">
      <c r="D288" s="157"/>
    </row>
    <row r="289">
      <c r="D289" s="157"/>
    </row>
    <row r="290">
      <c r="D290" s="157"/>
    </row>
    <row r="291">
      <c r="D291" s="157"/>
    </row>
    <row r="292">
      <c r="D292" s="157"/>
    </row>
    <row r="293">
      <c r="D293" s="157"/>
    </row>
    <row r="294">
      <c r="D294" s="157"/>
    </row>
    <row r="295">
      <c r="D295" s="157"/>
    </row>
    <row r="296">
      <c r="D296" s="157"/>
    </row>
    <row r="297">
      <c r="D297" s="157"/>
    </row>
    <row r="298">
      <c r="D298" s="157"/>
    </row>
    <row r="299">
      <c r="D299" s="157"/>
    </row>
    <row r="300">
      <c r="D300" s="157"/>
    </row>
    <row r="301">
      <c r="D301" s="157"/>
    </row>
    <row r="302">
      <c r="D302" s="157"/>
    </row>
    <row r="303">
      <c r="D303" s="157"/>
    </row>
    <row r="304">
      <c r="D304" s="157"/>
    </row>
    <row r="305">
      <c r="D305" s="157"/>
    </row>
    <row r="306">
      <c r="D306" s="157"/>
    </row>
    <row r="307">
      <c r="D307" s="157"/>
    </row>
    <row r="308">
      <c r="D308" s="157"/>
    </row>
    <row r="309">
      <c r="D309" s="157"/>
    </row>
    <row r="310">
      <c r="D310" s="157"/>
    </row>
    <row r="311">
      <c r="D311" s="157"/>
    </row>
    <row r="312">
      <c r="D312" s="157"/>
    </row>
    <row r="313">
      <c r="D313" s="157"/>
    </row>
    <row r="314">
      <c r="D314" s="157"/>
    </row>
    <row r="315">
      <c r="D315" s="157"/>
    </row>
    <row r="316">
      <c r="D316" s="157"/>
    </row>
    <row r="317">
      <c r="D317" s="157"/>
    </row>
    <row r="318">
      <c r="D318" s="157"/>
    </row>
    <row r="319">
      <c r="D319" s="157"/>
    </row>
    <row r="320">
      <c r="D320" s="157"/>
    </row>
    <row r="321">
      <c r="D321" s="157"/>
    </row>
    <row r="322">
      <c r="D322" s="157"/>
    </row>
    <row r="323">
      <c r="D323" s="157"/>
    </row>
    <row r="324">
      <c r="D324" s="157"/>
    </row>
    <row r="325">
      <c r="D325" s="157"/>
    </row>
    <row r="326">
      <c r="D326" s="157"/>
    </row>
    <row r="327">
      <c r="D327" s="157"/>
    </row>
    <row r="328">
      <c r="D328" s="157"/>
    </row>
    <row r="329">
      <c r="D329" s="157"/>
    </row>
    <row r="330">
      <c r="D330" s="157"/>
    </row>
    <row r="331">
      <c r="D331" s="157"/>
    </row>
    <row r="332">
      <c r="D332" s="157"/>
    </row>
    <row r="333">
      <c r="D333" s="157"/>
    </row>
    <row r="334">
      <c r="D334" s="157"/>
    </row>
    <row r="335">
      <c r="D335" s="157"/>
    </row>
    <row r="336">
      <c r="D336" s="157"/>
    </row>
    <row r="337">
      <c r="D337" s="157"/>
    </row>
    <row r="338">
      <c r="D338" s="157"/>
    </row>
    <row r="339">
      <c r="D339" s="157"/>
    </row>
    <row r="340">
      <c r="D340" s="157"/>
    </row>
    <row r="341">
      <c r="D341" s="157"/>
    </row>
    <row r="342">
      <c r="D342" s="157"/>
    </row>
    <row r="343">
      <c r="D343" s="157"/>
    </row>
    <row r="344">
      <c r="D344" s="157"/>
    </row>
    <row r="345">
      <c r="D345" s="157"/>
    </row>
    <row r="346">
      <c r="D346" s="157"/>
    </row>
    <row r="347">
      <c r="D347" s="157"/>
    </row>
    <row r="348">
      <c r="D348" s="157"/>
    </row>
    <row r="349">
      <c r="D349" s="157"/>
    </row>
    <row r="350">
      <c r="D350" s="157"/>
    </row>
    <row r="351">
      <c r="D351" s="157"/>
    </row>
    <row r="352">
      <c r="D352" s="157"/>
    </row>
    <row r="353">
      <c r="D353" s="157"/>
    </row>
    <row r="354">
      <c r="D354" s="157"/>
    </row>
    <row r="355">
      <c r="D355" s="157"/>
    </row>
    <row r="356">
      <c r="D356" s="157"/>
    </row>
    <row r="357">
      <c r="D357" s="157"/>
    </row>
    <row r="358">
      <c r="D358" s="157"/>
    </row>
    <row r="359">
      <c r="D359" s="157"/>
    </row>
    <row r="360">
      <c r="D360" s="157"/>
    </row>
    <row r="361">
      <c r="D361" s="157"/>
    </row>
    <row r="362">
      <c r="D362" s="157"/>
    </row>
    <row r="363">
      <c r="D363" s="157"/>
    </row>
    <row r="364">
      <c r="D364" s="157"/>
    </row>
    <row r="365">
      <c r="D365" s="157"/>
    </row>
    <row r="366">
      <c r="D366" s="157"/>
    </row>
    <row r="367">
      <c r="D367" s="157"/>
    </row>
    <row r="368">
      <c r="D368" s="157"/>
    </row>
    <row r="369">
      <c r="D369" s="157"/>
    </row>
    <row r="370">
      <c r="D370" s="157"/>
    </row>
    <row r="371">
      <c r="D371" s="157"/>
    </row>
    <row r="372">
      <c r="D372" s="157"/>
    </row>
    <row r="373">
      <c r="D373" s="157"/>
    </row>
    <row r="374">
      <c r="D374" s="157"/>
    </row>
    <row r="375">
      <c r="D375" s="157"/>
    </row>
    <row r="376">
      <c r="D376" s="157"/>
    </row>
    <row r="377">
      <c r="D377" s="157"/>
    </row>
    <row r="378">
      <c r="D378" s="157"/>
    </row>
    <row r="379">
      <c r="D379" s="157"/>
    </row>
    <row r="380">
      <c r="D380" s="157"/>
    </row>
    <row r="381">
      <c r="D381" s="157"/>
    </row>
    <row r="382">
      <c r="D382" s="157"/>
    </row>
    <row r="383">
      <c r="D383" s="157"/>
    </row>
    <row r="384">
      <c r="D384" s="157"/>
    </row>
    <row r="385">
      <c r="D385" s="157"/>
    </row>
    <row r="386">
      <c r="D386" s="157"/>
    </row>
    <row r="387">
      <c r="D387" s="157"/>
    </row>
    <row r="388">
      <c r="D388" s="157"/>
    </row>
    <row r="389">
      <c r="D389" s="157"/>
    </row>
    <row r="390">
      <c r="D390" s="157"/>
    </row>
    <row r="391">
      <c r="D391" s="157"/>
    </row>
    <row r="392">
      <c r="D392" s="157"/>
    </row>
    <row r="393">
      <c r="D393" s="157"/>
    </row>
    <row r="394">
      <c r="D394" s="157"/>
    </row>
    <row r="395">
      <c r="D395" s="157"/>
    </row>
    <row r="396">
      <c r="D396" s="157"/>
    </row>
    <row r="397">
      <c r="D397" s="157"/>
    </row>
    <row r="398">
      <c r="D398" s="157"/>
    </row>
    <row r="399">
      <c r="D399" s="157"/>
    </row>
    <row r="400">
      <c r="D400" s="157"/>
    </row>
    <row r="401">
      <c r="D401" s="157"/>
    </row>
    <row r="402">
      <c r="D402" s="157"/>
    </row>
    <row r="403">
      <c r="D403" s="157"/>
    </row>
    <row r="404">
      <c r="D404" s="157"/>
    </row>
    <row r="405">
      <c r="D405" s="157"/>
    </row>
    <row r="406">
      <c r="D406" s="157"/>
    </row>
    <row r="407">
      <c r="D407" s="157"/>
    </row>
    <row r="408">
      <c r="D408" s="157"/>
    </row>
    <row r="409">
      <c r="D409" s="157"/>
    </row>
    <row r="410">
      <c r="D410" s="157"/>
    </row>
    <row r="411">
      <c r="D411" s="157"/>
    </row>
    <row r="412">
      <c r="D412" s="157"/>
    </row>
    <row r="413">
      <c r="D413" s="157"/>
    </row>
    <row r="414">
      <c r="D414" s="157"/>
    </row>
    <row r="415">
      <c r="D415" s="157"/>
    </row>
    <row r="416">
      <c r="D416" s="157"/>
    </row>
    <row r="417">
      <c r="D417" s="157"/>
    </row>
    <row r="418">
      <c r="D418" s="157"/>
    </row>
    <row r="419">
      <c r="D419" s="157"/>
    </row>
    <row r="420">
      <c r="D420" s="157"/>
    </row>
    <row r="421">
      <c r="D421" s="157"/>
    </row>
    <row r="422">
      <c r="D422" s="157"/>
    </row>
    <row r="423">
      <c r="D423" s="157"/>
    </row>
    <row r="424">
      <c r="D424" s="157"/>
    </row>
    <row r="425">
      <c r="D425" s="157"/>
    </row>
    <row r="426">
      <c r="D426" s="157"/>
    </row>
    <row r="427">
      <c r="D427" s="157"/>
    </row>
    <row r="428">
      <c r="D428" s="157"/>
    </row>
    <row r="429">
      <c r="D429" s="157"/>
    </row>
    <row r="430">
      <c r="D430" s="157"/>
    </row>
    <row r="431">
      <c r="D431" s="157"/>
    </row>
    <row r="432">
      <c r="D432" s="157"/>
    </row>
    <row r="433">
      <c r="D433" s="157"/>
    </row>
    <row r="434">
      <c r="D434" s="157"/>
    </row>
    <row r="435">
      <c r="D435" s="157"/>
    </row>
    <row r="436">
      <c r="D436" s="157"/>
    </row>
    <row r="437">
      <c r="D437" s="157"/>
    </row>
    <row r="438">
      <c r="D438" s="157"/>
    </row>
    <row r="439">
      <c r="D439" s="157"/>
    </row>
    <row r="440">
      <c r="D440" s="157"/>
    </row>
    <row r="441">
      <c r="D441" s="157"/>
    </row>
    <row r="442">
      <c r="D442" s="157"/>
    </row>
    <row r="443">
      <c r="D443" s="157"/>
    </row>
    <row r="444">
      <c r="D444" s="157"/>
    </row>
    <row r="445">
      <c r="D445" s="157"/>
    </row>
    <row r="446">
      <c r="D446" s="157"/>
    </row>
    <row r="447">
      <c r="D447" s="157"/>
    </row>
    <row r="448">
      <c r="D448" s="157"/>
    </row>
    <row r="449">
      <c r="D449" s="157"/>
    </row>
    <row r="450">
      <c r="D450" s="157"/>
    </row>
    <row r="451">
      <c r="D451" s="157"/>
    </row>
    <row r="452">
      <c r="D452" s="157"/>
    </row>
    <row r="453">
      <c r="D453" s="157"/>
    </row>
    <row r="454">
      <c r="D454" s="157"/>
    </row>
    <row r="455">
      <c r="D455" s="157"/>
    </row>
    <row r="456">
      <c r="D456" s="157"/>
    </row>
    <row r="457">
      <c r="D457" s="157"/>
    </row>
    <row r="458">
      <c r="D458" s="157"/>
    </row>
    <row r="459">
      <c r="D459" s="157"/>
    </row>
    <row r="460">
      <c r="D460" s="157"/>
    </row>
    <row r="461">
      <c r="D461" s="157"/>
    </row>
    <row r="462">
      <c r="D462" s="157"/>
    </row>
    <row r="463">
      <c r="D463" s="157"/>
    </row>
    <row r="464">
      <c r="D464" s="157"/>
    </row>
    <row r="465">
      <c r="D465" s="157"/>
    </row>
    <row r="466">
      <c r="D466" s="157"/>
    </row>
    <row r="467">
      <c r="D467" s="157"/>
    </row>
    <row r="468">
      <c r="D468" s="157"/>
    </row>
    <row r="469">
      <c r="D469" s="157"/>
    </row>
    <row r="470">
      <c r="D470" s="157"/>
    </row>
    <row r="471">
      <c r="D471" s="157"/>
    </row>
    <row r="472">
      <c r="D472" s="157"/>
    </row>
    <row r="473">
      <c r="D473" s="157"/>
    </row>
    <row r="474">
      <c r="D474" s="157"/>
    </row>
    <row r="475">
      <c r="D475" s="157"/>
    </row>
    <row r="476">
      <c r="D476" s="157"/>
    </row>
    <row r="477">
      <c r="D477" s="157"/>
    </row>
    <row r="478">
      <c r="D478" s="157"/>
    </row>
    <row r="479">
      <c r="D479" s="157"/>
    </row>
    <row r="480">
      <c r="D480" s="157"/>
    </row>
    <row r="481">
      <c r="D481" s="157"/>
    </row>
    <row r="482">
      <c r="D482" s="157"/>
    </row>
    <row r="483">
      <c r="D483" s="157"/>
    </row>
    <row r="484">
      <c r="D484" s="157"/>
    </row>
    <row r="485">
      <c r="D485" s="157"/>
    </row>
    <row r="486">
      <c r="D486" s="157"/>
    </row>
    <row r="487">
      <c r="D487" s="157"/>
    </row>
    <row r="488">
      <c r="D488" s="157"/>
    </row>
    <row r="489">
      <c r="D489" s="157"/>
    </row>
    <row r="490">
      <c r="D490" s="157"/>
    </row>
    <row r="491">
      <c r="D491" s="157"/>
    </row>
    <row r="492">
      <c r="D492" s="157"/>
    </row>
    <row r="493">
      <c r="D493" s="157"/>
    </row>
    <row r="494">
      <c r="D494" s="157"/>
    </row>
    <row r="495">
      <c r="D495" s="157"/>
    </row>
    <row r="496">
      <c r="D496" s="157"/>
    </row>
    <row r="497">
      <c r="D497" s="157"/>
    </row>
    <row r="498">
      <c r="D498" s="157"/>
    </row>
    <row r="499">
      <c r="D499" s="157"/>
    </row>
    <row r="500">
      <c r="D500" s="157"/>
    </row>
    <row r="501">
      <c r="D501" s="157"/>
    </row>
    <row r="502">
      <c r="D502" s="157"/>
    </row>
    <row r="503">
      <c r="D503" s="157"/>
    </row>
    <row r="504">
      <c r="D504" s="157"/>
    </row>
    <row r="505">
      <c r="D505" s="157"/>
    </row>
    <row r="506">
      <c r="D506" s="157"/>
    </row>
    <row r="507">
      <c r="D507" s="157"/>
    </row>
    <row r="508">
      <c r="D508" s="157"/>
    </row>
    <row r="509">
      <c r="D509" s="157"/>
    </row>
    <row r="510">
      <c r="D510" s="157"/>
    </row>
    <row r="511">
      <c r="D511" s="157"/>
    </row>
    <row r="512">
      <c r="D512" s="157"/>
    </row>
    <row r="513">
      <c r="D513" s="157"/>
    </row>
    <row r="514">
      <c r="D514" s="157"/>
    </row>
    <row r="515">
      <c r="D515" s="157"/>
    </row>
    <row r="516">
      <c r="D516" s="157"/>
    </row>
    <row r="517">
      <c r="D517" s="157"/>
    </row>
    <row r="518">
      <c r="D518" s="157"/>
    </row>
    <row r="519">
      <c r="D519" s="157"/>
    </row>
    <row r="520">
      <c r="D520" s="157"/>
    </row>
    <row r="521">
      <c r="D521" s="157"/>
    </row>
    <row r="522">
      <c r="D522" s="157"/>
    </row>
    <row r="523">
      <c r="D523" s="157"/>
    </row>
    <row r="524">
      <c r="D524" s="157"/>
    </row>
    <row r="525">
      <c r="D525" s="157"/>
    </row>
    <row r="526">
      <c r="D526" s="157"/>
    </row>
    <row r="527">
      <c r="D527" s="157"/>
    </row>
    <row r="528">
      <c r="D528" s="157"/>
    </row>
    <row r="529">
      <c r="D529" s="157"/>
    </row>
    <row r="530">
      <c r="D530" s="157"/>
    </row>
    <row r="531">
      <c r="D531" s="157"/>
    </row>
    <row r="532">
      <c r="D532" s="157"/>
    </row>
    <row r="533">
      <c r="D533" s="157"/>
    </row>
    <row r="534">
      <c r="D534" s="157"/>
    </row>
    <row r="535">
      <c r="D535" s="157"/>
    </row>
    <row r="536">
      <c r="D536" s="157"/>
    </row>
    <row r="537">
      <c r="D537" s="157"/>
    </row>
    <row r="538">
      <c r="D538" s="157"/>
    </row>
    <row r="539">
      <c r="D539" s="157"/>
    </row>
    <row r="540">
      <c r="D540" s="157"/>
    </row>
    <row r="541">
      <c r="D541" s="157"/>
    </row>
    <row r="542">
      <c r="D542" s="157"/>
    </row>
    <row r="543">
      <c r="D543" s="157"/>
    </row>
    <row r="544">
      <c r="D544" s="157"/>
    </row>
    <row r="545">
      <c r="D545" s="157"/>
    </row>
    <row r="546">
      <c r="D546" s="157"/>
    </row>
    <row r="547">
      <c r="D547" s="157"/>
    </row>
    <row r="548">
      <c r="D548" s="157"/>
    </row>
    <row r="549">
      <c r="D549" s="157"/>
    </row>
    <row r="550">
      <c r="D550" s="157"/>
    </row>
    <row r="551">
      <c r="D551" s="157"/>
    </row>
    <row r="552">
      <c r="D552" s="157"/>
    </row>
    <row r="553">
      <c r="D553" s="157"/>
    </row>
    <row r="554">
      <c r="D554" s="157"/>
    </row>
    <row r="555">
      <c r="D555" s="157"/>
    </row>
    <row r="556">
      <c r="D556" s="157"/>
    </row>
    <row r="557">
      <c r="D557" s="157"/>
    </row>
    <row r="558">
      <c r="D558" s="157"/>
    </row>
    <row r="559">
      <c r="D559" s="157"/>
    </row>
    <row r="560">
      <c r="D560" s="157"/>
    </row>
    <row r="561">
      <c r="D561" s="157"/>
    </row>
    <row r="562">
      <c r="D562" s="157"/>
    </row>
    <row r="563">
      <c r="D563" s="157"/>
    </row>
    <row r="564">
      <c r="D564" s="157"/>
    </row>
    <row r="565">
      <c r="D565" s="157"/>
    </row>
    <row r="566">
      <c r="D566" s="157"/>
    </row>
    <row r="567">
      <c r="D567" s="157"/>
    </row>
    <row r="568">
      <c r="D568" s="157"/>
    </row>
    <row r="569">
      <c r="D569" s="157"/>
    </row>
    <row r="570">
      <c r="D570" s="157"/>
    </row>
    <row r="571">
      <c r="D571" s="157"/>
    </row>
    <row r="572">
      <c r="D572" s="157"/>
    </row>
    <row r="573">
      <c r="D573" s="157"/>
    </row>
    <row r="574">
      <c r="D574" s="157"/>
    </row>
    <row r="575">
      <c r="D575" s="157"/>
    </row>
    <row r="576">
      <c r="D576" s="157"/>
    </row>
    <row r="577">
      <c r="D577" s="157"/>
    </row>
    <row r="578">
      <c r="D578" s="157"/>
    </row>
    <row r="579">
      <c r="D579" s="157"/>
    </row>
    <row r="580">
      <c r="D580" s="157"/>
    </row>
    <row r="581">
      <c r="D581" s="157"/>
    </row>
    <row r="582">
      <c r="D582" s="157"/>
    </row>
    <row r="583">
      <c r="D583" s="157"/>
    </row>
    <row r="584">
      <c r="D584" s="157"/>
    </row>
    <row r="585">
      <c r="D585" s="157"/>
    </row>
    <row r="586">
      <c r="D586" s="157"/>
    </row>
    <row r="587">
      <c r="D587" s="157"/>
    </row>
    <row r="588">
      <c r="D588" s="157"/>
    </row>
    <row r="589">
      <c r="D589" s="157"/>
    </row>
    <row r="590">
      <c r="D590" s="157"/>
    </row>
    <row r="591">
      <c r="D591" s="157"/>
    </row>
    <row r="592">
      <c r="D592" s="157"/>
    </row>
    <row r="593">
      <c r="D593" s="157"/>
    </row>
    <row r="594">
      <c r="D594" s="157"/>
    </row>
    <row r="595">
      <c r="D595" s="157"/>
    </row>
    <row r="596">
      <c r="D596" s="157"/>
    </row>
    <row r="597">
      <c r="D597" s="157"/>
    </row>
    <row r="598">
      <c r="D598" s="157"/>
    </row>
    <row r="599">
      <c r="D599" s="157"/>
    </row>
    <row r="600">
      <c r="D600" s="157"/>
    </row>
    <row r="601">
      <c r="D601" s="157"/>
    </row>
    <row r="602">
      <c r="D602" s="157"/>
    </row>
    <row r="603">
      <c r="D603" s="157"/>
    </row>
    <row r="604">
      <c r="D604" s="157"/>
    </row>
    <row r="605">
      <c r="D605" s="157"/>
    </row>
    <row r="606">
      <c r="D606" s="157"/>
    </row>
    <row r="607">
      <c r="D607" s="157"/>
    </row>
    <row r="608">
      <c r="D608" s="157"/>
    </row>
    <row r="609">
      <c r="D609" s="157"/>
    </row>
    <row r="610">
      <c r="D610" s="157"/>
    </row>
    <row r="611">
      <c r="D611" s="157"/>
    </row>
    <row r="612">
      <c r="D612" s="157"/>
    </row>
    <row r="613">
      <c r="D613" s="157"/>
    </row>
    <row r="614">
      <c r="D614" s="157"/>
    </row>
    <row r="615">
      <c r="D615" s="157"/>
    </row>
    <row r="616">
      <c r="D616" s="157"/>
    </row>
    <row r="617">
      <c r="D617" s="157"/>
    </row>
    <row r="618">
      <c r="D618" s="157"/>
    </row>
    <row r="619">
      <c r="D619" s="157"/>
    </row>
    <row r="620">
      <c r="D620" s="157"/>
    </row>
    <row r="621">
      <c r="D621" s="157"/>
    </row>
    <row r="622">
      <c r="D622" s="157"/>
    </row>
    <row r="623">
      <c r="D623" s="157"/>
    </row>
    <row r="624">
      <c r="D624" s="157"/>
    </row>
    <row r="625">
      <c r="D625" s="157"/>
    </row>
    <row r="626">
      <c r="D626" s="157"/>
    </row>
    <row r="627">
      <c r="D627" s="157"/>
    </row>
    <row r="628">
      <c r="D628" s="157"/>
    </row>
    <row r="629">
      <c r="D629" s="157"/>
    </row>
    <row r="630">
      <c r="D630" s="157"/>
    </row>
    <row r="631">
      <c r="D631" s="157"/>
    </row>
    <row r="632">
      <c r="D632" s="157"/>
    </row>
    <row r="633">
      <c r="D633" s="157"/>
    </row>
    <row r="634">
      <c r="D634" s="157"/>
    </row>
    <row r="635">
      <c r="D635" s="157"/>
    </row>
    <row r="636">
      <c r="D636" s="157"/>
    </row>
    <row r="637">
      <c r="D637" s="157"/>
    </row>
    <row r="638">
      <c r="D638" s="157"/>
    </row>
    <row r="639">
      <c r="D639" s="157"/>
    </row>
    <row r="640">
      <c r="D640" s="157"/>
    </row>
    <row r="641">
      <c r="D641" s="157"/>
    </row>
    <row r="642">
      <c r="D642" s="157"/>
    </row>
    <row r="643">
      <c r="D643" s="157"/>
    </row>
    <row r="644">
      <c r="D644" s="157"/>
    </row>
    <row r="645">
      <c r="D645" s="157"/>
    </row>
    <row r="646">
      <c r="D646" s="157"/>
    </row>
    <row r="647">
      <c r="D647" s="157"/>
    </row>
    <row r="648">
      <c r="D648" s="157"/>
    </row>
    <row r="649">
      <c r="D649" s="157"/>
    </row>
    <row r="650">
      <c r="D650" s="157"/>
    </row>
    <row r="651">
      <c r="D651" s="157"/>
    </row>
    <row r="652">
      <c r="D652" s="157"/>
    </row>
    <row r="653">
      <c r="D653" s="157"/>
    </row>
    <row r="654">
      <c r="D654" s="157"/>
    </row>
    <row r="655">
      <c r="D655" s="157"/>
    </row>
    <row r="656">
      <c r="D656" s="157"/>
    </row>
    <row r="657">
      <c r="D657" s="157"/>
    </row>
    <row r="658">
      <c r="D658" s="157"/>
    </row>
    <row r="659">
      <c r="D659" s="157"/>
    </row>
    <row r="660">
      <c r="D660" s="157"/>
    </row>
    <row r="661">
      <c r="D661" s="157"/>
    </row>
    <row r="662">
      <c r="D662" s="157"/>
    </row>
    <row r="663">
      <c r="D663" s="157"/>
    </row>
    <row r="664">
      <c r="D664" s="157"/>
    </row>
    <row r="665">
      <c r="D665" s="157"/>
    </row>
    <row r="666">
      <c r="D666" s="157"/>
    </row>
    <row r="667">
      <c r="D667" s="157"/>
    </row>
    <row r="668">
      <c r="D668" s="157"/>
    </row>
    <row r="669">
      <c r="D669" s="157"/>
    </row>
    <row r="670">
      <c r="D670" s="157"/>
    </row>
    <row r="671">
      <c r="D671" s="157"/>
    </row>
    <row r="672">
      <c r="D672" s="157"/>
    </row>
    <row r="673">
      <c r="D673" s="157"/>
    </row>
    <row r="674">
      <c r="D674" s="157"/>
    </row>
    <row r="675">
      <c r="D675" s="157"/>
    </row>
    <row r="676">
      <c r="D676" s="157"/>
    </row>
    <row r="677">
      <c r="D677" s="157"/>
    </row>
    <row r="678">
      <c r="D678" s="157"/>
    </row>
    <row r="679">
      <c r="D679" s="157"/>
    </row>
    <row r="680">
      <c r="D680" s="157"/>
    </row>
    <row r="681">
      <c r="D681" s="157"/>
    </row>
    <row r="682">
      <c r="D682" s="157"/>
    </row>
    <row r="683">
      <c r="D683" s="157"/>
    </row>
    <row r="684">
      <c r="D684" s="157"/>
    </row>
    <row r="685">
      <c r="D685" s="157"/>
    </row>
    <row r="686">
      <c r="D686" s="157"/>
    </row>
    <row r="687">
      <c r="D687" s="157"/>
    </row>
    <row r="688">
      <c r="D688" s="157"/>
    </row>
    <row r="689">
      <c r="D689" s="157"/>
    </row>
    <row r="690">
      <c r="D690" s="157"/>
    </row>
    <row r="691">
      <c r="D691" s="157"/>
    </row>
    <row r="692">
      <c r="D692" s="157"/>
    </row>
    <row r="693">
      <c r="D693" s="157"/>
    </row>
    <row r="694">
      <c r="D694" s="157"/>
    </row>
    <row r="695">
      <c r="D695" s="157"/>
    </row>
    <row r="696">
      <c r="D696" s="157"/>
    </row>
    <row r="697">
      <c r="D697" s="157"/>
    </row>
    <row r="698">
      <c r="D698" s="157"/>
    </row>
    <row r="699">
      <c r="D699" s="157"/>
    </row>
    <row r="700">
      <c r="D700" s="157"/>
    </row>
    <row r="701">
      <c r="D701" s="157"/>
    </row>
    <row r="702">
      <c r="D702" s="157"/>
    </row>
    <row r="703">
      <c r="D703" s="157"/>
    </row>
    <row r="704">
      <c r="D704" s="157"/>
    </row>
    <row r="705">
      <c r="D705" s="157"/>
    </row>
    <row r="706">
      <c r="D706" s="157"/>
    </row>
    <row r="707">
      <c r="D707" s="157"/>
    </row>
    <row r="708">
      <c r="D708" s="157"/>
    </row>
    <row r="709">
      <c r="D709" s="157"/>
    </row>
    <row r="710">
      <c r="D710" s="157"/>
    </row>
    <row r="711">
      <c r="D711" s="157"/>
    </row>
    <row r="712">
      <c r="D712" s="157"/>
    </row>
    <row r="713">
      <c r="D713" s="157"/>
    </row>
    <row r="714">
      <c r="D714" s="157"/>
    </row>
    <row r="715">
      <c r="D715" s="157"/>
    </row>
    <row r="716">
      <c r="D716" s="157"/>
    </row>
    <row r="717">
      <c r="D717" s="157"/>
    </row>
    <row r="718">
      <c r="D718" s="157"/>
    </row>
    <row r="719">
      <c r="D719" s="157"/>
    </row>
    <row r="720">
      <c r="D720" s="157"/>
    </row>
    <row r="721">
      <c r="D721" s="157"/>
    </row>
    <row r="722">
      <c r="D722" s="157"/>
    </row>
    <row r="723">
      <c r="D723" s="157"/>
    </row>
    <row r="724">
      <c r="D724" s="157"/>
    </row>
    <row r="725">
      <c r="D725" s="157"/>
    </row>
    <row r="726">
      <c r="D726" s="157"/>
    </row>
    <row r="727">
      <c r="D727" s="157"/>
    </row>
    <row r="728">
      <c r="D728" s="157"/>
    </row>
    <row r="729">
      <c r="D729" s="157"/>
    </row>
    <row r="730">
      <c r="D730" s="157"/>
    </row>
    <row r="731">
      <c r="D731" s="157"/>
    </row>
    <row r="732">
      <c r="D732" s="157"/>
    </row>
    <row r="733">
      <c r="D733" s="157"/>
    </row>
    <row r="734">
      <c r="D734" s="157"/>
    </row>
    <row r="735">
      <c r="D735" s="157"/>
    </row>
    <row r="736">
      <c r="D736" s="157"/>
    </row>
    <row r="737">
      <c r="D737" s="157"/>
    </row>
    <row r="738">
      <c r="D738" s="157"/>
    </row>
    <row r="739">
      <c r="D739" s="157"/>
    </row>
    <row r="740">
      <c r="D740" s="157"/>
    </row>
    <row r="741">
      <c r="D741" s="157"/>
    </row>
    <row r="742">
      <c r="D742" s="157"/>
    </row>
    <row r="743">
      <c r="D743" s="157"/>
    </row>
    <row r="744">
      <c r="D744" s="157"/>
    </row>
    <row r="745">
      <c r="D745" s="157"/>
    </row>
    <row r="746">
      <c r="D746" s="157"/>
    </row>
    <row r="747">
      <c r="D747" s="157"/>
    </row>
    <row r="748">
      <c r="D748" s="157"/>
    </row>
    <row r="749">
      <c r="D749" s="157"/>
    </row>
    <row r="750">
      <c r="D750" s="157"/>
    </row>
    <row r="751">
      <c r="D751" s="157"/>
    </row>
    <row r="752">
      <c r="D752" s="157"/>
    </row>
    <row r="753">
      <c r="D753" s="157"/>
    </row>
    <row r="754">
      <c r="D754" s="157"/>
    </row>
    <row r="755">
      <c r="D755" s="157"/>
    </row>
    <row r="756">
      <c r="D756" s="157"/>
    </row>
    <row r="757">
      <c r="D757" s="157"/>
    </row>
    <row r="758">
      <c r="D758" s="157"/>
    </row>
    <row r="759">
      <c r="D759" s="157"/>
    </row>
    <row r="760">
      <c r="D760" s="157"/>
    </row>
    <row r="761">
      <c r="D761" s="157"/>
    </row>
    <row r="762">
      <c r="D762" s="157"/>
    </row>
    <row r="763">
      <c r="D763" s="157"/>
    </row>
    <row r="764">
      <c r="D764" s="157"/>
    </row>
    <row r="765">
      <c r="D765" s="157"/>
    </row>
    <row r="766">
      <c r="D766" s="157"/>
    </row>
    <row r="767">
      <c r="D767" s="157"/>
    </row>
    <row r="768">
      <c r="D768" s="157"/>
    </row>
    <row r="769">
      <c r="D769" s="157"/>
    </row>
    <row r="770">
      <c r="D770" s="157"/>
    </row>
    <row r="771">
      <c r="D771" s="157"/>
    </row>
    <row r="772">
      <c r="D772" s="157"/>
    </row>
    <row r="773">
      <c r="D773" s="157"/>
    </row>
    <row r="774">
      <c r="D774" s="157"/>
    </row>
    <row r="775">
      <c r="D775" s="157"/>
    </row>
    <row r="776">
      <c r="D776" s="157"/>
    </row>
    <row r="777">
      <c r="D777" s="157"/>
    </row>
    <row r="778">
      <c r="D778" s="157"/>
    </row>
    <row r="779">
      <c r="D779" s="157"/>
    </row>
    <row r="780">
      <c r="D780" s="157"/>
    </row>
    <row r="781">
      <c r="D781" s="157"/>
    </row>
    <row r="782">
      <c r="D782" s="157"/>
    </row>
    <row r="783">
      <c r="D783" s="157"/>
    </row>
    <row r="784">
      <c r="D784" s="157"/>
    </row>
    <row r="785">
      <c r="D785" s="157"/>
    </row>
    <row r="786">
      <c r="D786" s="157"/>
    </row>
    <row r="787">
      <c r="D787" s="157"/>
    </row>
    <row r="788">
      <c r="D788" s="157"/>
    </row>
    <row r="789">
      <c r="D789" s="157"/>
    </row>
    <row r="790">
      <c r="D790" s="157"/>
    </row>
    <row r="791">
      <c r="D791" s="157"/>
    </row>
    <row r="792">
      <c r="D792" s="157"/>
    </row>
    <row r="793">
      <c r="D793" s="157"/>
    </row>
    <row r="794">
      <c r="D794" s="157"/>
    </row>
    <row r="795">
      <c r="D795" s="157"/>
    </row>
    <row r="796">
      <c r="D796" s="157"/>
    </row>
    <row r="797">
      <c r="D797" s="157"/>
    </row>
    <row r="798">
      <c r="D798" s="157"/>
    </row>
    <row r="799">
      <c r="D799" s="157"/>
    </row>
    <row r="800">
      <c r="D800" s="157"/>
    </row>
    <row r="801">
      <c r="D801" s="157"/>
    </row>
    <row r="802">
      <c r="D802" s="157"/>
    </row>
    <row r="803">
      <c r="D803" s="157"/>
    </row>
    <row r="804">
      <c r="D804" s="157"/>
    </row>
    <row r="805">
      <c r="D805" s="157"/>
    </row>
    <row r="806">
      <c r="D806" s="157"/>
    </row>
    <row r="807">
      <c r="D807" s="157"/>
    </row>
    <row r="808">
      <c r="D808" s="157"/>
    </row>
    <row r="809">
      <c r="D809" s="157"/>
    </row>
    <row r="810">
      <c r="D810" s="157"/>
    </row>
    <row r="811">
      <c r="D811" s="157"/>
    </row>
    <row r="812">
      <c r="D812" s="157"/>
    </row>
    <row r="813">
      <c r="D813" s="157"/>
    </row>
    <row r="814">
      <c r="D814" s="157"/>
    </row>
    <row r="815">
      <c r="D815" s="157"/>
    </row>
    <row r="816">
      <c r="D816" s="157"/>
    </row>
    <row r="817">
      <c r="D817" s="157"/>
    </row>
    <row r="818">
      <c r="D818" s="157"/>
    </row>
    <row r="819">
      <c r="D819" s="157"/>
    </row>
    <row r="820">
      <c r="D820" s="157"/>
    </row>
    <row r="821">
      <c r="D821" s="157"/>
    </row>
    <row r="822">
      <c r="D822" s="157"/>
    </row>
    <row r="823">
      <c r="D823" s="157"/>
    </row>
    <row r="824">
      <c r="D824" s="157"/>
    </row>
    <row r="825">
      <c r="D825" s="157"/>
    </row>
    <row r="826">
      <c r="D826" s="157"/>
    </row>
    <row r="827">
      <c r="D827" s="157"/>
    </row>
    <row r="828">
      <c r="D828" s="157"/>
    </row>
    <row r="829">
      <c r="D829" s="157"/>
    </row>
    <row r="830">
      <c r="D830" s="157"/>
    </row>
    <row r="831">
      <c r="D831" s="157"/>
    </row>
    <row r="832">
      <c r="D832" s="157"/>
    </row>
    <row r="833">
      <c r="D833" s="157"/>
    </row>
    <row r="834">
      <c r="D834" s="157"/>
    </row>
    <row r="835">
      <c r="D835" s="157"/>
    </row>
    <row r="836">
      <c r="D836" s="157"/>
    </row>
    <row r="837">
      <c r="D837" s="157"/>
    </row>
    <row r="838">
      <c r="D838" s="157"/>
    </row>
    <row r="839">
      <c r="D839" s="157"/>
    </row>
    <row r="840">
      <c r="D840" s="157"/>
    </row>
    <row r="841">
      <c r="D841" s="157"/>
    </row>
    <row r="842">
      <c r="D842" s="157"/>
    </row>
    <row r="843">
      <c r="D843" s="157"/>
    </row>
    <row r="844">
      <c r="D844" s="157"/>
    </row>
    <row r="845">
      <c r="D845" s="157"/>
    </row>
    <row r="846">
      <c r="D846" s="157"/>
    </row>
    <row r="847">
      <c r="D847" s="157"/>
    </row>
    <row r="848">
      <c r="D848" s="157"/>
    </row>
    <row r="849">
      <c r="D849" s="157"/>
    </row>
    <row r="850">
      <c r="D850" s="157"/>
    </row>
    <row r="851">
      <c r="D851" s="157"/>
    </row>
    <row r="852">
      <c r="D852" s="157"/>
    </row>
    <row r="853">
      <c r="D853" s="157"/>
    </row>
    <row r="854">
      <c r="D854" s="157"/>
    </row>
    <row r="855">
      <c r="D855" s="157"/>
    </row>
    <row r="856">
      <c r="D856" s="157"/>
    </row>
    <row r="857">
      <c r="D857" s="157"/>
    </row>
    <row r="858">
      <c r="D858" s="157"/>
    </row>
    <row r="859">
      <c r="D859" s="157"/>
    </row>
    <row r="860">
      <c r="D860" s="157"/>
    </row>
    <row r="861">
      <c r="D861" s="157"/>
    </row>
    <row r="862">
      <c r="D862" s="157"/>
    </row>
    <row r="863">
      <c r="D863" s="157"/>
    </row>
    <row r="864">
      <c r="D864" s="157"/>
    </row>
    <row r="865">
      <c r="D865" s="157"/>
    </row>
    <row r="866">
      <c r="D866" s="157"/>
    </row>
    <row r="867">
      <c r="D867" s="157"/>
    </row>
    <row r="868">
      <c r="D868" s="157"/>
    </row>
    <row r="869">
      <c r="D869" s="157"/>
    </row>
    <row r="870">
      <c r="D870" s="157"/>
    </row>
    <row r="871">
      <c r="D871" s="157"/>
    </row>
    <row r="872">
      <c r="D872" s="157"/>
    </row>
    <row r="873">
      <c r="D873" s="157"/>
    </row>
    <row r="874">
      <c r="D874" s="157"/>
    </row>
    <row r="875">
      <c r="D875" s="157"/>
    </row>
    <row r="876">
      <c r="D876" s="157"/>
    </row>
    <row r="877">
      <c r="D877" s="157"/>
    </row>
    <row r="878">
      <c r="D878" s="157"/>
    </row>
    <row r="879">
      <c r="D879" s="157"/>
    </row>
    <row r="880">
      <c r="D880" s="157"/>
    </row>
    <row r="881">
      <c r="D881" s="157"/>
    </row>
    <row r="882">
      <c r="D882" s="157"/>
    </row>
    <row r="883">
      <c r="D883" s="157"/>
    </row>
    <row r="884">
      <c r="D884" s="157"/>
    </row>
    <row r="885">
      <c r="D885" s="157"/>
    </row>
    <row r="886">
      <c r="D886" s="157"/>
    </row>
    <row r="887">
      <c r="D887" s="157"/>
    </row>
    <row r="888">
      <c r="D888" s="157"/>
    </row>
    <row r="889">
      <c r="D889" s="157"/>
    </row>
    <row r="890">
      <c r="D890" s="157"/>
    </row>
    <row r="891">
      <c r="D891" s="157"/>
    </row>
    <row r="892">
      <c r="D892" s="157"/>
    </row>
    <row r="893">
      <c r="D893" s="157"/>
    </row>
    <row r="894">
      <c r="D894" s="157"/>
    </row>
    <row r="895">
      <c r="D895" s="157"/>
    </row>
    <row r="896">
      <c r="D896" s="157"/>
    </row>
    <row r="897">
      <c r="D897" s="157"/>
    </row>
    <row r="898">
      <c r="D898" s="157"/>
    </row>
    <row r="899">
      <c r="D899" s="157"/>
    </row>
    <row r="900">
      <c r="D900" s="157"/>
    </row>
    <row r="901">
      <c r="D901" s="157"/>
    </row>
    <row r="902">
      <c r="D902" s="157"/>
    </row>
    <row r="903">
      <c r="D903" s="157"/>
    </row>
    <row r="904">
      <c r="D904" s="157"/>
    </row>
    <row r="905">
      <c r="D905" s="157"/>
    </row>
    <row r="906">
      <c r="D906" s="157"/>
    </row>
    <row r="907">
      <c r="D907" s="157"/>
    </row>
    <row r="908">
      <c r="D908" s="157"/>
    </row>
    <row r="909">
      <c r="D909" s="157"/>
    </row>
    <row r="910">
      <c r="D910" s="157"/>
    </row>
    <row r="911">
      <c r="D911" s="157"/>
    </row>
    <row r="912">
      <c r="D912" s="157"/>
    </row>
    <row r="913">
      <c r="D913" s="157"/>
    </row>
    <row r="914">
      <c r="D914" s="157"/>
    </row>
    <row r="915">
      <c r="D915" s="157"/>
    </row>
    <row r="916">
      <c r="D916" s="157"/>
    </row>
    <row r="917">
      <c r="D917" s="157"/>
    </row>
    <row r="918">
      <c r="D918" s="157"/>
    </row>
    <row r="919">
      <c r="D919" s="157"/>
    </row>
    <row r="920">
      <c r="D920" s="157"/>
    </row>
    <row r="921">
      <c r="D921" s="157"/>
    </row>
    <row r="922">
      <c r="D922" s="157"/>
    </row>
    <row r="923">
      <c r="D923" s="157"/>
    </row>
    <row r="924">
      <c r="D924" s="157"/>
    </row>
    <row r="925">
      <c r="D925" s="157"/>
    </row>
    <row r="926">
      <c r="D926" s="157"/>
    </row>
    <row r="927">
      <c r="D927" s="157"/>
    </row>
    <row r="928">
      <c r="D928" s="157"/>
    </row>
    <row r="929">
      <c r="D929" s="157"/>
    </row>
    <row r="930">
      <c r="D930" s="157"/>
    </row>
    <row r="931">
      <c r="D931" s="157"/>
    </row>
    <row r="932">
      <c r="D932" s="157"/>
    </row>
    <row r="933">
      <c r="D933" s="157"/>
    </row>
    <row r="934">
      <c r="D934" s="157"/>
    </row>
    <row r="935">
      <c r="D935" s="157"/>
    </row>
    <row r="936">
      <c r="D936" s="157"/>
    </row>
    <row r="937">
      <c r="D937" s="157"/>
    </row>
    <row r="938">
      <c r="D938" s="157"/>
    </row>
    <row r="939">
      <c r="D939" s="157"/>
    </row>
    <row r="940">
      <c r="D940" s="157"/>
    </row>
    <row r="941">
      <c r="D941" s="157"/>
    </row>
    <row r="942">
      <c r="D942" s="157"/>
    </row>
    <row r="943">
      <c r="D943" s="157"/>
    </row>
    <row r="944">
      <c r="D944" s="157"/>
    </row>
    <row r="945">
      <c r="D945" s="157"/>
    </row>
    <row r="946">
      <c r="D946" s="157"/>
    </row>
    <row r="947">
      <c r="D947" s="157"/>
    </row>
    <row r="948">
      <c r="D948" s="157"/>
    </row>
    <row r="949">
      <c r="D949" s="157"/>
    </row>
    <row r="950">
      <c r="D950" s="157"/>
    </row>
    <row r="951">
      <c r="D951" s="157"/>
    </row>
    <row r="952">
      <c r="D952" s="157"/>
    </row>
    <row r="953">
      <c r="D953" s="157"/>
    </row>
    <row r="954">
      <c r="D954" s="157"/>
    </row>
    <row r="955">
      <c r="D955" s="157"/>
    </row>
    <row r="956">
      <c r="D956" s="157"/>
    </row>
    <row r="957">
      <c r="D957" s="157"/>
    </row>
    <row r="958">
      <c r="D958" s="157"/>
    </row>
    <row r="959">
      <c r="D959" s="157"/>
    </row>
    <row r="960">
      <c r="D960" s="157"/>
    </row>
    <row r="961">
      <c r="D961" s="157"/>
    </row>
    <row r="962">
      <c r="D962" s="157"/>
    </row>
    <row r="963">
      <c r="D963" s="157"/>
    </row>
    <row r="964">
      <c r="D964" s="157"/>
    </row>
    <row r="965">
      <c r="D965" s="157"/>
    </row>
    <row r="966">
      <c r="D966" s="157"/>
    </row>
    <row r="967">
      <c r="D967" s="157"/>
    </row>
    <row r="968">
      <c r="D968" s="157"/>
    </row>
    <row r="969">
      <c r="D969" s="157"/>
    </row>
    <row r="970">
      <c r="D970" s="157"/>
    </row>
    <row r="971">
      <c r="D971" s="157"/>
    </row>
    <row r="972">
      <c r="D972" s="157"/>
    </row>
    <row r="973">
      <c r="D973" s="157"/>
    </row>
    <row r="974">
      <c r="D974" s="157"/>
    </row>
    <row r="975">
      <c r="D975" s="157"/>
    </row>
    <row r="976">
      <c r="D976" s="157"/>
    </row>
    <row r="977">
      <c r="D977" s="157"/>
    </row>
    <row r="978">
      <c r="D978" s="157"/>
    </row>
    <row r="979">
      <c r="D979" s="157"/>
    </row>
    <row r="980">
      <c r="D980" s="157"/>
    </row>
    <row r="981">
      <c r="D981" s="157"/>
    </row>
    <row r="982">
      <c r="D982" s="157"/>
    </row>
    <row r="983">
      <c r="D983" s="157"/>
    </row>
    <row r="984">
      <c r="D984" s="157"/>
    </row>
    <row r="985">
      <c r="D985" s="157"/>
    </row>
    <row r="986">
      <c r="D986" s="157"/>
    </row>
    <row r="987">
      <c r="D987" s="157"/>
    </row>
    <row r="988">
      <c r="D988" s="157"/>
    </row>
    <row r="989">
      <c r="D989" s="157"/>
    </row>
    <row r="990">
      <c r="D990" s="157"/>
    </row>
    <row r="991">
      <c r="D991" s="157"/>
    </row>
    <row r="992">
      <c r="D992" s="157"/>
    </row>
    <row r="993">
      <c r="D993" s="157"/>
    </row>
    <row r="994">
      <c r="D994" s="157"/>
    </row>
    <row r="995">
      <c r="D995" s="157"/>
    </row>
    <row r="996">
      <c r="D996" s="157"/>
    </row>
    <row r="997">
      <c r="D997" s="157"/>
    </row>
    <row r="998">
      <c r="D998" s="157"/>
    </row>
    <row r="999">
      <c r="D999" s="157"/>
    </row>
    <row r="1000">
      <c r="D1000" s="157"/>
    </row>
    <row r="1001">
      <c r="D1001" s="157"/>
    </row>
  </sheetData>
  <mergeCells count="1">
    <mergeCell ref="B1:C1"/>
  </mergeCells>
  <hyperlinks>
    <hyperlink r:id="rId1" ref="B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13"/>
    <col customWidth="1" min="3" max="3" width="47.5"/>
    <col customWidth="1" min="4" max="4" width="49.38"/>
  </cols>
  <sheetData>
    <row r="1">
      <c r="A1" s="140" t="s">
        <v>6</v>
      </c>
      <c r="B1" s="357" t="str">
        <f>IFERROR(__xludf.DUMMYFUNCTION("importrange(""https://docs.google.com/spreadsheets/d/1YrVcgDKM75e5dGhxoFY1m-Lc5q6jeQkIInCtkbDj1oM/edit#gid=101051779"",""Base Odoo!A:A"")"),"Item#")</f>
        <v>Item#</v>
      </c>
      <c r="C1" s="357" t="str">
        <f>IFERROR(__xludf.DUMMYFUNCTION("importrange(""https://docs.google.com/spreadsheets/d/1YrVcgDKM75e5dGhxoFY1m-Lc5q6jeQkIInCtkbDj1oM/edit#gid=101051779"",""Base Odoo!B:B"")"),"Portuguese Name")</f>
        <v>Portuguese Name</v>
      </c>
      <c r="D1" s="357" t="str">
        <f>IFERROR(__xludf.DUMMYFUNCTION("importrange(""https://docs.google.com/spreadsheets/d/1YrVcgDKM75e5dGhxoFY1m-Lc5q6jeQkIInCtkbDj1oM/edit#gid=101051779"",""Base Odoo!F:F"")"),"Certification Type")</f>
        <v>Certification Type</v>
      </c>
      <c r="E1" s="357"/>
      <c r="F1" s="357"/>
      <c r="G1" s="357"/>
      <c r="H1" s="357"/>
      <c r="I1" s="357"/>
      <c r="J1" s="357"/>
      <c r="K1" s="357"/>
      <c r="L1" s="357"/>
      <c r="M1" s="357"/>
      <c r="N1" s="357"/>
      <c r="O1" s="357"/>
      <c r="P1" s="357"/>
      <c r="Q1" s="357"/>
      <c r="R1" s="357"/>
      <c r="S1" s="357"/>
      <c r="T1" s="357"/>
      <c r="U1" s="357"/>
      <c r="V1" s="357"/>
      <c r="W1" s="357"/>
      <c r="X1" s="357"/>
      <c r="Y1" s="357"/>
      <c r="Z1" s="357"/>
    </row>
    <row r="2">
      <c r="B2" s="186" t="str">
        <f>IFERROR(__xludf.DUMMYFUNCTION("""COMPUTED_VALUE"""),"CS2263")</f>
        <v>CS2263</v>
      </c>
      <c r="C2" s="186" t="str">
        <f>IFERROR(__xludf.DUMMYFUNCTION("""COMPUTED_VALUE"""),"CANECA AVULSA BRABA")</f>
        <v>CANECA AVULSA BRABA</v>
      </c>
      <c r="D2" s="186" t="str">
        <f>IFERROR(__xludf.DUMMYFUNCTION("""COMPUTED_VALUE"""),"FALSO")</f>
        <v>FALSO</v>
      </c>
    </row>
    <row r="3">
      <c r="B3" s="186" t="str">
        <f>IFERROR(__xludf.DUMMYFUNCTION("""COMPUTED_VALUE"""),"CS2261")</f>
        <v>CS2261</v>
      </c>
      <c r="C3" s="186" t="str">
        <f>IFERROR(__xludf.DUMMYFUNCTION("""COMPUTED_VALUE"""),"CANECA AVULSA GALAXIA 1")</f>
        <v>CANECA AVULSA GALAXIA 1</v>
      </c>
      <c r="D3" s="186" t="str">
        <f>IFERROR(__xludf.DUMMYFUNCTION("""COMPUTED_VALUE"""),"FALSO")</f>
        <v>FALSO</v>
      </c>
    </row>
    <row r="4">
      <c r="B4" s="186" t="str">
        <f>IFERROR(__xludf.DUMMYFUNCTION("""COMPUTED_VALUE"""),"CS2262")</f>
        <v>CS2262</v>
      </c>
      <c r="C4" s="186" t="str">
        <f>IFERROR(__xludf.DUMMYFUNCTION("""COMPUTED_VALUE"""),"CANECA AVULSA GALAXIA 2")</f>
        <v>CANECA AVULSA GALAXIA 2</v>
      </c>
      <c r="D4" s="186" t="str">
        <f>IFERROR(__xludf.DUMMYFUNCTION("""COMPUTED_VALUE"""),"FALSO")</f>
        <v>FALSO</v>
      </c>
    </row>
    <row r="5">
      <c r="B5" s="186" t="str">
        <f>IFERROR(__xludf.DUMMYFUNCTION("""COMPUTED_VALUE"""),"CS2259")</f>
        <v>CS2259</v>
      </c>
      <c r="C5" s="186" t="str">
        <f>IFERROR(__xludf.DUMMYFUNCTION("""COMPUTED_VALUE"""),"CANECA AVULSA HP")</f>
        <v>CANECA AVULSA HP</v>
      </c>
      <c r="D5" s="186" t="str">
        <f>IFERROR(__xludf.DUMMYFUNCTION("""COMPUTED_VALUE"""),"FALSO")</f>
        <v>FALSO</v>
      </c>
    </row>
    <row r="6">
      <c r="B6" s="186" t="str">
        <f>IFERROR(__xludf.DUMMYFUNCTION("""COMPUTED_VALUE"""),"CS2260")</f>
        <v>CS2260</v>
      </c>
      <c r="C6" s="186" t="str">
        <f>IFERROR(__xludf.DUMMYFUNCTION("""COMPUTED_VALUE"""),"CANECA EMPILHAVEL BASICO")</f>
        <v>CANECA EMPILHAVEL BASICO</v>
      </c>
      <c r="D6" s="186" t="str">
        <f>IFERROR(__xludf.DUMMYFUNCTION("""COMPUTED_VALUE"""),"FALSO")</f>
        <v>FALSO</v>
      </c>
    </row>
    <row r="7">
      <c r="B7" s="186" t="str">
        <f>IFERROR(__xludf.DUMMYFUNCTION("""COMPUTED_VALUE"""),"CS2258")</f>
        <v>CS2258</v>
      </c>
      <c r="C7" s="186" t="str">
        <f>IFERROR(__xludf.DUMMYFUNCTION("""COMPUTED_VALUE"""),"CANECA EMPILHAVEL HP")</f>
        <v>CANECA EMPILHAVEL HP</v>
      </c>
      <c r="D7" s="186" t="str">
        <f>IFERROR(__xludf.DUMMYFUNCTION("""COMPUTED_VALUE"""),"FALSO")</f>
        <v>FALSO</v>
      </c>
    </row>
    <row r="8">
      <c r="B8" s="186"/>
      <c r="C8" s="186"/>
      <c r="D8" s="186" t="str">
        <f>IFERROR(__xludf.DUMMYFUNCTION("""COMPUTED_VALUE"""),"FALSO")</f>
        <v>FALSO</v>
      </c>
    </row>
    <row r="9">
      <c r="B9" s="186"/>
      <c r="C9" s="186"/>
      <c r="D9" s="186" t="str">
        <f>IFERROR(__xludf.DUMMYFUNCTION("""COMPUTED_VALUE"""),"FALSO")</f>
        <v>FALSO</v>
      </c>
    </row>
    <row r="10">
      <c r="B10" s="186"/>
      <c r="C10" s="186"/>
      <c r="D10" s="186" t="str">
        <f>IFERROR(__xludf.DUMMYFUNCTION("""COMPUTED_VALUE"""),"FALSO")</f>
        <v>FALSO</v>
      </c>
    </row>
    <row r="11">
      <c r="B11" s="186" t="str">
        <f>IFERROR(__xludf.DUMMYFUNCTION("""COMPUTED_VALUE"""),"PI7264Y")</f>
        <v>PI7264Y</v>
      </c>
      <c r="C11" s="186"/>
      <c r="D11" s="186" t="str">
        <f>IFERROR(__xludf.DUMMYFUNCTION("""COMPUTED_VALUE"""),"FALSO")</f>
        <v>FALSO</v>
      </c>
    </row>
    <row r="12">
      <c r="B12" s="186" t="str">
        <f>IFERROR(__xludf.DUMMYFUNCTION("""COMPUTED_VALUE"""),"PI7271Y")</f>
        <v>PI7271Y</v>
      </c>
      <c r="C12" s="186"/>
      <c r="D12" s="186" t="str">
        <f>IFERROR(__xludf.DUMMYFUNCTION("""COMPUTED_VALUE"""),"FALSO")</f>
        <v>FALSO</v>
      </c>
    </row>
    <row r="13">
      <c r="B13" s="186" t="str">
        <f>IFERROR(__xludf.DUMMYFUNCTION("""COMPUTED_VALUE"""),"PI7280Y")</f>
        <v>PI7280Y</v>
      </c>
      <c r="C13" s="186"/>
      <c r="D13" s="186" t="str">
        <f>IFERROR(__xludf.DUMMYFUNCTION("""COMPUTED_VALUE"""),"FALSO")</f>
        <v>FALSO</v>
      </c>
    </row>
    <row r="14">
      <c r="B14" s="186" t="str">
        <f>IFERROR(__xludf.DUMMYFUNCTION("""COMPUTED_VALUE"""),"PI7270Y")</f>
        <v>PI7270Y</v>
      </c>
      <c r="C14" s="186"/>
      <c r="D14" s="186" t="str">
        <f>IFERROR(__xludf.DUMMYFUNCTION("""COMPUTED_VALUE"""),"FALSO")</f>
        <v>FALSO</v>
      </c>
    </row>
    <row r="15">
      <c r="B15" s="186" t="str">
        <f>IFERROR(__xludf.DUMMYFUNCTION("""COMPUTED_VALUE"""),"PI7513Y")</f>
        <v>PI7513Y</v>
      </c>
      <c r="C15" s="186"/>
      <c r="D15" s="186" t="str">
        <f>IFERROR(__xludf.DUMMYFUNCTION("""COMPUTED_VALUE"""),"FALSO")</f>
        <v>FALSO</v>
      </c>
    </row>
    <row r="16">
      <c r="B16" s="186" t="str">
        <f>IFERROR(__xludf.DUMMYFUNCTION("""COMPUTED_VALUE"""),"PI7512Y")</f>
        <v>PI7512Y</v>
      </c>
      <c r="C16" s="186"/>
      <c r="D16" s="186" t="str">
        <f>IFERROR(__xludf.DUMMYFUNCTION("""COMPUTED_VALUE"""),"FALSO")</f>
        <v>FALSO</v>
      </c>
    </row>
    <row r="17">
      <c r="B17" s="186" t="str">
        <f>IFERROR(__xludf.DUMMYFUNCTION("""COMPUTED_VALUE"""),"PI6611Y")</f>
        <v>PI6611Y</v>
      </c>
      <c r="C17" s="186" t="str">
        <f>IFERROR(__xludf.DUMMYFUNCTION("""COMPUTED_VALUE"""),"DUPLA DE TAÇA E ABRIDOR")</f>
        <v>DUPLA DE TAÇA E ABRIDOR</v>
      </c>
      <c r="D17" s="186" t="str">
        <f>IFERROR(__xludf.DUMMYFUNCTION("""COMPUTED_VALUE"""),"FALSO")</f>
        <v>FALSO</v>
      </c>
    </row>
    <row r="18">
      <c r="B18" s="186" t="str">
        <f>IFERROR(__xludf.DUMMYFUNCTION("""COMPUTED_VALUE"""),"PI7351Y")</f>
        <v>PI7351Y</v>
      </c>
      <c r="C18" s="186"/>
      <c r="D18" s="186" t="str">
        <f>IFERROR(__xludf.DUMMYFUNCTION("""COMPUTED_VALUE"""),"FALSO")</f>
        <v>FALSO</v>
      </c>
    </row>
    <row r="19">
      <c r="B19" s="186" t="str">
        <f>IFERROR(__xludf.DUMMYFUNCTION("""COMPUTED_VALUE"""),"PI6206Y")</f>
        <v>PI6206Y</v>
      </c>
      <c r="C19" s="186"/>
      <c r="D19" s="186" t="str">
        <f>IFERROR(__xludf.DUMMYFUNCTION("""COMPUTED_VALUE"""),"FALSO")</f>
        <v>FALSO</v>
      </c>
    </row>
    <row r="20">
      <c r="B20" s="186" t="str">
        <f>IFERROR(__xludf.DUMMYFUNCTION("""COMPUTED_VALUE"""),"PI5500Y")</f>
        <v>PI5500Y</v>
      </c>
      <c r="C20" s="186"/>
      <c r="D20" s="186" t="str">
        <f>IFERROR(__xludf.DUMMYFUNCTION("""COMPUTED_VALUE"""),"FALSO")</f>
        <v>FALSO</v>
      </c>
    </row>
    <row r="21">
      <c r="B21" s="186" t="str">
        <f>IFERROR(__xludf.DUMMYFUNCTION("""COMPUTED_VALUE"""),"PI7261Y")</f>
        <v>PI7261Y</v>
      </c>
      <c r="C21" s="186"/>
      <c r="D21" s="186" t="str">
        <f>IFERROR(__xludf.DUMMYFUNCTION("""COMPUTED_VALUE"""),"FALSO")</f>
        <v>FALSO</v>
      </c>
    </row>
    <row r="22">
      <c r="B22" s="186" t="str">
        <f>IFERROR(__xludf.DUMMYFUNCTION("""COMPUTED_VALUE"""),"PI6264Y")</f>
        <v>PI6264Y</v>
      </c>
      <c r="C22" s="186"/>
      <c r="D22" s="186" t="str">
        <f>IFERROR(__xludf.DUMMYFUNCTION("""COMPUTED_VALUE"""),"FALSO")</f>
        <v>FALSO</v>
      </c>
    </row>
    <row r="23">
      <c r="B23" s="186" t="str">
        <f>IFERROR(__xludf.DUMMYFUNCTION("""COMPUTED_VALUE"""),"CS2066")</f>
        <v>CS2066</v>
      </c>
      <c r="C23" s="186"/>
      <c r="D23" s="186" t="str">
        <f>IFERROR(__xludf.DUMMYFUNCTION("""COMPUTED_VALUE"""),"FALSO")</f>
        <v>FALSO</v>
      </c>
    </row>
    <row r="24">
      <c r="B24" s="186" t="str">
        <f>IFERROR(__xludf.DUMMYFUNCTION("""COMPUTED_VALUE"""),"PI5154Y")</f>
        <v>PI5154Y</v>
      </c>
      <c r="C24" s="186"/>
      <c r="D24" s="186" t="str">
        <f>IFERROR(__xludf.DUMMYFUNCTION("""COMPUTED_VALUE"""),"FALSO")</f>
        <v>FALSO</v>
      </c>
    </row>
    <row r="25">
      <c r="B25" s="186" t="str">
        <f>IFERROR(__xludf.DUMMYFUNCTION("""COMPUTED_VALUE"""),"AC2263Y")</f>
        <v>AC2263Y</v>
      </c>
      <c r="C25" s="186"/>
      <c r="D25" s="186" t="str">
        <f>IFERROR(__xludf.DUMMYFUNCTION("""COMPUTED_VALUE"""),"FALSO")</f>
        <v>FALSO</v>
      </c>
    </row>
    <row r="26">
      <c r="B26" s="186" t="str">
        <f>IFERROR(__xludf.DUMMYFUNCTION("""COMPUTED_VALUE"""),"AC2262Y")</f>
        <v>AC2262Y</v>
      </c>
      <c r="C26" s="186"/>
      <c r="D26" s="186" t="str">
        <f>IFERROR(__xludf.DUMMYFUNCTION("""COMPUTED_VALUE"""),"FALSO")</f>
        <v>FALSO</v>
      </c>
    </row>
    <row r="27">
      <c r="B27" s="186" t="str">
        <f>IFERROR(__xludf.DUMMYFUNCTION("""COMPUTED_VALUE"""),"PI6680Y")</f>
        <v>PI6680Y</v>
      </c>
      <c r="C27" s="186"/>
      <c r="D27" s="186" t="str">
        <f>IFERROR(__xludf.DUMMYFUNCTION("""COMPUTED_VALUE"""),"FALSO")</f>
        <v>FALSO</v>
      </c>
    </row>
    <row r="28">
      <c r="B28" s="186" t="str">
        <f>IFERROR(__xludf.DUMMYFUNCTION("""COMPUTED_VALUE"""),"AC2239Y")</f>
        <v>AC2239Y</v>
      </c>
      <c r="C28" s="186" t="str">
        <f>IFERROR(__xludf.DUMMYFUNCTION("""COMPUTED_VALUE"""),"AC EMBALAGEM PARA PI6757Y")</f>
        <v>AC EMBALAGEM PARA PI6757Y</v>
      </c>
      <c r="D28" s="186" t="str">
        <f>IFERROR(__xludf.DUMMYFUNCTION("""COMPUTED_VALUE"""),"FALSO")</f>
        <v>FALSO</v>
      </c>
    </row>
    <row r="29">
      <c r="B29" s="186" t="str">
        <f>IFERROR(__xludf.DUMMYFUNCTION("""COMPUTED_VALUE"""),"AC2240Y")</f>
        <v>AC2240Y</v>
      </c>
      <c r="C29" s="186"/>
      <c r="D29" s="186" t="str">
        <f>IFERROR(__xludf.DUMMYFUNCTION("""COMPUTED_VALUE"""),"FALSO")</f>
        <v>FALSO</v>
      </c>
    </row>
    <row r="30">
      <c r="B30" s="186" t="str">
        <f>IFERROR(__xludf.DUMMYFUNCTION("""COMPUTED_VALUE"""),"AC2238Y")</f>
        <v>AC2238Y</v>
      </c>
      <c r="C30" s="186"/>
      <c r="D30" s="186" t="str">
        <f>IFERROR(__xludf.DUMMYFUNCTION("""COMPUTED_VALUE"""),"FALSO")</f>
        <v>FALSO</v>
      </c>
    </row>
    <row r="31">
      <c r="B31" s="186" t="str">
        <f>IFERROR(__xludf.DUMMYFUNCTION("""COMPUTED_VALUE"""),"PI5295Y")</f>
        <v>PI5295Y</v>
      </c>
      <c r="C31" s="186"/>
      <c r="D31" s="186" t="str">
        <f>IFERROR(__xludf.DUMMYFUNCTION("""COMPUTED_VALUE"""),"Anatel Category 3 - Cell Phones")</f>
        <v>Anatel Category 3 - Cell Phones</v>
      </c>
    </row>
    <row r="32">
      <c r="B32" s="186" t="str">
        <f>IFERROR(__xludf.DUMMYFUNCTION("""COMPUTED_VALUE"""),"PI7100Y")</f>
        <v>PI7100Y</v>
      </c>
      <c r="C32" s="186"/>
      <c r="D32" s="186" t="str">
        <f>IFERROR(__xludf.DUMMYFUNCTION("""COMPUTED_VALUE"""),"FALSO")</f>
        <v>FALSO</v>
      </c>
    </row>
    <row r="33">
      <c r="B33" s="186" t="str">
        <f>IFERROR(__xludf.DUMMYFUNCTION("""COMPUTED_VALUE"""),"PI7177Y")</f>
        <v>PI7177Y</v>
      </c>
      <c r="C33" s="186"/>
      <c r="D33" s="186" t="str">
        <f>IFERROR(__xludf.DUMMYFUNCTION("""COMPUTED_VALUE"""),"FALSO")</f>
        <v>FALSO</v>
      </c>
    </row>
    <row r="34">
      <c r="B34" s="186" t="str">
        <f>IFERROR(__xludf.DUMMYFUNCTION("""COMPUTED_VALUE"""),"PI5054Y")</f>
        <v>PI5054Y</v>
      </c>
      <c r="C34" s="186"/>
      <c r="D34" s="186" t="str">
        <f>IFERROR(__xludf.DUMMYFUNCTION("""COMPUTED_VALUE"""),"FALSO")</f>
        <v>FALSO</v>
      </c>
    </row>
    <row r="35">
      <c r="B35" s="186" t="str">
        <f>IFERROR(__xludf.DUMMYFUNCTION("""COMPUTED_VALUE"""),"PI7531Y")</f>
        <v>PI7531Y</v>
      </c>
      <c r="C35" s="186"/>
      <c r="D35" s="186" t="str">
        <f>IFERROR(__xludf.DUMMYFUNCTION("""COMPUTED_VALUE"""),"FALSO")</f>
        <v>FALSO</v>
      </c>
    </row>
    <row r="36">
      <c r="B36" s="186" t="str">
        <f>IFERROR(__xludf.DUMMYFUNCTION("""COMPUTED_VALUE"""),"PI7508Y")</f>
        <v>PI7508Y</v>
      </c>
      <c r="C36" s="186"/>
      <c r="D36" s="186" t="str">
        <f>IFERROR(__xludf.DUMMYFUNCTION("""COMPUTED_VALUE"""),"FALSO")</f>
        <v>FALSO</v>
      </c>
    </row>
    <row r="37">
      <c r="B37" s="186" t="str">
        <f>IFERROR(__xludf.DUMMYFUNCTION("""COMPUTED_VALUE"""),"PI7172Y")</f>
        <v>PI7172Y</v>
      </c>
      <c r="C37" s="186"/>
      <c r="D37" s="186" t="str">
        <f>IFERROR(__xludf.DUMMYFUNCTION("""COMPUTED_VALUE"""),"FALSO")</f>
        <v>FALSO</v>
      </c>
    </row>
    <row r="38">
      <c r="B38" s="186" t="str">
        <f>IFERROR(__xludf.DUMMYFUNCTION("""COMPUTED_VALUE"""),"PI6147Y")</f>
        <v>PI6147Y</v>
      </c>
      <c r="C38" s="186" t="str">
        <f>IFERROR(__xludf.DUMMYFUNCTION("""COMPUTED_VALUE"""),"UMIDIFICADOR GATINHO")</f>
        <v>UMIDIFICADOR GATINHO</v>
      </c>
      <c r="D38" s="186" t="str">
        <f>IFERROR(__xludf.DUMMYFUNCTION("""COMPUTED_VALUE"""),"FALSO")</f>
        <v>FALSO</v>
      </c>
    </row>
    <row r="39">
      <c r="B39" s="186" t="str">
        <f>IFERROR(__xludf.DUMMYFUNCTION("""COMPUTED_VALUE"""),"PI5265Y")</f>
        <v>PI5265Y</v>
      </c>
      <c r="C39" s="186"/>
      <c r="D39" s="186" t="str">
        <f>IFERROR(__xludf.DUMMYFUNCTION("""COMPUTED_VALUE"""),"FALSO")</f>
        <v>FALSO</v>
      </c>
    </row>
    <row r="40">
      <c r="B40" s="186" t="str">
        <f>IFERROR(__xludf.DUMMYFUNCTION("""COMPUTED_VALUE"""),"PI7230Y")</f>
        <v>PI7230Y</v>
      </c>
      <c r="C40" s="186"/>
      <c r="D40" s="186" t="str">
        <f>IFERROR(__xludf.DUMMYFUNCTION("""COMPUTED_VALUE"""),"FALSO")</f>
        <v>FALSO</v>
      </c>
    </row>
    <row r="41">
      <c r="B41" s="186" t="str">
        <f>IFERROR(__xludf.DUMMYFUNCTION("""COMPUTED_VALUE"""),"PI5875Y")</f>
        <v>PI5875Y</v>
      </c>
      <c r="C41" s="186"/>
      <c r="D41" s="186" t="str">
        <f>IFERROR(__xludf.DUMMYFUNCTION("""COMPUTED_VALUE"""),"FALSO")</f>
        <v>FALSO</v>
      </c>
    </row>
    <row r="42">
      <c r="B42" s="186" t="str">
        <f>IFERROR(__xludf.DUMMYFUNCTION("""COMPUTED_VALUE"""),"PI7266Y")</f>
        <v>PI7266Y</v>
      </c>
      <c r="C42" s="186" t="str">
        <f>IFERROR(__xludf.DUMMYFUNCTION("""COMPUTED_VALUE"""),"PORTA RETRATO ALBUM HISTORIAS INCRIVEIS")</f>
        <v>PORTA RETRATO ALBUM HISTORIAS INCRIVEIS</v>
      </c>
      <c r="D42" s="186" t="str">
        <f>IFERROR(__xludf.DUMMYFUNCTION("""COMPUTED_VALUE"""),"FALSO")</f>
        <v>FALSO</v>
      </c>
    </row>
    <row r="43">
      <c r="B43" s="186" t="str">
        <f>IFERROR(__xludf.DUMMYFUNCTION("""COMPUTED_VALUE"""),"PI7266Y")</f>
        <v>PI7266Y</v>
      </c>
      <c r="C43" s="186" t="str">
        <f>IFERROR(__xludf.DUMMYFUNCTION("""COMPUTED_VALUE"""),"PORTA RETRATO ALBUM HISTORIAS INCRIVEIS")</f>
        <v>PORTA RETRATO ALBUM HISTORIAS INCRIVEIS</v>
      </c>
      <c r="D43" s="186" t="str">
        <f>IFERROR(__xludf.DUMMYFUNCTION("""COMPUTED_VALUE"""),"FALSO")</f>
        <v>FALSO</v>
      </c>
    </row>
    <row r="44">
      <c r="B44" s="186" t="str">
        <f>IFERROR(__xludf.DUMMYFUNCTION("""COMPUTED_VALUE"""),"PI6509Y")</f>
        <v>PI6509Y</v>
      </c>
      <c r="C44" s="186" t="str">
        <f>IFERROR(__xludf.DUMMYFUNCTION("""COMPUTED_VALUE"""),"ALBUM GRAVADOR VERSAO DO DIRETOR")</f>
        <v>ALBUM GRAVADOR VERSAO DO DIRETOR</v>
      </c>
      <c r="D44" s="186" t="str">
        <f>IFERROR(__xludf.DUMMYFUNCTION("""COMPUTED_VALUE"""),"FALSO")</f>
        <v>FALSO</v>
      </c>
    </row>
    <row r="45">
      <c r="B45" s="186" t="str">
        <f>IFERROR(__xludf.DUMMYFUNCTION("""COMPUTED_VALUE"""),"PI5032Y")</f>
        <v>PI5032Y</v>
      </c>
      <c r="C45" s="186"/>
      <c r="D45" s="186" t="str">
        <f>IFERROR(__xludf.DUMMYFUNCTION("""COMPUTED_VALUE"""),"FALSO")</f>
        <v>FALSO</v>
      </c>
    </row>
    <row r="46">
      <c r="B46" s="186" t="str">
        <f>IFERROR(__xludf.DUMMYFUNCTION("""COMPUTED_VALUE"""),"PI5033Y")</f>
        <v>PI5033Y</v>
      </c>
      <c r="C46" s="186"/>
      <c r="D46" s="186" t="str">
        <f>IFERROR(__xludf.DUMMYFUNCTION("""COMPUTED_VALUE"""),"FALSO")</f>
        <v>FALSO</v>
      </c>
    </row>
    <row r="47">
      <c r="B47" s="186" t="str">
        <f>IFERROR(__xludf.DUMMYFUNCTION("""COMPUTED_VALUE"""),"PI5031Y")</f>
        <v>PI5031Y</v>
      </c>
      <c r="C47" s="186"/>
      <c r="D47" s="186" t="str">
        <f>IFERROR(__xludf.DUMMYFUNCTION("""COMPUTED_VALUE"""),"FALSO")</f>
        <v>FALSO</v>
      </c>
    </row>
    <row r="48">
      <c r="B48" s="186" t="str">
        <f>IFERROR(__xludf.DUMMYFUNCTION("""COMPUTED_VALUE"""),"PI5030Y")</f>
        <v>PI5030Y</v>
      </c>
      <c r="C48" s="186"/>
      <c r="D48" s="186" t="str">
        <f>IFERROR(__xludf.DUMMYFUNCTION("""COMPUTED_VALUE"""),"FALSO")</f>
        <v>FALSO</v>
      </c>
    </row>
    <row r="49">
      <c r="B49" s="186" t="str">
        <f>IFERROR(__xludf.DUMMYFUNCTION("""COMPUTED_VALUE"""),"PI5788Y")</f>
        <v>PI5788Y</v>
      </c>
      <c r="C49" s="186"/>
      <c r="D49" s="186" t="str">
        <f>IFERROR(__xludf.DUMMYFUNCTION("""COMPUTED_VALUE"""),"FALSO")</f>
        <v>FALSO</v>
      </c>
    </row>
    <row r="50">
      <c r="B50" s="186" t="str">
        <f>IFERROR(__xludf.DUMMYFUNCTION("""COMPUTED_VALUE"""),"CS2175")</f>
        <v>CS2175</v>
      </c>
      <c r="C50" s="186" t="str">
        <f>IFERROR(__xludf.DUMMYFUNCTION("""COMPUTED_VALUE"""),"ALMOFADA DE PESCOCO CABECA NAS NUVENS")</f>
        <v>ALMOFADA DE PESCOCO CABECA NAS NUVENS</v>
      </c>
      <c r="D50" s="186" t="str">
        <f>IFERROR(__xludf.DUMMYFUNCTION("""COMPUTED_VALUE"""),"FALSO")</f>
        <v>FALSO</v>
      </c>
    </row>
    <row r="51">
      <c r="B51" s="186" t="str">
        <f>IFERROR(__xludf.DUMMYFUNCTION("""COMPUTED_VALUE"""),"CS2176")</f>
        <v>CS2176</v>
      </c>
      <c r="C51" s="186" t="str">
        <f>IFERROR(__xludf.DUMMYFUNCTION("""COMPUTED_VALUE"""),"ALMOFADA DE PESCOCO ESTAMPA DEIXA FLUIR")</f>
        <v>ALMOFADA DE PESCOCO ESTAMPA DEIXA FLUIR</v>
      </c>
      <c r="D51" s="186" t="str">
        <f>IFERROR(__xludf.DUMMYFUNCTION("""COMPUTED_VALUE"""),"FALSO")</f>
        <v>FALSO</v>
      </c>
    </row>
    <row r="52">
      <c r="B52" s="186" t="str">
        <f>IFERROR(__xludf.DUMMYFUNCTION("""COMPUTED_VALUE"""),"CS2252")</f>
        <v>CS2252</v>
      </c>
      <c r="C52" s="186"/>
      <c r="D52" s="186" t="str">
        <f>IFERROR(__xludf.DUMMYFUNCTION("""COMPUTED_VALUE"""),"FALSO")</f>
        <v>FALSO</v>
      </c>
    </row>
    <row r="53">
      <c r="B53" s="186" t="str">
        <f>IFERROR(__xludf.DUMMYFUNCTION("""COMPUTED_VALUE"""),"CS2174")</f>
        <v>CS2174</v>
      </c>
      <c r="C53" s="186" t="str">
        <f>IFERROR(__xludf.DUMMYFUNCTION("""COMPUTED_VALUE"""),"ALMOFADA DE PESCOCO FORA DE AREA")</f>
        <v>ALMOFADA DE PESCOCO FORA DE AREA</v>
      </c>
      <c r="D53" s="186" t="str">
        <f>IFERROR(__xludf.DUMMYFUNCTION("""COMPUTED_VALUE"""),"FALSO")</f>
        <v>FALSO</v>
      </c>
    </row>
    <row r="54">
      <c r="B54" s="186" t="str">
        <f>IFERROR(__xludf.DUMMYFUNCTION("""COMPUTED_VALUE"""),"CS2173")</f>
        <v>CS2173</v>
      </c>
      <c r="C54" s="186" t="str">
        <f>IFERROR(__xludf.DUMMYFUNCTION("""COMPUTED_VALUE"""),"ALMOFADA DE PESCOCO HP PATRONO")</f>
        <v>ALMOFADA DE PESCOCO HP PATRONO</v>
      </c>
      <c r="D54" s="186" t="str">
        <f>IFERROR(__xludf.DUMMYFUNCTION("""COMPUTED_VALUE"""),"FALSO")</f>
        <v>FALSO</v>
      </c>
    </row>
    <row r="55">
      <c r="B55" s="186" t="str">
        <f>IFERROR(__xludf.DUMMYFUNCTION("""COMPUTED_VALUE"""),"CS2251")</f>
        <v>CS2251</v>
      </c>
      <c r="C55" s="186"/>
      <c r="D55" s="186" t="str">
        <f>IFERROR(__xludf.DUMMYFUNCTION("""COMPUTED_VALUE"""),"FALSO")</f>
        <v>FALSO</v>
      </c>
    </row>
    <row r="56">
      <c r="B56" s="186" t="str">
        <f>IFERROR(__xludf.DUMMYFUNCTION("""COMPUTED_VALUE"""),"CS2172")</f>
        <v>CS2172</v>
      </c>
      <c r="C56" s="186" t="str">
        <f>IFERROR(__xludf.DUMMYFUNCTION("""COMPUTED_VALUE"""),"ALMOFADA DE PESCOCO XADREZ E SMILE")</f>
        <v>ALMOFADA DE PESCOCO XADREZ E SMILE</v>
      </c>
      <c r="D56" s="186" t="str">
        <f>IFERROR(__xludf.DUMMYFUNCTION("""COMPUTED_VALUE"""),"FALSO")</f>
        <v>FALSO</v>
      </c>
    </row>
    <row r="57">
      <c r="B57" s="186" t="str">
        <f>IFERROR(__xludf.DUMMYFUNCTION("""COMPUTED_VALUE"""),"PI7630Y")</f>
        <v>PI7630Y</v>
      </c>
      <c r="C57" s="186"/>
      <c r="D57" s="186" t="str">
        <f>IFERROR(__xludf.DUMMYFUNCTION("""COMPUTED_VALUE"""),"FALSO")</f>
        <v>FALSO</v>
      </c>
    </row>
    <row r="58">
      <c r="B58" s="186" t="str">
        <f>IFERROR(__xludf.DUMMYFUNCTION("""COMPUTED_VALUE"""),"PI7631Y")</f>
        <v>PI7631Y</v>
      </c>
      <c r="C58" s="186"/>
      <c r="D58" s="186" t="str">
        <f>IFERROR(__xludf.DUMMYFUNCTION("""COMPUTED_VALUE"""),"FALSO")</f>
        <v>FALSO</v>
      </c>
    </row>
    <row r="59">
      <c r="B59" s="186" t="str">
        <f>IFERROR(__xludf.DUMMYFUNCTION("""COMPUTED_VALUE"""),"PI7648Y")</f>
        <v>PI7648Y</v>
      </c>
      <c r="C59" s="186"/>
      <c r="D59" s="186" t="str">
        <f>IFERROR(__xludf.DUMMYFUNCTION("""COMPUTED_VALUE"""),"FALSO")</f>
        <v>FALSO</v>
      </c>
    </row>
    <row r="60">
      <c r="B60" s="186" t="str">
        <f>IFERROR(__xludf.DUMMYFUNCTION("""COMPUTED_VALUE"""),"PI7649Y")</f>
        <v>PI7649Y</v>
      </c>
      <c r="C60" s="186"/>
      <c r="D60" s="186" t="str">
        <f>IFERROR(__xludf.DUMMYFUNCTION("""COMPUTED_VALUE"""),"FALSO")</f>
        <v>FALSO</v>
      </c>
    </row>
    <row r="61">
      <c r="B61" s="186" t="str">
        <f>IFERROR(__xludf.DUMMYFUNCTION("""COMPUTED_VALUE"""),"PI7455Y")</f>
        <v>PI7455Y</v>
      </c>
      <c r="C61" s="186"/>
      <c r="D61" s="186" t="str">
        <f>IFERROR(__xludf.DUMMYFUNCTION("""COMPUTED_VALUE"""),"FALSO")</f>
        <v>FALSO</v>
      </c>
    </row>
    <row r="62">
      <c r="B62" s="186" t="str">
        <f>IFERROR(__xludf.DUMMYFUNCTION("""COMPUTED_VALUE"""),"PI7456Y")</f>
        <v>PI7456Y</v>
      </c>
      <c r="C62" s="186"/>
      <c r="D62" s="186" t="str">
        <f>IFERROR(__xludf.DUMMYFUNCTION("""COMPUTED_VALUE"""),"FALSO")</f>
        <v>FALSO</v>
      </c>
    </row>
    <row r="63">
      <c r="B63" s="186" t="str">
        <f>IFERROR(__xludf.DUMMYFUNCTION("""COMPUTED_VALUE"""),"PI6922Y")</f>
        <v>PI6922Y</v>
      </c>
      <c r="C63" s="186" t="str">
        <f>IFERROR(__xludf.DUMMYFUNCTION("""COMPUTED_VALUE"""),"CANECA AMARGUINHOS DAQUI PRA FRENTE")</f>
        <v>CANECA AMARGUINHOS DAQUI PRA FRENTE</v>
      </c>
      <c r="D63" s="186" t="str">
        <f>IFERROR(__xludf.DUMMYFUNCTION("""COMPUTED_VALUE"""),"FALSO")</f>
        <v>FALSO</v>
      </c>
    </row>
    <row r="64">
      <c r="B64" s="186" t="str">
        <f>IFERROR(__xludf.DUMMYFUNCTION("""COMPUTED_VALUE"""),"PI7175Y")</f>
        <v>PI7175Y</v>
      </c>
      <c r="C64" s="186" t="str">
        <f>IFERROR(__xludf.DUMMYFUNCTION("""COMPUTED_VALUE"""),"CANECA AMARGUINHOS JA ME ARREPENDI")</f>
        <v>CANECA AMARGUINHOS JA ME ARREPENDI</v>
      </c>
      <c r="D64" s="186" t="str">
        <f>IFERROR(__xludf.DUMMYFUNCTION("""COMPUTED_VALUE"""),"FALSO")</f>
        <v>FALSO</v>
      </c>
    </row>
    <row r="65">
      <c r="B65" s="186" t="str">
        <f>IFERROR(__xludf.DUMMYFUNCTION("""COMPUTED_VALUE"""),"PI6923Y")</f>
        <v>PI6923Y</v>
      </c>
      <c r="C65" s="186" t="str">
        <f>IFERROR(__xludf.DUMMYFUNCTION("""COMPUTED_VALUE"""),"CANECA AMARGUINHOS ESTOU OCUPADO AGORA")</f>
        <v>CANECA AMARGUINHOS ESTOU OCUPADO AGORA</v>
      </c>
      <c r="D65" s="186" t="str">
        <f>IFERROR(__xludf.DUMMYFUNCTION("""COMPUTED_VALUE"""),"FALSO")</f>
        <v>FALSO</v>
      </c>
    </row>
    <row r="66">
      <c r="B66" s="186" t="str">
        <f>IFERROR(__xludf.DUMMYFUNCTION("""COMPUTED_VALUE"""),"PI6925Y")</f>
        <v>PI6925Y</v>
      </c>
      <c r="C66" s="186" t="str">
        <f>IFERROR(__xludf.DUMMYFUNCTION("""COMPUTED_VALUE"""),"CANECA AMARGUINHOS PODENDO ME POUPAR")</f>
        <v>CANECA AMARGUINHOS PODENDO ME POUPAR</v>
      </c>
      <c r="D66" s="186" t="str">
        <f>IFERROR(__xludf.DUMMYFUNCTION("""COMPUTED_VALUE"""),"FALSO")</f>
        <v>FALSO</v>
      </c>
    </row>
    <row r="67">
      <c r="B67" s="186" t="str">
        <f>IFERROR(__xludf.DUMMYFUNCTION("""COMPUTED_VALUE"""),"PI6921Y")</f>
        <v>PI6921Y</v>
      </c>
      <c r="C67" s="186" t="str">
        <f>IFERROR(__xludf.DUMMYFUNCTION("""COMPUTED_VALUE"""),"CANECA AMARGUINHOS NO COMECO TAVA RUIM")</f>
        <v>CANECA AMARGUINHOS NO COMECO TAVA RUIM</v>
      </c>
      <c r="D67" s="186" t="str">
        <f>IFERROR(__xludf.DUMMYFUNCTION("""COMPUTED_VALUE"""),"FALSO")</f>
        <v>FALSO</v>
      </c>
    </row>
    <row r="68">
      <c r="B68" s="186" t="str">
        <f>IFERROR(__xludf.DUMMYFUNCTION("""COMPUTED_VALUE"""),"PI6904Y")</f>
        <v>PI6904Y</v>
      </c>
      <c r="C68" s="186" t="str">
        <f>IFERROR(__xludf.DUMMYFUNCTION("""COMPUTED_VALUE"""),"CANECA AMARGUINHOS ACHEI OFENSIVO")</f>
        <v>CANECA AMARGUINHOS ACHEI OFENSIVO</v>
      </c>
      <c r="D68" s="186" t="str">
        <f>IFERROR(__xludf.DUMMYFUNCTION("""COMPUTED_VALUE"""),"FALSO")</f>
        <v>FALSO</v>
      </c>
    </row>
    <row r="69">
      <c r="B69" s="186" t="str">
        <f>IFERROR(__xludf.DUMMYFUNCTION("""COMPUTED_VALUE"""),"PI6907Y")</f>
        <v>PI6907Y</v>
      </c>
      <c r="C69" s="186" t="str">
        <f>IFERROR(__xludf.DUMMYFUNCTION("""COMPUTED_VALUE"""),"CANECA AMARGUINHOS QUERIA SURTAR")</f>
        <v>CANECA AMARGUINHOS QUERIA SURTAR</v>
      </c>
      <c r="D69" s="186" t="str">
        <f>IFERROR(__xludf.DUMMYFUNCTION("""COMPUTED_VALUE"""),"FALSO")</f>
        <v>FALSO</v>
      </c>
    </row>
    <row r="70">
      <c r="B70" s="186" t="str">
        <f>IFERROR(__xludf.DUMMYFUNCTION("""COMPUTED_VALUE"""),"PI6926Y")</f>
        <v>PI6926Y</v>
      </c>
      <c r="C70" s="186" t="str">
        <f>IFERROR(__xludf.DUMMYFUNCTION("""COMPUTED_VALUE"""),"CANECA AMARGUINHOS ALGARISMOS ROMANOS")</f>
        <v>CANECA AMARGUINHOS ALGARISMOS ROMANOS</v>
      </c>
      <c r="D70" s="186" t="str">
        <f>IFERROR(__xludf.DUMMYFUNCTION("""COMPUTED_VALUE"""),"FALSO")</f>
        <v>FALSO</v>
      </c>
    </row>
    <row r="71">
      <c r="B71" s="186" t="str">
        <f>IFERROR(__xludf.DUMMYFUNCTION("""COMPUTED_VALUE"""),"PI6924Y")</f>
        <v>PI6924Y</v>
      </c>
      <c r="C71" s="186" t="str">
        <f>IFERROR(__xludf.DUMMYFUNCTION("""COMPUTED_VALUE"""),"CANECA AMARGUINHOS OPINIAO FOR PIZZA")</f>
        <v>CANECA AMARGUINHOS OPINIAO FOR PIZZA</v>
      </c>
      <c r="D71" s="186" t="str">
        <f>IFERROR(__xludf.DUMMYFUNCTION("""COMPUTED_VALUE"""),"FALSO")</f>
        <v>FALSO</v>
      </c>
    </row>
    <row r="72">
      <c r="B72" s="186" t="str">
        <f>IFERROR(__xludf.DUMMYFUNCTION("""COMPUTED_VALUE"""),"PI6928Y")</f>
        <v>PI6928Y</v>
      </c>
      <c r="C72" s="186" t="str">
        <f>IFERROR(__xludf.DUMMYFUNCTION("""COMPUTED_VALUE"""),"CANECA AMARGUINHOS O ERRADO E VOCE")</f>
        <v>CANECA AMARGUINHOS O ERRADO E VOCE</v>
      </c>
      <c r="D72" s="186" t="str">
        <f>IFERROR(__xludf.DUMMYFUNCTION("""COMPUTED_VALUE"""),"FALSO")</f>
        <v>FALSO</v>
      </c>
    </row>
    <row r="73">
      <c r="B73" s="186" t="str">
        <f>IFERROR(__xludf.DUMMYFUNCTION("""COMPUTED_VALUE"""),"PI6467Y")</f>
        <v>PI6467Y</v>
      </c>
      <c r="C73" s="186" t="str">
        <f>IFERROR(__xludf.DUMMYFUNCTION("""COMPUTED_VALUE"""),"KIT CHURRASCO AVENTAL NO PONTO CERTO")</f>
        <v>KIT CHURRASCO AVENTAL NO PONTO CERTO</v>
      </c>
      <c r="D73" s="186" t="str">
        <f>IFERROR(__xludf.DUMMYFUNCTION("""COMPUTED_VALUE"""),"FALSO")</f>
        <v>FALSO</v>
      </c>
    </row>
    <row r="74">
      <c r="B74" s="186" t="str">
        <f>IFERROR(__xludf.DUMMYFUNCTION("""COMPUTED_VALUE"""),"PI7464Y")</f>
        <v>PI7464Y</v>
      </c>
      <c r="C74" s="186"/>
      <c r="D74" s="186" t="str">
        <f>IFERROR(__xludf.DUMMYFUNCTION("""COMPUTED_VALUE"""),"FALSO")</f>
        <v>FALSO</v>
      </c>
    </row>
    <row r="75">
      <c r="B75" s="186" t="str">
        <f>IFERROR(__xludf.DUMMYFUNCTION("""COMPUTED_VALUE"""),"PI5805Y")</f>
        <v>PI5805Y</v>
      </c>
      <c r="C75" s="186"/>
      <c r="D75" s="186" t="str">
        <f>IFERROR(__xludf.DUMMYFUNCTION("""COMPUTED_VALUE"""),"FALSO")</f>
        <v>FALSO</v>
      </c>
    </row>
    <row r="76">
      <c r="B76" s="186" t="str">
        <f>IFERROR(__xludf.DUMMYFUNCTION("""COMPUTED_VALUE"""),"PI4669Y")</f>
        <v>PI4669Y</v>
      </c>
      <c r="C76" s="186" t="str">
        <f>IFERROR(__xludf.DUMMYFUNCTION("""COMPUTED_VALUE"""),"AROMATIZADOR E UMIDIFICADOR NO AR")</f>
        <v>AROMATIZADOR E UMIDIFICADOR NO AR</v>
      </c>
      <c r="D76" s="186" t="str">
        <f>IFERROR(__xludf.DUMMYFUNCTION("""COMPUTED_VALUE"""),"INMETRO SCHOOL ARTICLES SYSTEM 5 - ORDINANCE 481")</f>
        <v>INMETRO SCHOOL ARTICLES SYSTEM 5 - ORDINANCE 481</v>
      </c>
    </row>
    <row r="77">
      <c r="B77" s="186" t="str">
        <f>IFERROR(__xludf.DUMMYFUNCTION("""COMPUTED_VALUE"""),"PI5903Y")</f>
        <v>PI5903Y</v>
      </c>
      <c r="C77" s="186"/>
      <c r="D77" s="186" t="str">
        <f>IFERROR(__xludf.DUMMYFUNCTION("""COMPUTED_VALUE"""),"FALSO")</f>
        <v>FALSO</v>
      </c>
    </row>
    <row r="78">
      <c r="B78" s="186" t="str">
        <f>IFERROR(__xludf.DUMMYFUNCTION("""COMPUTED_VALUE"""),"CS2073")</f>
        <v>CS2073</v>
      </c>
      <c r="C78" s="186"/>
      <c r="D78" s="186" t="str">
        <f>IFERROR(__xludf.DUMMYFUNCTION("""COMPUTED_VALUE"""),"FALSO")</f>
        <v>FALSO</v>
      </c>
    </row>
    <row r="79">
      <c r="B79" s="186" t="str">
        <f>IFERROR(__xludf.DUMMYFUNCTION("""COMPUTED_VALUE"""),"CS2257")</f>
        <v>CS2257</v>
      </c>
      <c r="C79" s="186"/>
      <c r="D79" s="186" t="str">
        <f>IFERROR(__xludf.DUMMYFUNCTION("""COMPUTED_VALUE"""),"FALSO")</f>
        <v>FALSO</v>
      </c>
    </row>
    <row r="80">
      <c r="B80" s="186" t="str">
        <f>IFERROR(__xludf.DUMMYFUNCTION("""COMPUTED_VALUE"""),"PI1746Y")</f>
        <v>PI1746Y</v>
      </c>
      <c r="C80" s="186" t="str">
        <f>IFERROR(__xludf.DUMMYFUNCTION("""COMPUTED_VALUE"""),"PORTA RETRATO REGISTRO MAO DE BEBE")</f>
        <v>PORTA RETRATO REGISTRO MAO DE BEBE</v>
      </c>
      <c r="D80" s="186" t="str">
        <f>IFERROR(__xludf.DUMMYFUNCTION("""COMPUTED_VALUE"""),"FALSO")</f>
        <v>FALSO</v>
      </c>
    </row>
    <row r="81">
      <c r="B81" s="186" t="str">
        <f>IFERROR(__xludf.DUMMYFUNCTION("""COMPUTED_VALUE"""),"PI1746Y")</f>
        <v>PI1746Y</v>
      </c>
      <c r="C81" s="186" t="str">
        <f>IFERROR(__xludf.DUMMYFUNCTION("""COMPUTED_VALUE"""),"PORTA RETRARO MÃO DE BEBE")</f>
        <v>PORTA RETRARO MÃO DE BEBE</v>
      </c>
      <c r="D81" s="186" t="str">
        <f>IFERROR(__xludf.DUMMYFUNCTION("""COMPUTED_VALUE"""),"FALSO")</f>
        <v>FALSO</v>
      </c>
    </row>
    <row r="82">
      <c r="B82" s="186" t="str">
        <f>IFERROR(__xludf.DUMMYFUNCTION("""COMPUTED_VALUE"""),"PI6468Y")</f>
        <v>PI6468Y</v>
      </c>
      <c r="C82" s="186" t="str">
        <f>IFERROR(__xludf.DUMMYFUNCTION("""COMPUTED_VALUE"""),"MOCHILA LAPTOP TODO DIA PRETO E CARAMELO")</f>
        <v>MOCHILA LAPTOP TODO DIA PRETO E CARAMELO</v>
      </c>
      <c r="D82" s="186" t="str">
        <f>IFERROR(__xludf.DUMMYFUNCTION("""COMPUTED_VALUE"""),"FALSO")</f>
        <v>FALSO</v>
      </c>
    </row>
    <row r="83">
      <c r="B83" s="186" t="str">
        <f>IFERROR(__xludf.DUMMYFUNCTION("""COMPUTED_VALUE"""),"PI5016Y")</f>
        <v>PI5016Y</v>
      </c>
      <c r="C83" s="186"/>
      <c r="D83" s="186" t="str">
        <f>IFERROR(__xludf.DUMMYFUNCTION("""COMPUTED_VALUE"""),"FALSO")</f>
        <v>FALSO</v>
      </c>
    </row>
    <row r="84">
      <c r="B84" s="186" t="str">
        <f>IFERROR(__xludf.DUMMYFUNCTION("""COMPUTED_VALUE"""),"PI5013Y")</f>
        <v>PI5013Y</v>
      </c>
      <c r="C84" s="186"/>
      <c r="D84" s="186" t="str">
        <f>IFERROR(__xludf.DUMMYFUNCTION("""COMPUTED_VALUE"""),"FALSO")</f>
        <v>FALSO</v>
      </c>
    </row>
    <row r="85">
      <c r="B85" s="186" t="str">
        <f>IFERROR(__xludf.DUMMYFUNCTION("""COMPUTED_VALUE"""),"PI7371")</f>
        <v>PI7371</v>
      </c>
      <c r="C85" s="186"/>
      <c r="D85" s="186" t="str">
        <f>IFERROR(__xludf.DUMMYFUNCTION("""COMPUTED_VALUE"""),"FALSO")</f>
        <v>FALSO</v>
      </c>
    </row>
    <row r="86">
      <c r="B86" s="186" t="str">
        <f>IFERROR(__xludf.DUMMYFUNCTION("""COMPUTED_VALUE"""),"PI7367Y")</f>
        <v>PI7367Y</v>
      </c>
      <c r="C86" s="186"/>
      <c r="D86" s="186" t="str">
        <f>IFERROR(__xludf.DUMMYFUNCTION("""COMPUTED_VALUE"""),"FALSO")</f>
        <v>FALSO</v>
      </c>
    </row>
    <row r="87">
      <c r="B87" s="186" t="str">
        <f>IFERROR(__xludf.DUMMYFUNCTION("""COMPUTED_VALUE"""),"PI7368Y")</f>
        <v>PI7368Y</v>
      </c>
      <c r="C87" s="186"/>
      <c r="D87" s="186" t="str">
        <f>IFERROR(__xludf.DUMMYFUNCTION("""COMPUTED_VALUE"""),"FALSO")</f>
        <v>FALSO</v>
      </c>
    </row>
    <row r="88">
      <c r="B88" s="186" t="str">
        <f>IFERROR(__xludf.DUMMYFUNCTION("""COMPUTED_VALUE"""),"PI7372")</f>
        <v>PI7372</v>
      </c>
      <c r="C88" s="186"/>
      <c r="D88" s="186" t="str">
        <f>IFERROR(__xludf.DUMMYFUNCTION("""COMPUTED_VALUE"""),"FALSO")</f>
        <v>FALSO</v>
      </c>
    </row>
    <row r="89">
      <c r="B89" s="186" t="str">
        <f>IFERROR(__xludf.DUMMYFUNCTION("""COMPUTED_VALUE"""),"PI7369Y")</f>
        <v>PI7369Y</v>
      </c>
      <c r="C89" s="186"/>
      <c r="D89" s="186" t="str">
        <f>IFERROR(__xludf.DUMMYFUNCTION("""COMPUTED_VALUE"""),"FALSO")</f>
        <v>FALSO</v>
      </c>
    </row>
    <row r="90">
      <c r="B90" s="186" t="str">
        <f>IFERROR(__xludf.DUMMYFUNCTION("""COMPUTED_VALUE"""),"PI7373")</f>
        <v>PI7373</v>
      </c>
      <c r="C90" s="186"/>
      <c r="D90" s="186" t="str">
        <f>IFERROR(__xludf.DUMMYFUNCTION("""COMPUTED_VALUE"""),"FALSO")</f>
        <v>FALSO</v>
      </c>
    </row>
    <row r="91">
      <c r="B91" s="186" t="str">
        <f>IFERROR(__xludf.DUMMYFUNCTION("""COMPUTED_VALUE"""),"PI6871Y")</f>
        <v>PI6871Y</v>
      </c>
      <c r="C91" s="186"/>
      <c r="D91" s="186" t="str">
        <f>IFERROR(__xludf.DUMMYFUNCTION("""COMPUTED_VALUE"""),"FALSO")</f>
        <v>FALSO</v>
      </c>
    </row>
    <row r="92">
      <c r="B92" s="186" t="str">
        <f>IFERROR(__xludf.DUMMYFUNCTION("""COMPUTED_VALUE"""),"CS2223")</f>
        <v>CS2223</v>
      </c>
      <c r="C92" s="186"/>
      <c r="D92" s="186" t="str">
        <f>IFERROR(__xludf.DUMMYFUNCTION("""COMPUTED_VALUE"""),"FALSO")</f>
        <v>FALSO</v>
      </c>
    </row>
    <row r="93">
      <c r="B93" s="186" t="str">
        <f>IFERROR(__xludf.DUMMYFUNCTION("""COMPUTED_VALUE"""),"CS2224")</f>
        <v>CS2224</v>
      </c>
      <c r="C93" s="186"/>
      <c r="D93" s="186" t="str">
        <f>IFERROR(__xludf.DUMMYFUNCTION("""COMPUTED_VALUE"""),"FALSO")</f>
        <v>FALSO</v>
      </c>
    </row>
    <row r="94">
      <c r="B94" s="186" t="str">
        <f>IFERROR(__xludf.DUMMYFUNCTION("""COMPUTED_VALUE"""),"CS2225")</f>
        <v>CS2225</v>
      </c>
      <c r="C94" s="186"/>
      <c r="D94" s="186" t="str">
        <f>IFERROR(__xludf.DUMMYFUNCTION("""COMPUTED_VALUE"""),"FALSO")</f>
        <v>FALSO</v>
      </c>
    </row>
    <row r="95">
      <c r="B95" s="186" t="str">
        <f>IFERROR(__xludf.DUMMYFUNCTION("""COMPUTED_VALUE"""),"US0068")</f>
        <v>US0068</v>
      </c>
      <c r="C95" s="186"/>
      <c r="D95" s="186" t="str">
        <f>IFERROR(__xludf.DUMMYFUNCTION("""COMPUTED_VALUE"""),"FALSO")</f>
        <v>FALSO</v>
      </c>
    </row>
    <row r="96">
      <c r="B96" s="186" t="str">
        <f>IFERROR(__xludf.DUMMYFUNCTION("""COMPUTED_VALUE"""),"US0068")</f>
        <v>US0068</v>
      </c>
      <c r="C96" s="186"/>
      <c r="D96" s="186" t="str">
        <f>IFERROR(__xludf.DUMMYFUNCTION("""COMPUTED_VALUE"""),"FALSO")</f>
        <v>FALSO</v>
      </c>
    </row>
    <row r="97">
      <c r="B97" s="186" t="str">
        <f>IFERROR(__xludf.DUMMYFUNCTION("""COMPUTED_VALUE"""),"PI7972Y")</f>
        <v>PI7972Y</v>
      </c>
      <c r="C97" s="186"/>
      <c r="D97" s="186" t="str">
        <f>IFERROR(__xludf.DUMMYFUNCTION("""COMPUTED_VALUE"""),"FALSO")</f>
        <v>FALSO</v>
      </c>
    </row>
    <row r="98">
      <c r="B98" s="186" t="str">
        <f>IFERROR(__xludf.DUMMYFUNCTION("""COMPUTED_VALUE"""),"PI6694Y")</f>
        <v>PI6694Y</v>
      </c>
      <c r="C98" s="186"/>
      <c r="D98" s="186" t="str">
        <f>IFERROR(__xludf.DUMMYFUNCTION("""COMPUTED_VALUE"""),"FALSO")</f>
        <v>FALSO</v>
      </c>
    </row>
    <row r="99">
      <c r="B99" s="186" t="str">
        <f>IFERROR(__xludf.DUMMYFUNCTION("""COMPUTED_VALUE"""),"GE0108")</f>
        <v>GE0108</v>
      </c>
      <c r="C99" s="186"/>
      <c r="D99" s="186" t="str">
        <f>IFERROR(__xludf.DUMMYFUNCTION("""COMPUTED_VALUE"""),"FALSO")</f>
        <v>FALSO</v>
      </c>
    </row>
    <row r="100">
      <c r="B100" s="186" t="str">
        <f>IFERROR(__xludf.DUMMYFUNCTION("""COMPUTED_VALUE"""),"PI7434Y")</f>
        <v>PI7434Y</v>
      </c>
      <c r="C100" s="186"/>
      <c r="D100" s="186" t="str">
        <f>IFERROR(__xludf.DUMMYFUNCTION("""COMPUTED_VALUE"""),"FALSO")</f>
        <v>FALSO</v>
      </c>
    </row>
    <row r="101">
      <c r="B101" s="186" t="str">
        <f>IFERROR(__xludf.DUMMYFUNCTION("""COMPUTED_VALUE"""),"PI7058Y")</f>
        <v>PI7058Y</v>
      </c>
      <c r="C101" s="186"/>
      <c r="D101" s="186" t="str">
        <f>IFERROR(__xludf.DUMMYFUNCTION("""COMPUTED_VALUE"""),"FALSO")</f>
        <v>FALSO</v>
      </c>
    </row>
    <row r="102">
      <c r="B102" s="186" t="str">
        <f>IFERROR(__xludf.DUMMYFUNCTION("""COMPUTED_VALUE"""),"PI6299Y")</f>
        <v>PI6299Y</v>
      </c>
      <c r="C102" s="186"/>
      <c r="D102" s="186" t="str">
        <f>IFERROR(__xludf.DUMMYFUNCTION("""COMPUTED_VALUE"""),"FALSO")</f>
        <v>FALSO</v>
      </c>
    </row>
    <row r="103">
      <c r="B103" s="186" t="str">
        <f>IFERROR(__xludf.DUMMYFUNCTION("""COMPUTED_VALUE"""),"PI6282Y")</f>
        <v>PI6282Y</v>
      </c>
      <c r="C103" s="186"/>
      <c r="D103" s="186" t="str">
        <f>IFERROR(__xludf.DUMMYFUNCTION("""COMPUTED_VALUE"""),"FALSO")</f>
        <v>FALSO</v>
      </c>
    </row>
    <row r="104">
      <c r="B104" s="186" t="str">
        <f>IFERROR(__xludf.DUMMYFUNCTION("""COMPUTED_VALUE"""),"PI5010Y")</f>
        <v>PI5010Y</v>
      </c>
      <c r="C104" s="186"/>
      <c r="D104" s="186" t="str">
        <f>IFERROR(__xludf.DUMMYFUNCTION("""COMPUTED_VALUE"""),"FALSO")</f>
        <v>FALSO</v>
      </c>
    </row>
    <row r="105">
      <c r="B105" s="186" t="str">
        <f>IFERROR(__xludf.DUMMYFUNCTION("""COMPUTED_VALUE"""),"PI5574Y")</f>
        <v>PI5574Y</v>
      </c>
      <c r="C105" s="186"/>
      <c r="D105" s="186" t="str">
        <f>IFERROR(__xludf.DUMMYFUNCTION("""COMPUTED_VALUE"""),"INMETRO Toys System 5 - Ordinance 302")</f>
        <v>INMETRO Toys System 5 - Ordinance 302</v>
      </c>
    </row>
    <row r="106">
      <c r="B106" s="186" t="str">
        <f>IFERROR(__xludf.DUMMYFUNCTION("""COMPUTED_VALUE"""),"PI7097Y")</f>
        <v>PI7097Y</v>
      </c>
      <c r="C106" s="186"/>
      <c r="D106" s="186" t="str">
        <f>IFERROR(__xludf.DUMMYFUNCTION("""COMPUTED_VALUE"""),"FALSO")</f>
        <v>FALSO</v>
      </c>
    </row>
    <row r="107">
      <c r="B107" s="186" t="str">
        <f>IFERROR(__xludf.DUMMYFUNCTION("""COMPUTED_VALUE"""),"PI4280Y")</f>
        <v>PI4280Y</v>
      </c>
      <c r="C107" s="186" t="str">
        <f>IFERROR(__xludf.DUMMYFUNCTION("""COMPUTED_VALUE"""),"CANECO CONGELAVEL BOM ENTENDEDOR")</f>
        <v>CANECO CONGELAVEL BOM ENTENDEDOR</v>
      </c>
      <c r="D107" s="186" t="str">
        <f>IFERROR(__xludf.DUMMYFUNCTION("""COMPUTED_VALUE"""),"FALSO")</f>
        <v>FALSO</v>
      </c>
    </row>
    <row r="108">
      <c r="B108" s="186" t="str">
        <f>IFERROR(__xludf.DUMMYFUNCTION("""COMPUTED_VALUE"""),"PI4280Y")</f>
        <v>PI4280Y</v>
      </c>
      <c r="C108" s="186" t="str">
        <f>IFERROR(__xludf.DUMMYFUNCTION("""COMPUTED_VALUE"""),"CANECO CONGELAVEL BOM ENTENDEDOR")</f>
        <v>CANECO CONGELAVEL BOM ENTENDEDOR</v>
      </c>
      <c r="D108" s="186" t="str">
        <f>IFERROR(__xludf.DUMMYFUNCTION("""COMPUTED_VALUE"""),"FALSO")</f>
        <v>FALSO</v>
      </c>
    </row>
    <row r="109">
      <c r="B109" s="186" t="str">
        <f>IFERROR(__xludf.DUMMYFUNCTION("""COMPUTED_VALUE"""),"PI7831Y")</f>
        <v>PI7831Y</v>
      </c>
      <c r="C109" s="186"/>
      <c r="D109" s="186" t="str">
        <f>IFERROR(__xludf.DUMMYFUNCTION("""COMPUTED_VALUE"""),"FALSO")</f>
        <v>FALSO</v>
      </c>
    </row>
    <row r="110">
      <c r="B110" s="186" t="str">
        <f>IFERROR(__xludf.DUMMYFUNCTION("""COMPUTED_VALUE"""),"PI5313Y")</f>
        <v>PI5313Y</v>
      </c>
      <c r="C110" s="186"/>
      <c r="D110" s="186" t="str">
        <f>IFERROR(__xludf.DUMMYFUNCTION("""COMPUTED_VALUE"""),"FALSO")</f>
        <v>FALSO</v>
      </c>
    </row>
    <row r="111">
      <c r="B111" s="186" t="str">
        <f>IFERROR(__xludf.DUMMYFUNCTION("""COMPUTED_VALUE"""),"PI6354")</f>
        <v>PI6354</v>
      </c>
      <c r="C111" s="186"/>
      <c r="D111" s="186" t="str">
        <f>IFERROR(__xludf.DUMMYFUNCTION("""COMPUTED_VALUE"""),"FALSO")</f>
        <v>FALSO</v>
      </c>
    </row>
    <row r="112">
      <c r="B112" s="186" t="str">
        <f>IFERROR(__xludf.DUMMYFUNCTION("""COMPUTED_VALUE"""),"PI7696Y")</f>
        <v>PI7696Y</v>
      </c>
      <c r="C112" s="186"/>
      <c r="D112" s="186" t="str">
        <f>IFERROR(__xludf.DUMMYFUNCTION("""COMPUTED_VALUE"""),"FALSO")</f>
        <v>FALSO</v>
      </c>
    </row>
    <row r="113">
      <c r="B113" s="186" t="str">
        <f>IFERROR(__xludf.DUMMYFUNCTION("""COMPUTED_VALUE"""),"PI5861Y")</f>
        <v>PI5861Y</v>
      </c>
      <c r="C113" s="186"/>
      <c r="D113" s="186" t="str">
        <f>IFERROR(__xludf.DUMMYFUNCTION("""COMPUTED_VALUE"""),"FALSO")</f>
        <v>FALSO</v>
      </c>
    </row>
    <row r="114">
      <c r="B114" s="186" t="str">
        <f>IFERROR(__xludf.DUMMYFUNCTION("""COMPUTED_VALUE"""),"PI6171Y")</f>
        <v>PI6171Y</v>
      </c>
      <c r="C114" s="186"/>
      <c r="D114" s="186" t="str">
        <f>IFERROR(__xludf.DUMMYFUNCTION("""COMPUTED_VALUE"""),"FALSO")</f>
        <v>FALSO</v>
      </c>
    </row>
    <row r="115">
      <c r="B115" s="186" t="str">
        <f>IFERROR(__xludf.DUMMYFUNCTION("""COMPUTED_VALUE"""),"PI6041Y")</f>
        <v>PI6041Y</v>
      </c>
      <c r="C115" s="186" t="str">
        <f>IFERROR(__xludf.DUMMYFUNCTION("""COMPUTED_VALUE"""),"BINGO KIT DE JOGO GOL")</f>
        <v>BINGO KIT DE JOGO GOL</v>
      </c>
      <c r="D115" s="186" t="str">
        <f>IFERROR(__xludf.DUMMYFUNCTION("""COMPUTED_VALUE"""),"INMETRO Toys System 5 - Ordinance 302")</f>
        <v>INMETRO Toys System 5 - Ordinance 302</v>
      </c>
    </row>
    <row r="116">
      <c r="B116" s="186" t="str">
        <f>IFERROR(__xludf.DUMMYFUNCTION("""COMPUTED_VALUE"""),"PI5956Y")</f>
        <v>PI5956Y</v>
      </c>
      <c r="C116" s="186"/>
      <c r="D116" s="186" t="str">
        <f>IFERROR(__xludf.DUMMYFUNCTION("""COMPUTED_VALUE"""),"FALSO")</f>
        <v>FALSO</v>
      </c>
    </row>
    <row r="117">
      <c r="B117" s="186" t="str">
        <f>IFERROR(__xludf.DUMMYFUNCTION("""COMPUTED_VALUE"""),"PI6813Y")</f>
        <v>PI6813Y</v>
      </c>
      <c r="C117" s="186"/>
      <c r="D117" s="186" t="str">
        <f>IFERROR(__xludf.DUMMYFUNCTION("""COMPUTED_VALUE"""),"FALSO")</f>
        <v>FALSO</v>
      </c>
    </row>
    <row r="118">
      <c r="B118" s="186" t="str">
        <f>IFERROR(__xludf.DUMMYFUNCTION("""COMPUTED_VALUE"""),"PI5907Y")</f>
        <v>PI5907Y</v>
      </c>
      <c r="C118" s="186"/>
      <c r="D118" s="186" t="str">
        <f>IFERROR(__xludf.DUMMYFUNCTION("""COMPUTED_VALUE"""),"INMETRO Toys System 5 - Ordinance 302")</f>
        <v>INMETRO Toys System 5 - Ordinance 302</v>
      </c>
    </row>
    <row r="119">
      <c r="B119" s="186" t="str">
        <f>IFERROR(__xludf.DUMMYFUNCTION("""COMPUTED_VALUE"""),"PI5907Y")</f>
        <v>PI5907Y</v>
      </c>
      <c r="C119" s="186"/>
      <c r="D119" s="186" t="str">
        <f>IFERROR(__xludf.DUMMYFUNCTION("""COMPUTED_VALUE"""),"INMETRO Toys System 5 - Ordinance 302")</f>
        <v>INMETRO Toys System 5 - Ordinance 302</v>
      </c>
    </row>
    <row r="120">
      <c r="B120" s="186" t="str">
        <f>IFERROR(__xludf.DUMMYFUNCTION("""COMPUTED_VALUE"""),"PI6366Y")</f>
        <v>PI6366Y</v>
      </c>
      <c r="C120" s="186" t="str">
        <f>IFERROR(__xludf.DUMMYFUNCTION("""COMPUTED_VALUE"""),"CANECA AMARGUINHOS FOFOCA")</f>
        <v>CANECA AMARGUINHOS FOFOCA</v>
      </c>
      <c r="D120" s="186" t="str">
        <f>IFERROR(__xludf.DUMMYFUNCTION("""COMPUTED_VALUE"""),"FALSO")</f>
        <v>FALSO</v>
      </c>
    </row>
    <row r="121">
      <c r="B121" s="186" t="str">
        <f>IFERROR(__xludf.DUMMYFUNCTION("""COMPUTED_VALUE"""),"PI6364Y")</f>
        <v>PI6364Y</v>
      </c>
      <c r="C121" s="186" t="str">
        <f>IFERROR(__xludf.DUMMYFUNCTION("""COMPUTED_VALUE"""),"CANECA AMARGUINHOS SE PRECISAREM DE MIM")</f>
        <v>CANECA AMARGUINHOS SE PRECISAREM DE MIM</v>
      </c>
      <c r="D121" s="186" t="str">
        <f>IFERROR(__xludf.DUMMYFUNCTION("""COMPUTED_VALUE"""),"FALSO")</f>
        <v>FALSO</v>
      </c>
    </row>
    <row r="122">
      <c r="B122" s="186" t="str">
        <f>IFERROR(__xludf.DUMMYFUNCTION("""COMPUTED_VALUE"""),"PI6360Y")</f>
        <v>PI6360Y</v>
      </c>
      <c r="C122" s="186" t="str">
        <f>IFERROR(__xludf.DUMMYFUNCTION("""COMPUTED_VALUE"""),"CANECA AMARGUINHOS AGRADEÇO A OPINIÃO")</f>
        <v>CANECA AMARGUINHOS AGRADEÇO A OPINIÃO</v>
      </c>
      <c r="D122" s="186" t="str">
        <f>IFERROR(__xludf.DUMMYFUNCTION("""COMPUTED_VALUE"""),"FALSO")</f>
        <v>FALSO</v>
      </c>
    </row>
    <row r="123">
      <c r="B123" s="186" t="str">
        <f>IFERROR(__xludf.DUMMYFUNCTION("""COMPUTED_VALUE"""),"PI6790Y")</f>
        <v>PI6790Y</v>
      </c>
      <c r="C123" s="186" t="str">
        <f>IFERROR(__xludf.DUMMYFUNCTION("""COMPUTED_VALUE"""),"PRATO DECORATIVO DE CERAMICA PRETO")</f>
        <v>PRATO DECORATIVO DE CERAMICA PRETO</v>
      </c>
      <c r="D123" s="186" t="str">
        <f>IFERROR(__xludf.DUMMYFUNCTION("""COMPUTED_VALUE"""),"FALSO")</f>
        <v>FALSO</v>
      </c>
    </row>
    <row r="124">
      <c r="B124" s="186" t="str">
        <f>IFERROR(__xludf.DUMMYFUNCTION("""COMPUTED_VALUE"""),"PI7595Y")</f>
        <v>PI7595Y</v>
      </c>
      <c r="C124" s="186" t="str">
        <f>IFERROR(__xludf.DUMMYFUNCTION("""COMPUTED_VALUE"""),"MALETA DE MAQUIAGEM MATELASSE PRETA")</f>
        <v>MALETA DE MAQUIAGEM MATELASSE PRETA</v>
      </c>
      <c r="D124" s="186" t="str">
        <f>IFERROR(__xludf.DUMMYFUNCTION("""COMPUTED_VALUE"""),"FALSO")</f>
        <v>FALSO</v>
      </c>
    </row>
    <row r="125">
      <c r="B125" s="186" t="str">
        <f>IFERROR(__xludf.DUMMYFUNCTION("""COMPUTED_VALUE"""),"PI6772Y")</f>
        <v>PI6772Y</v>
      </c>
      <c r="C125" s="186" t="str">
        <f>IFERROR(__xludf.DUMMYFUNCTION("""COMPUTED_VALUE"""),"CASTICAL DE CERAMICA AZUL COM VELA")</f>
        <v>CASTICAL DE CERAMICA AZUL COM VELA</v>
      </c>
      <c r="D125" s="186" t="str">
        <f>IFERROR(__xludf.DUMMYFUNCTION("""COMPUTED_VALUE"""),"FALSO")</f>
        <v>FALSO</v>
      </c>
    </row>
    <row r="126">
      <c r="B126" s="186" t="str">
        <f>IFERROR(__xludf.DUMMYFUNCTION("""COMPUTED_VALUE"""),"PI7726Y")</f>
        <v>PI7726Y</v>
      </c>
      <c r="C126" s="186" t="str">
        <f>IFERROR(__xludf.DUMMYFUNCTION("""COMPUTED_VALUE"""),"CANETA ASTRONAUTA AZUL")</f>
        <v>CANETA ASTRONAUTA AZUL</v>
      </c>
      <c r="D126" s="186" t="str">
        <f>IFERROR(__xludf.DUMMYFUNCTION("""COMPUTED_VALUE"""),"INMETRO SCHOOL ARTICLES SYSTEM 5 - ORDINANCE 481")</f>
        <v>INMETRO SCHOOL ARTICLES SYSTEM 5 - ORDINANCE 481</v>
      </c>
    </row>
    <row r="127">
      <c r="B127" s="186" t="str">
        <f>IFERROR(__xludf.DUMMYFUNCTION("""COMPUTED_VALUE"""),"PI5234Y")</f>
        <v>PI5234Y</v>
      </c>
      <c r="C127" s="186"/>
      <c r="D127" s="186" t="str">
        <f>IFERROR(__xludf.DUMMYFUNCTION("""COMPUTED_VALUE"""),"Anatel Category 2 - Bluetooth Module")</f>
        <v>Anatel Category 2 - Bluetooth Module</v>
      </c>
    </row>
    <row r="128">
      <c r="B128" s="186" t="str">
        <f>IFERROR(__xludf.DUMMYFUNCTION("""COMPUTED_VALUE"""),"PI5193Y")</f>
        <v>PI5193Y</v>
      </c>
      <c r="C128" s="186" t="str">
        <f>IFERROR(__xludf.DUMMYFUNCTION("""COMPUTED_VALUE"""),"VITROLA DE MALA BLUETOOTH LADO BOM")</f>
        <v>VITROLA DE MALA BLUETOOTH LADO BOM</v>
      </c>
      <c r="D128" s="186" t="str">
        <f>IFERROR(__xludf.DUMMYFUNCTION("""COMPUTED_VALUE"""),"FALSO")</f>
        <v>FALSO</v>
      </c>
    </row>
    <row r="129">
      <c r="B129" s="186" t="str">
        <f>IFERROR(__xludf.DUMMYFUNCTION("""COMPUTED_VALUE"""),"PI6571Y")</f>
        <v>PI6571Y</v>
      </c>
      <c r="C129" s="186" t="str">
        <f>IFERROR(__xludf.DUMMYFUNCTION("""COMPUTED_VALUE"""),"BOB RELAX")</f>
        <v>BOB RELAX</v>
      </c>
      <c r="D129" s="186" t="str">
        <f>IFERROR(__xludf.DUMMYFUNCTION("""COMPUTED_VALUE"""),"FALSO")</f>
        <v>FALSO</v>
      </c>
    </row>
    <row r="130">
      <c r="B130" s="186" t="str">
        <f>IFERROR(__xludf.DUMMYFUNCTION("""COMPUTED_VALUE"""),"PI5463Y")</f>
        <v>PI5463Y</v>
      </c>
      <c r="C130" s="186"/>
      <c r="D130" s="186" t="str">
        <f>IFERROR(__xludf.DUMMYFUNCTION("""COMPUTED_VALUE"""),"FALSO")</f>
        <v>FALSO</v>
      </c>
    </row>
    <row r="131">
      <c r="B131" s="186" t="str">
        <f>IFERROR(__xludf.DUMMYFUNCTION("""COMPUTED_VALUE"""),"CS2482")</f>
        <v>CS2482</v>
      </c>
      <c r="C131" s="186"/>
      <c r="D131" s="186" t="str">
        <f>IFERROR(__xludf.DUMMYFUNCTION("""COMPUTED_VALUE"""),"FALSO")</f>
        <v>FALSO</v>
      </c>
    </row>
    <row r="132">
      <c r="B132" s="186" t="str">
        <f>IFERROR(__xludf.DUMMYFUNCTION("""COMPUTED_VALUE"""),"CS2327")</f>
        <v>CS2327</v>
      </c>
      <c r="C132" s="186"/>
      <c r="D132" s="186" t="str">
        <f>IFERROR(__xludf.DUMMYFUNCTION("""COMPUTED_VALUE"""),"FALSO")</f>
        <v>FALSO</v>
      </c>
    </row>
    <row r="133">
      <c r="B133" s="186" t="str">
        <f>IFERROR(__xludf.DUMMYFUNCTION("""COMPUTED_VALUE"""),"CS2483")</f>
        <v>CS2483</v>
      </c>
      <c r="C133" s="186"/>
      <c r="D133" s="186" t="str">
        <f>IFERROR(__xludf.DUMMYFUNCTION("""COMPUTED_VALUE"""),"FALSO")</f>
        <v>FALSO</v>
      </c>
    </row>
    <row r="134">
      <c r="B134" s="186" t="str">
        <f>IFERROR(__xludf.DUMMYFUNCTION("""COMPUTED_VALUE"""),"PI5308Y")</f>
        <v>PI5308Y</v>
      </c>
      <c r="C134" s="186"/>
      <c r="D134" s="186" t="str">
        <f>IFERROR(__xludf.DUMMYFUNCTION("""COMPUTED_VALUE"""),"Anatel Category 2 - Bluetooth Module")</f>
        <v>Anatel Category 2 - Bluetooth Module</v>
      </c>
    </row>
    <row r="135">
      <c r="B135" s="186" t="str">
        <f>IFERROR(__xludf.DUMMYFUNCTION("""COMPUTED_VALUE"""),"PI5910Y")</f>
        <v>PI5910Y</v>
      </c>
      <c r="C135" s="186"/>
      <c r="D135" s="186" t="str">
        <f>IFERROR(__xludf.DUMMYFUNCTION("""COMPUTED_VALUE"""),"FALSO")</f>
        <v>FALSO</v>
      </c>
    </row>
    <row r="136">
      <c r="B136" s="186" t="str">
        <f>IFERROR(__xludf.DUMMYFUNCTION("""COMPUTED_VALUE"""),"PI5221Y")</f>
        <v>PI5221Y</v>
      </c>
      <c r="C136" s="186" t="str">
        <f>IFERROR(__xludf.DUMMYFUNCTION("""COMPUTED_VALUE"""),"JOGO KIT LIVRO 1 2 3 E JA")</f>
        <v>JOGO KIT LIVRO 1 2 3 E JA</v>
      </c>
      <c r="D136" s="186" t="str">
        <f>IFERROR(__xludf.DUMMYFUNCTION("""COMPUTED_VALUE"""),"FALSO")</f>
        <v>FALSO</v>
      </c>
    </row>
    <row r="137">
      <c r="B137" s="186" t="str">
        <f>IFERROR(__xludf.DUMMYFUNCTION("""COMPUTED_VALUE"""),"PI6683Y")</f>
        <v>PI6683Y</v>
      </c>
      <c r="C137" s="186"/>
      <c r="D137" s="186" t="str">
        <f>IFERROR(__xludf.DUMMYFUNCTION("""COMPUTED_VALUE"""),"FALSO")</f>
        <v>FALSO</v>
      </c>
    </row>
    <row r="138">
      <c r="B138" s="186" t="str">
        <f>IFERROR(__xludf.DUMMYFUNCTION("""COMPUTED_VALUE"""),"PI5654Y")</f>
        <v>PI5654Y</v>
      </c>
      <c r="C138" s="186" t="str">
        <f>IFERROR(__xludf.DUMMYFUNCTION("""COMPUTED_VALUE"""),"ABRIDOR DE CERVEJA OPEN BAR")</f>
        <v>ABRIDOR DE CERVEJA OPEN BAR</v>
      </c>
      <c r="D138" s="186" t="str">
        <f>IFERROR(__xludf.DUMMYFUNCTION("""COMPUTED_VALUE"""),"FALSO")</f>
        <v>FALSO</v>
      </c>
    </row>
    <row r="139">
      <c r="B139" s="186" t="str">
        <f>IFERROR(__xludf.DUMMYFUNCTION("""COMPUTED_VALUE"""),"PI5067Y")</f>
        <v>PI5067Y</v>
      </c>
      <c r="C139" s="186"/>
      <c r="D139" s="186" t="str">
        <f>IFERROR(__xludf.DUMMYFUNCTION("""COMPUTED_VALUE"""),"FALSO")</f>
        <v>FALSO</v>
      </c>
    </row>
    <row r="140">
      <c r="B140" s="186" t="str">
        <f>IFERROR(__xludf.DUMMYFUNCTION("""COMPUTED_VALUE"""),"PI5408Y")</f>
        <v>PI5408Y</v>
      </c>
      <c r="C140" s="186"/>
      <c r="D140" s="186" t="str">
        <f>IFERROR(__xludf.DUMMYFUNCTION("""COMPUTED_VALUE"""),"FALSO")</f>
        <v>FALSO</v>
      </c>
    </row>
    <row r="141">
      <c r="B141" s="186" t="str">
        <f>IFERROR(__xludf.DUMMYFUNCTION("""COMPUTED_VALUE"""),"PI5446Y")</f>
        <v>PI5446Y</v>
      </c>
      <c r="C141" s="186" t="str">
        <f>IFERROR(__xludf.DUMMYFUNCTION("""COMPUTED_VALUE"""),"ABRIDOR GRAVADOR VOZ DA EXPERIENCIA")</f>
        <v>ABRIDOR GRAVADOR VOZ DA EXPERIENCIA</v>
      </c>
      <c r="D141" s="186" t="str">
        <f>IFERROR(__xludf.DUMMYFUNCTION("""COMPUTED_VALUE"""),"FALSO")</f>
        <v>FALSO</v>
      </c>
    </row>
    <row r="142">
      <c r="B142" s="186" t="str">
        <f>IFERROR(__xludf.DUMMYFUNCTION("""COMPUTED_VALUE"""),"PI5447Y")</f>
        <v>PI5447Y</v>
      </c>
      <c r="C142" s="186"/>
      <c r="D142" s="186" t="str">
        <f>IFERROR(__xludf.DUMMYFUNCTION("""COMPUTED_VALUE"""),"FALSO")</f>
        <v>FALSO</v>
      </c>
    </row>
    <row r="143">
      <c r="B143" s="186" t="str">
        <f>IFERROR(__xludf.DUMMYFUNCTION("""COMPUTED_VALUE"""),"PI5464Y")</f>
        <v>PI5464Y</v>
      </c>
      <c r="C143" s="186"/>
      <c r="D143" s="186" t="str">
        <f>IFERROR(__xludf.DUMMYFUNCTION("""COMPUTED_VALUE"""),"FALSO")</f>
        <v>FALSO</v>
      </c>
    </row>
    <row r="144">
      <c r="B144" s="186" t="str">
        <f>IFERROR(__xludf.DUMMYFUNCTION("""COMPUTED_VALUE"""),"PI6241Y")</f>
        <v>PI6241Y</v>
      </c>
      <c r="C144" s="186" t="str">
        <f>IFERROR(__xludf.DUMMYFUNCTION("""COMPUTED_VALUE"""),"CAIXA PORTA RETRATO MEMORIAS")</f>
        <v>CAIXA PORTA RETRATO MEMORIAS</v>
      </c>
      <c r="D144" s="186" t="str">
        <f>IFERROR(__xludf.DUMMYFUNCTION("""COMPUTED_VALUE"""),"FALSO")</f>
        <v>FALSO</v>
      </c>
    </row>
    <row r="145">
      <c r="B145" s="186" t="str">
        <f>IFERROR(__xludf.DUMMYFUNCTION("""COMPUTED_VALUE"""),"PI6372Y")</f>
        <v>PI6372Y</v>
      </c>
      <c r="C145" s="186"/>
      <c r="D145" s="186" t="str">
        <f>IFERROR(__xludf.DUMMYFUNCTION("""COMPUTED_VALUE"""),"FALSO")</f>
        <v>FALSO</v>
      </c>
    </row>
    <row r="146">
      <c r="B146" s="186" t="str">
        <f>IFERROR(__xludf.DUMMYFUNCTION("""COMPUTED_VALUE"""),"PI6845Y")</f>
        <v>PI6845Y</v>
      </c>
      <c r="C146" s="186"/>
      <c r="D146" s="186" t="str">
        <f>IFERROR(__xludf.DUMMYFUNCTION("""COMPUTED_VALUE"""),"FALSO")</f>
        <v>FALSO</v>
      </c>
    </row>
    <row r="147">
      <c r="B147" s="186" t="str">
        <f>IFERROR(__xludf.DUMMYFUNCTION("""COMPUTED_VALUE"""),"PI7634Y")</f>
        <v>PI7634Y</v>
      </c>
      <c r="C147" s="186"/>
      <c r="D147" s="186" t="str">
        <f>IFERROR(__xludf.DUMMYFUNCTION("""COMPUTED_VALUE"""),"FALSO")</f>
        <v>FALSO</v>
      </c>
    </row>
    <row r="148">
      <c r="B148" s="186" t="str">
        <f>IFERROR(__xludf.DUMMYFUNCTION("""COMPUTED_VALUE"""),"PI6242Y")</f>
        <v>PI6242Y</v>
      </c>
      <c r="C148" s="186"/>
      <c r="D148" s="186" t="str">
        <f>IFERROR(__xludf.DUMMYFUNCTION("""COMPUTED_VALUE"""),"FALSO")</f>
        <v>FALSO</v>
      </c>
    </row>
    <row r="149">
      <c r="B149" s="186" t="str">
        <f>IFERROR(__xludf.DUMMYFUNCTION("""COMPUTED_VALUE"""),"CS2202")</f>
        <v>CS2202</v>
      </c>
      <c r="C149" s="186"/>
      <c r="D149" s="186" t="str">
        <f>IFERROR(__xludf.DUMMYFUNCTION("""COMPUTED_VALUE"""),"FALSO")</f>
        <v>FALSO</v>
      </c>
    </row>
    <row r="150">
      <c r="B150" s="186" t="str">
        <f>IFERROR(__xludf.DUMMYFUNCTION("""COMPUTED_VALUE"""),"PI5029Y")</f>
        <v>PI5029Y</v>
      </c>
      <c r="C150" s="186" t="str">
        <f>IFERROR(__xludf.DUMMYFUNCTION("""COMPUTED_VALUE"""),"CABYBARA INSULATED BAG")</f>
        <v>CABYBARA INSULATED BAG</v>
      </c>
      <c r="D150" s="186" t="str">
        <f>IFERROR(__xludf.DUMMYFUNCTION("""COMPUTED_VALUE"""),"FALSO")</f>
        <v>FALSO</v>
      </c>
    </row>
    <row r="151">
      <c r="B151" s="186" t="str">
        <f>IFERROR(__xludf.DUMMYFUNCTION("""COMPUTED_VALUE"""),"PI5453Y")</f>
        <v>PI5453Y</v>
      </c>
      <c r="C151" s="186"/>
      <c r="D151" s="186" t="str">
        <f>IFERROR(__xludf.DUMMYFUNCTION("""COMPUTED_VALUE"""),"FALSO")</f>
        <v>FALSO</v>
      </c>
    </row>
    <row r="152">
      <c r="B152" s="186" t="str">
        <f>IFERROR(__xludf.DUMMYFUNCTION("""COMPUTED_VALUE"""),"CS2439")</f>
        <v>CS2439</v>
      </c>
      <c r="C152" s="186"/>
      <c r="D152" s="186" t="str">
        <f>IFERROR(__xludf.DUMMYFUNCTION("""COMPUTED_VALUE"""),"FALSO")</f>
        <v>FALSO</v>
      </c>
    </row>
    <row r="153">
      <c r="B153" s="186" t="str">
        <f>IFERROR(__xludf.DUMMYFUNCTION("""COMPUTED_VALUE"""),"GE0106")</f>
        <v>GE0106</v>
      </c>
      <c r="C153" s="186"/>
      <c r="D153" s="186" t="str">
        <f>IFERROR(__xludf.DUMMYFUNCTION("""COMPUTED_VALUE"""),"FALSO")</f>
        <v>FALSO</v>
      </c>
    </row>
    <row r="154">
      <c r="B154" s="186" t="str">
        <f>IFERROR(__xludf.DUMMYFUNCTION("""COMPUTED_VALUE"""),"GE0101")</f>
        <v>GE0101</v>
      </c>
      <c r="C154" s="186"/>
      <c r="D154" s="186" t="str">
        <f>IFERROR(__xludf.DUMMYFUNCTION("""COMPUTED_VALUE"""),"FALSO")</f>
        <v>FALSO</v>
      </c>
    </row>
    <row r="155">
      <c r="B155" s="186" t="str">
        <f>IFERROR(__xludf.DUMMYFUNCTION("""COMPUTED_VALUE"""),"PI6586Y")</f>
        <v>PI6586Y</v>
      </c>
      <c r="C155" s="186" t="str">
        <f>IFERROR(__xludf.DUMMYFUNCTION("""COMPUTED_VALUE"""),"VELA FORMATO")</f>
        <v>VELA FORMATO</v>
      </c>
      <c r="D155" s="186" t="str">
        <f>IFERROR(__xludf.DUMMYFUNCTION("""COMPUTED_VALUE"""),"FALSO")</f>
        <v>FALSO</v>
      </c>
    </row>
    <row r="156">
      <c r="B156" s="186" t="str">
        <f>IFERROR(__xludf.DUMMYFUNCTION("""COMPUTED_VALUE"""),"PI7200Y")</f>
        <v>PI7200Y</v>
      </c>
      <c r="C156" s="186"/>
      <c r="D156" s="186" t="str">
        <f>IFERROR(__xludf.DUMMYFUNCTION("""COMPUTED_VALUE"""),"FALSO")</f>
        <v>FALSO</v>
      </c>
    </row>
    <row r="157">
      <c r="B157" s="186" t="str">
        <f>IFERROR(__xludf.DUMMYFUNCTION("""COMPUTED_VALUE"""),"PI7201Y")</f>
        <v>PI7201Y</v>
      </c>
      <c r="C157" s="186"/>
      <c r="D157" s="186" t="str">
        <f>IFERROR(__xludf.DUMMYFUNCTION("""COMPUTED_VALUE"""),"FALSO")</f>
        <v>FALSO</v>
      </c>
    </row>
    <row r="158">
      <c r="B158" s="186" t="str">
        <f>IFERROR(__xludf.DUMMYFUNCTION("""COMPUTED_VALUE"""),"PI6587Y")</f>
        <v>PI6587Y</v>
      </c>
      <c r="C158" s="186" t="str">
        <f>IFERROR(__xludf.DUMMYFUNCTION("""COMPUTED_VALUE"""),"VELA FORMATO")</f>
        <v>VELA FORMATO</v>
      </c>
      <c r="D158" s="186" t="str">
        <f>IFERROR(__xludf.DUMMYFUNCTION("""COMPUTED_VALUE"""),"FALSO")</f>
        <v>FALSO</v>
      </c>
    </row>
    <row r="159">
      <c r="B159" s="186" t="str">
        <f>IFERROR(__xludf.DUMMYFUNCTION("""COMPUTED_VALUE"""),"PI6588Y")</f>
        <v>PI6588Y</v>
      </c>
      <c r="C159" s="186" t="str">
        <f>IFERROR(__xludf.DUMMYFUNCTION("""COMPUTED_VALUE"""),"VELA FORMATO")</f>
        <v>VELA FORMATO</v>
      </c>
      <c r="D159" s="186" t="str">
        <f>IFERROR(__xludf.DUMMYFUNCTION("""COMPUTED_VALUE"""),"FALSO")</f>
        <v>FALSO</v>
      </c>
    </row>
    <row r="160">
      <c r="B160" s="186" t="str">
        <f>IFERROR(__xludf.DUMMYFUNCTION("""COMPUTED_VALUE"""),"PI6589Y")</f>
        <v>PI6589Y</v>
      </c>
      <c r="C160" s="186" t="str">
        <f>IFERROR(__xludf.DUMMYFUNCTION("""COMPUTED_VALUE"""),"VELA FORMATO")</f>
        <v>VELA FORMATO</v>
      </c>
      <c r="D160" s="186" t="str">
        <f>IFERROR(__xludf.DUMMYFUNCTION("""COMPUTED_VALUE"""),"FALSO")</f>
        <v>FALSO</v>
      </c>
    </row>
    <row r="161">
      <c r="B161" s="186" t="str">
        <f>IFERROR(__xludf.DUMMYFUNCTION("""COMPUTED_VALUE"""),"PI7197Y")</f>
        <v>PI7197Y</v>
      </c>
      <c r="C161" s="186"/>
      <c r="D161" s="186" t="str">
        <f>IFERROR(__xludf.DUMMYFUNCTION("""COMPUTED_VALUE"""),"FALSO")</f>
        <v>FALSO</v>
      </c>
    </row>
    <row r="162">
      <c r="B162" s="186" t="str">
        <f>IFERROR(__xludf.DUMMYFUNCTION("""COMPUTED_VALUE"""),"PI7198Y")</f>
        <v>PI7198Y</v>
      </c>
      <c r="C162" s="186"/>
      <c r="D162" s="186" t="str">
        <f>IFERROR(__xludf.DUMMYFUNCTION("""COMPUTED_VALUE"""),"FALSO")</f>
        <v>FALSO</v>
      </c>
    </row>
    <row r="163">
      <c r="B163" s="186" t="str">
        <f>IFERROR(__xludf.DUMMYFUNCTION("""COMPUTED_VALUE"""),"PI6779Y")</f>
        <v>PI6779Y</v>
      </c>
      <c r="C163" s="186"/>
      <c r="D163" s="186" t="str">
        <f>IFERROR(__xludf.DUMMYFUNCTION("""COMPUTED_VALUE"""),"FALSO")</f>
        <v>FALSO</v>
      </c>
    </row>
    <row r="164">
      <c r="B164" s="186" t="str">
        <f>IFERROR(__xludf.DUMMYFUNCTION("""COMPUTED_VALUE"""),"PI6780Y")</f>
        <v>PI6780Y</v>
      </c>
      <c r="C164" s="186"/>
      <c r="D164" s="186" t="str">
        <f>IFERROR(__xludf.DUMMYFUNCTION("""COMPUTED_VALUE"""),"FALSO")</f>
        <v>FALSO</v>
      </c>
    </row>
    <row r="165">
      <c r="B165" s="186" t="str">
        <f>IFERROR(__xludf.DUMMYFUNCTION("""COMPUTED_VALUE"""),"PI7089Y")</f>
        <v>PI7089Y</v>
      </c>
      <c r="C165" s="186"/>
      <c r="D165" s="186" t="str">
        <f>IFERROR(__xludf.DUMMYFUNCTION("""COMPUTED_VALUE"""),"FALSO")</f>
        <v>FALSO</v>
      </c>
    </row>
    <row r="166">
      <c r="B166" s="186" t="str">
        <f>IFERROR(__xludf.DUMMYFUNCTION("""COMPUTED_VALUE"""),"PI6769Y")</f>
        <v>PI6769Y</v>
      </c>
      <c r="C166" s="186" t="str">
        <f>IFERROR(__xludf.DUMMYFUNCTION("""COMPUTED_VALUE"""),"VELA COM SUPORTE CERAMICA PRETO E BRANCO")</f>
        <v>VELA COM SUPORTE CERAMICA PRETO E BRANCO</v>
      </c>
      <c r="D166" s="186" t="str">
        <f>IFERROR(__xludf.DUMMYFUNCTION("""COMPUTED_VALUE"""),"FALSO")</f>
        <v>FALSO</v>
      </c>
    </row>
    <row r="167">
      <c r="B167" s="186" t="str">
        <f>IFERROR(__xludf.DUMMYFUNCTION("""COMPUTED_VALUE"""),"PI6768Y")</f>
        <v>PI6768Y</v>
      </c>
      <c r="C167" s="186" t="str">
        <f>IFERROR(__xludf.DUMMYFUNCTION("""COMPUTED_VALUE"""),"VELA COM SUPORTE CERAMICA COLORIDO")</f>
        <v>VELA COM SUPORTE CERAMICA COLORIDO</v>
      </c>
      <c r="D167" s="186" t="str">
        <f>IFERROR(__xludf.DUMMYFUNCTION("""COMPUTED_VALUE"""),"FALSO")</f>
        <v>FALSO</v>
      </c>
    </row>
    <row r="168">
      <c r="B168" s="186" t="str">
        <f>IFERROR(__xludf.DUMMYFUNCTION("""COMPUTED_VALUE"""),"CS2324")</f>
        <v>CS2324</v>
      </c>
      <c r="C168" s="186"/>
      <c r="D168" s="186" t="str">
        <f>IFERROR(__xludf.DUMMYFUNCTION("""COMPUTED_VALUE"""),"FALSO")</f>
        <v>FALSO</v>
      </c>
    </row>
    <row r="169">
      <c r="B169" s="186" t="str">
        <f>IFERROR(__xludf.DUMMYFUNCTION("""COMPUTED_VALUE"""),"CS2325")</f>
        <v>CS2325</v>
      </c>
      <c r="C169" s="186"/>
      <c r="D169" s="186" t="str">
        <f>IFERROR(__xludf.DUMMYFUNCTION("""COMPUTED_VALUE"""),"FALSO")</f>
        <v>FALSO</v>
      </c>
    </row>
    <row r="170">
      <c r="B170" s="186" t="str">
        <f>IFERROR(__xludf.DUMMYFUNCTION("""COMPUTED_VALUE"""),"CS2326")</f>
        <v>CS2326</v>
      </c>
      <c r="C170" s="186"/>
      <c r="D170" s="186" t="str">
        <f>IFERROR(__xludf.DUMMYFUNCTION("""COMPUTED_VALUE"""),"FALSO")</f>
        <v>FALSO</v>
      </c>
    </row>
    <row r="171">
      <c r="B171" s="186" t="str">
        <f>IFERROR(__xludf.DUMMYFUNCTION("""COMPUTED_VALUE"""),"PI6590Y")</f>
        <v>PI6590Y</v>
      </c>
      <c r="C171" s="186" t="str">
        <f>IFERROR(__xludf.DUMMYFUNCTION("""COMPUTED_VALUE"""),"VELA POTE")</f>
        <v>VELA POTE</v>
      </c>
      <c r="D171" s="186" t="str">
        <f>IFERROR(__xludf.DUMMYFUNCTION("""COMPUTED_VALUE"""),"FALSO")</f>
        <v>FALSO</v>
      </c>
    </row>
    <row r="172">
      <c r="B172" s="186" t="str">
        <f>IFERROR(__xludf.DUMMYFUNCTION("""COMPUTED_VALUE"""),"PI6591Y")</f>
        <v>PI6591Y</v>
      </c>
      <c r="C172" s="186" t="str">
        <f>IFERROR(__xludf.DUMMYFUNCTION("""COMPUTED_VALUE"""),"VELA POTE")</f>
        <v>VELA POTE</v>
      </c>
      <c r="D172" s="186" t="str">
        <f>IFERROR(__xludf.DUMMYFUNCTION("""COMPUTED_VALUE"""),"FALSO")</f>
        <v>FALSO</v>
      </c>
    </row>
    <row r="173">
      <c r="B173" s="186" t="str">
        <f>IFERROR(__xludf.DUMMYFUNCTION("""COMPUTED_VALUE"""),"PI6592Y")</f>
        <v>PI6592Y</v>
      </c>
      <c r="C173" s="186" t="str">
        <f>IFERROR(__xludf.DUMMYFUNCTION("""COMPUTED_VALUE"""),"VELA POTE")</f>
        <v>VELA POTE</v>
      </c>
      <c r="D173" s="186" t="str">
        <f>IFERROR(__xludf.DUMMYFUNCTION("""COMPUTED_VALUE"""),"FALSO")</f>
        <v>FALSO</v>
      </c>
    </row>
    <row r="174">
      <c r="B174" s="186" t="str">
        <f>IFERROR(__xludf.DUMMYFUNCTION("""COMPUTED_VALUE"""),"PI6593Y")</f>
        <v>PI6593Y</v>
      </c>
      <c r="C174" s="186" t="str">
        <f>IFERROR(__xludf.DUMMYFUNCTION("""COMPUTED_VALUE"""),"VELA POTE")</f>
        <v>VELA POTE</v>
      </c>
      <c r="D174" s="186" t="str">
        <f>IFERROR(__xludf.DUMMYFUNCTION("""COMPUTED_VALUE"""),"FALSO")</f>
        <v>FALSO</v>
      </c>
    </row>
    <row r="175">
      <c r="B175" s="186" t="str">
        <f>IFERROR(__xludf.DUMMYFUNCTION("""COMPUTED_VALUE"""),"CS2430")</f>
        <v>CS2430</v>
      </c>
      <c r="C175" s="186"/>
      <c r="D175" s="186" t="str">
        <f>IFERROR(__xludf.DUMMYFUNCTION("""COMPUTED_VALUE"""),"FALSO")</f>
        <v>FALSO</v>
      </c>
    </row>
    <row r="176">
      <c r="B176" s="186" t="str">
        <f>IFERROR(__xludf.DUMMYFUNCTION("""COMPUTED_VALUE"""),"CS2431")</f>
        <v>CS2431</v>
      </c>
      <c r="C176" s="186"/>
      <c r="D176" s="186" t="str">
        <f>IFERROR(__xludf.DUMMYFUNCTION("""COMPUTED_VALUE"""),"FALSO")</f>
        <v>FALSO</v>
      </c>
    </row>
    <row r="177">
      <c r="B177" s="186" t="str">
        <f>IFERROR(__xludf.DUMMYFUNCTION("""COMPUTED_VALUE"""),"PI5929Y")</f>
        <v>PI5929Y</v>
      </c>
      <c r="C177" s="186"/>
      <c r="D177" s="186" t="str">
        <f>IFERROR(__xludf.DUMMYFUNCTION("""COMPUTED_VALUE"""),"FALSO")</f>
        <v>FALSO</v>
      </c>
    </row>
    <row r="178">
      <c r="B178" s="186" t="str">
        <f>IFERROR(__xludf.DUMMYFUNCTION("""COMPUTED_VALUE"""),"CS2391")</f>
        <v>CS2391</v>
      </c>
      <c r="C178" s="186"/>
      <c r="D178" s="186" t="str">
        <f>IFERROR(__xludf.DUMMYFUNCTION("""COMPUTED_VALUE"""),"FALSO")</f>
        <v>FALSO</v>
      </c>
    </row>
    <row r="179">
      <c r="B179" s="186" t="str">
        <f>IFERROR(__xludf.DUMMYFUNCTION("""COMPUTED_VALUE"""),"CS2497")</f>
        <v>CS2497</v>
      </c>
      <c r="C179" s="186"/>
      <c r="D179" s="186" t="str">
        <f>IFERROR(__xludf.DUMMYFUNCTION("""COMPUTED_VALUE"""),"FALSO")</f>
        <v>FALSO</v>
      </c>
    </row>
    <row r="180">
      <c r="B180" s="186" t="str">
        <f>IFERROR(__xludf.DUMMYFUNCTION("""COMPUTED_VALUE"""),"CS2296")</f>
        <v>CS2296</v>
      </c>
      <c r="C180" s="186"/>
      <c r="D180" s="186" t="str">
        <f>IFERROR(__xludf.DUMMYFUNCTION("""COMPUTED_VALUE"""),"FALSO")</f>
        <v>FALSO</v>
      </c>
    </row>
    <row r="181">
      <c r="B181" s="186" t="str">
        <f>IFERROR(__xludf.DUMMYFUNCTION("""COMPUTED_VALUE"""),"CS2505")</f>
        <v>CS2505</v>
      </c>
      <c r="C181" s="186"/>
      <c r="D181" s="186" t="str">
        <f>IFERROR(__xludf.DUMMYFUNCTION("""COMPUTED_VALUE"""),"FALSO")</f>
        <v>FALSO</v>
      </c>
    </row>
    <row r="182">
      <c r="B182" s="186" t="str">
        <f>IFERROR(__xludf.DUMMYFUNCTION("""COMPUTED_VALUE"""),"CS2227")</f>
        <v>CS2227</v>
      </c>
      <c r="C182" s="186"/>
      <c r="D182" s="186" t="str">
        <f>IFERROR(__xludf.DUMMYFUNCTION("""COMPUTED_VALUE"""),"FALSO")</f>
        <v>FALSO</v>
      </c>
    </row>
    <row r="183">
      <c r="B183" s="186" t="str">
        <f>IFERROR(__xludf.DUMMYFUNCTION("""COMPUTED_VALUE"""),"CS2246")</f>
        <v>CS2246</v>
      </c>
      <c r="C183" s="186"/>
      <c r="D183" s="186" t="str">
        <f>IFERROR(__xludf.DUMMYFUNCTION("""COMPUTED_VALUE"""),"FALSO")</f>
        <v>FALSO</v>
      </c>
    </row>
    <row r="184">
      <c r="B184" s="186" t="str">
        <f>IFERROR(__xludf.DUMMYFUNCTION("""COMPUTED_VALUE"""),"CS2211")</f>
        <v>CS2211</v>
      </c>
      <c r="C184" s="186"/>
      <c r="D184" s="186" t="str">
        <f>IFERROR(__xludf.DUMMYFUNCTION("""COMPUTED_VALUE"""),"FALSO")</f>
        <v>FALSO</v>
      </c>
    </row>
    <row r="185">
      <c r="B185" s="186" t="str">
        <f>IFERROR(__xludf.DUMMYFUNCTION("""COMPUTED_VALUE"""),"CS2211")</f>
        <v>CS2211</v>
      </c>
      <c r="C185" s="186"/>
      <c r="D185" s="186" t="str">
        <f>IFERROR(__xludf.DUMMYFUNCTION("""COMPUTED_VALUE"""),"FALSO")</f>
        <v>FALSO</v>
      </c>
    </row>
    <row r="186">
      <c r="B186" s="186" t="str">
        <f>IFERROR(__xludf.DUMMYFUNCTION("""COMPUTED_VALUE"""),"CS2398")</f>
        <v>CS2398</v>
      </c>
      <c r="C186" s="186"/>
      <c r="D186" s="186" t="str">
        <f>IFERROR(__xludf.DUMMYFUNCTION("""COMPUTED_VALUE"""),"FALSO")</f>
        <v>FALSO</v>
      </c>
    </row>
    <row r="187">
      <c r="B187" s="186" t="str">
        <f>IFERROR(__xludf.DUMMYFUNCTION("""COMPUTED_VALUE"""),"CS2201")</f>
        <v>CS2201</v>
      </c>
      <c r="C187" s="186"/>
      <c r="D187" s="186" t="str">
        <f>IFERROR(__xludf.DUMMYFUNCTION("""COMPUTED_VALUE"""),"FALSO")</f>
        <v>FALSO</v>
      </c>
    </row>
    <row r="188">
      <c r="B188" s="186" t="str">
        <f>IFERROR(__xludf.DUMMYFUNCTION("""COMPUTED_VALUE"""),"CS2069")</f>
        <v>CS2069</v>
      </c>
      <c r="C188" s="186" t="str">
        <f>IFERROR(__xludf.DUMMYFUNCTION("""COMPUTED_VALUE"""),"CANECA E FILTRO DE PANO BEATLES LOVE")</f>
        <v>CANECA E FILTRO DE PANO BEATLES LOVE</v>
      </c>
      <c r="D188" s="186" t="str">
        <f>IFERROR(__xludf.DUMMYFUNCTION("""COMPUTED_VALUE"""),"FALSO")</f>
        <v>FALSO</v>
      </c>
    </row>
    <row r="189">
      <c r="B189" s="186" t="str">
        <f>IFERROR(__xludf.DUMMYFUNCTION("""COMPUTED_VALUE"""),"CS2441")</f>
        <v>CS2441</v>
      </c>
      <c r="C189" s="186"/>
      <c r="D189" s="186" t="str">
        <f>IFERROR(__xludf.DUMMYFUNCTION("""COMPUTED_VALUE"""),"FALSO")</f>
        <v>FALSO</v>
      </c>
    </row>
    <row r="190">
      <c r="B190" s="186" t="str">
        <f>IFERROR(__xludf.DUMMYFUNCTION("""COMPUTED_VALUE"""),"CS2226")</f>
        <v>CS2226</v>
      </c>
      <c r="C190" s="186"/>
      <c r="D190" s="186" t="str">
        <f>IFERROR(__xludf.DUMMYFUNCTION("""COMPUTED_VALUE"""),"FALSO")</f>
        <v>FALSO</v>
      </c>
    </row>
    <row r="191">
      <c r="B191" s="186" t="str">
        <f>IFERROR(__xludf.DUMMYFUNCTION("""COMPUTED_VALUE"""),"CS2217")</f>
        <v>CS2217</v>
      </c>
      <c r="C191" s="186"/>
      <c r="D191" s="186" t="str">
        <f>IFERROR(__xludf.DUMMYFUNCTION("""COMPUTED_VALUE"""),"FALSO")</f>
        <v>FALSO</v>
      </c>
    </row>
    <row r="192">
      <c r="B192" s="186" t="str">
        <f>IFERROR(__xludf.DUMMYFUNCTION("""COMPUTED_VALUE"""),"CS2218")</f>
        <v>CS2218</v>
      </c>
      <c r="C192" s="186"/>
      <c r="D192" s="186" t="str">
        <f>IFERROR(__xludf.DUMMYFUNCTION("""COMPUTED_VALUE"""),"FALSO")</f>
        <v>FALSO</v>
      </c>
    </row>
    <row r="193">
      <c r="B193" s="186" t="str">
        <f>IFERROR(__xludf.DUMMYFUNCTION("""COMPUTED_VALUE"""),"CS2220")</f>
        <v>CS2220</v>
      </c>
      <c r="C193" s="186"/>
      <c r="D193" s="186" t="str">
        <f>IFERROR(__xludf.DUMMYFUNCTION("""COMPUTED_VALUE"""),"FALSO")</f>
        <v>FALSO</v>
      </c>
    </row>
    <row r="194">
      <c r="B194" s="186" t="str">
        <f>IFERROR(__xludf.DUMMYFUNCTION("""COMPUTED_VALUE"""),"CS2473")</f>
        <v>CS2473</v>
      </c>
      <c r="C194" s="186"/>
      <c r="D194" s="186" t="str">
        <f>IFERROR(__xludf.DUMMYFUNCTION("""COMPUTED_VALUE"""),"FALSO")</f>
        <v>FALSO</v>
      </c>
    </row>
    <row r="195">
      <c r="B195" s="186" t="str">
        <f>IFERROR(__xludf.DUMMYFUNCTION("""COMPUTED_VALUE"""),"PI5835Y")</f>
        <v>PI5835Y</v>
      </c>
      <c r="C195" s="186"/>
      <c r="D195" s="186" t="str">
        <f>IFERROR(__xludf.DUMMYFUNCTION("""COMPUTED_VALUE"""),"FALSO")</f>
        <v>FALSO</v>
      </c>
    </row>
    <row r="196">
      <c r="B196" s="186" t="str">
        <f>IFERROR(__xludf.DUMMYFUNCTION("""COMPUTED_VALUE"""),"PI5837Y")</f>
        <v>PI5837Y</v>
      </c>
      <c r="C196" s="186"/>
      <c r="D196" s="186" t="str">
        <f>IFERROR(__xludf.DUMMYFUNCTION("""COMPUTED_VALUE"""),"FALSO")</f>
        <v>FALSO</v>
      </c>
    </row>
    <row r="197">
      <c r="B197" s="186" t="str">
        <f>IFERROR(__xludf.DUMMYFUNCTION("""COMPUTED_VALUE"""),"CS2081")</f>
        <v>CS2081</v>
      </c>
      <c r="C197" s="186"/>
      <c r="D197" s="186" t="str">
        <f>IFERROR(__xludf.DUMMYFUNCTION("""COMPUTED_VALUE"""),"FALSO")</f>
        <v>FALSO</v>
      </c>
    </row>
    <row r="198">
      <c r="B198" s="186" t="str">
        <f>IFERROR(__xludf.DUMMYFUNCTION("""COMPUTED_VALUE"""),"CS2082")</f>
        <v>CS2082</v>
      </c>
      <c r="C198" s="186"/>
      <c r="D198" s="186" t="str">
        <f>IFERROR(__xludf.DUMMYFUNCTION("""COMPUTED_VALUE"""),"FALSO")</f>
        <v>FALSO</v>
      </c>
    </row>
    <row r="199">
      <c r="B199" s="186" t="str">
        <f>IFERROR(__xludf.DUMMYFUNCTION("""COMPUTED_VALUE"""),"CS2083")</f>
        <v>CS2083</v>
      </c>
      <c r="C199" s="186"/>
      <c r="D199" s="186" t="str">
        <f>IFERROR(__xludf.DUMMYFUNCTION("""COMPUTED_VALUE"""),"FALSO")</f>
        <v>FALSO</v>
      </c>
    </row>
    <row r="200">
      <c r="B200" s="186" t="str">
        <f>IFERROR(__xludf.DUMMYFUNCTION("""COMPUTED_VALUE"""),"CS2084")</f>
        <v>CS2084</v>
      </c>
      <c r="C200" s="186"/>
      <c r="D200" s="186" t="str">
        <f>IFERROR(__xludf.DUMMYFUNCTION("""COMPUTED_VALUE"""),"FALSO")</f>
        <v>FALSO</v>
      </c>
    </row>
    <row r="201">
      <c r="B201" s="186" t="str">
        <f>IFERROR(__xludf.DUMMYFUNCTION("""COMPUTED_VALUE"""),"CS2496")</f>
        <v>CS2496</v>
      </c>
      <c r="C201" s="186"/>
      <c r="D201" s="186" t="str">
        <f>IFERROR(__xludf.DUMMYFUNCTION("""COMPUTED_VALUE"""),"FALSO")</f>
        <v>FALSO</v>
      </c>
    </row>
    <row r="202">
      <c r="B202" s="186" t="str">
        <f>IFERROR(__xludf.DUMMYFUNCTION("""COMPUTED_VALUE"""),"CS2126")</f>
        <v>CS2126</v>
      </c>
      <c r="C202" s="186" t="str">
        <f>IFERROR(__xludf.DUMMYFUNCTION("""COMPUTED_VALUE"""),"CANECA MEDIDAS NECESSARIAS")</f>
        <v>CANECA MEDIDAS NECESSARIAS</v>
      </c>
      <c r="D202" s="186" t="str">
        <f>IFERROR(__xludf.DUMMYFUNCTION("""COMPUTED_VALUE"""),"FALSO")</f>
        <v>FALSO</v>
      </c>
    </row>
    <row r="203">
      <c r="B203" s="186" t="str">
        <f>IFERROR(__xludf.DUMMYFUNCTION("""COMPUTED_VALUE"""),"CS2471")</f>
        <v>CS2471</v>
      </c>
      <c r="C203" s="186"/>
      <c r="D203" s="186" t="str">
        <f>IFERROR(__xludf.DUMMYFUNCTION("""COMPUTED_VALUE"""),"FALSO")</f>
        <v>FALSO</v>
      </c>
    </row>
    <row r="204">
      <c r="B204" s="186" t="str">
        <f>IFERROR(__xludf.DUMMYFUNCTION("""COMPUTED_VALUE"""),"CS2472")</f>
        <v>CS2472</v>
      </c>
      <c r="C204" s="186"/>
      <c r="D204" s="186" t="str">
        <f>IFERROR(__xludf.DUMMYFUNCTION("""COMPUTED_VALUE"""),"FALSO")</f>
        <v>FALSO</v>
      </c>
    </row>
    <row r="205">
      <c r="B205" s="186" t="str">
        <f>IFERROR(__xludf.DUMMYFUNCTION("""COMPUTED_VALUE"""),"CS2086")</f>
        <v>CS2086</v>
      </c>
      <c r="C205" s="186"/>
      <c r="D205" s="186" t="str">
        <f>IFERROR(__xludf.DUMMYFUNCTION("""COMPUTED_VALUE"""),"FALSO")</f>
        <v>FALSO</v>
      </c>
    </row>
    <row r="206">
      <c r="B206" s="186" t="str">
        <f>IFERROR(__xludf.DUMMYFUNCTION("""COMPUTED_VALUE"""),"CS2075")</f>
        <v>CS2075</v>
      </c>
      <c r="C206" s="186"/>
      <c r="D206" s="186" t="str">
        <f>IFERROR(__xludf.DUMMYFUNCTION("""COMPUTED_VALUE"""),"FALSO")</f>
        <v>FALSO</v>
      </c>
    </row>
    <row r="207">
      <c r="B207" s="186" t="str">
        <f>IFERROR(__xludf.DUMMYFUNCTION("""COMPUTED_VALUE"""),"CS2295")</f>
        <v>CS2295</v>
      </c>
      <c r="C207" s="186"/>
      <c r="D207" s="186" t="str">
        <f>IFERROR(__xludf.DUMMYFUNCTION("""COMPUTED_VALUE"""),"FALSO")</f>
        <v>FALSO</v>
      </c>
    </row>
    <row r="208">
      <c r="B208" s="186" t="str">
        <f>IFERROR(__xludf.DUMMYFUNCTION("""COMPUTED_VALUE"""),"CS2504")</f>
        <v>CS2504</v>
      </c>
      <c r="C208" s="186"/>
      <c r="D208" s="186" t="str">
        <f>IFERROR(__xludf.DUMMYFUNCTION("""COMPUTED_VALUE"""),"FALSO")</f>
        <v>FALSO</v>
      </c>
    </row>
    <row r="209">
      <c r="B209" s="186" t="str">
        <f>IFERROR(__xludf.DUMMYFUNCTION("""COMPUTED_VALUE"""),"PI7457Y")</f>
        <v>PI7457Y</v>
      </c>
      <c r="C209" s="186"/>
      <c r="D209" s="186" t="str">
        <f>IFERROR(__xludf.DUMMYFUNCTION("""COMPUTED_VALUE"""),"FALSO")</f>
        <v>FALSO</v>
      </c>
    </row>
    <row r="210">
      <c r="B210" s="186" t="str">
        <f>IFERROR(__xludf.DUMMYFUNCTION("""COMPUTED_VALUE"""),"CS2132")</f>
        <v>CS2132</v>
      </c>
      <c r="C210" s="186"/>
      <c r="D210" s="186" t="str">
        <f>IFERROR(__xludf.DUMMYFUNCTION("""COMPUTED_VALUE"""),"FALSO")</f>
        <v>FALSO</v>
      </c>
    </row>
    <row r="211">
      <c r="B211" s="186" t="str">
        <f>IFERROR(__xludf.DUMMYFUNCTION("""COMPUTED_VALUE"""),"CS2205")</f>
        <v>CS2205</v>
      </c>
      <c r="C211" s="186"/>
      <c r="D211" s="186" t="str">
        <f>IFERROR(__xludf.DUMMYFUNCTION("""COMPUTED_VALUE"""),"FALSO")</f>
        <v>FALSO</v>
      </c>
    </row>
    <row r="212">
      <c r="B212" s="186" t="str">
        <f>IFERROR(__xludf.DUMMYFUNCTION("""COMPUTED_VALUE"""),"CS2205")</f>
        <v>CS2205</v>
      </c>
      <c r="C212" s="186"/>
      <c r="D212" s="186" t="str">
        <f>IFERROR(__xludf.DUMMYFUNCTION("""COMPUTED_VALUE"""),"FALSO")</f>
        <v>FALSO</v>
      </c>
    </row>
    <row r="213">
      <c r="B213" s="186" t="str">
        <f>IFERROR(__xludf.DUMMYFUNCTION("""COMPUTED_VALUE"""),"CS2433")</f>
        <v>CS2433</v>
      </c>
      <c r="C213" s="186"/>
      <c r="D213" s="186" t="str">
        <f>IFERROR(__xludf.DUMMYFUNCTION("""COMPUTED_VALUE"""),"FALSO")</f>
        <v>FALSO</v>
      </c>
    </row>
    <row r="214">
      <c r="B214" s="186" t="str">
        <f>IFERROR(__xludf.DUMMYFUNCTION("""COMPUTED_VALUE"""),"CS2434")</f>
        <v>CS2434</v>
      </c>
      <c r="C214" s="186"/>
      <c r="D214" s="186" t="str">
        <f>IFERROR(__xludf.DUMMYFUNCTION("""COMPUTED_VALUE"""),"FALSO")</f>
        <v>FALSO</v>
      </c>
    </row>
    <row r="215">
      <c r="B215" s="186" t="str">
        <f>IFERROR(__xludf.DUMMYFUNCTION("""COMPUTED_VALUE"""),"CS2279")</f>
        <v>CS2279</v>
      </c>
      <c r="C215" s="186" t="str">
        <f>IFERROR(__xludf.DUMMYFUNCTION("""COMPUTED_VALUE"""),"CARTAO 1")</f>
        <v>CARTAO 1</v>
      </c>
      <c r="D215" s="186" t="str">
        <f>IFERROR(__xludf.DUMMYFUNCTION("""COMPUTED_VALUE"""),"FALSO")</f>
        <v>FALSO</v>
      </c>
    </row>
    <row r="216">
      <c r="B216" s="186" t="str">
        <f>IFERROR(__xludf.DUMMYFUNCTION("""COMPUTED_VALUE"""),"PI4761Y")</f>
        <v>PI4761Y</v>
      </c>
      <c r="C216" s="186" t="str">
        <f>IFERROR(__xludf.DUMMYFUNCTION("""COMPUTED_VALUE"""),"PORTA CARTAO APOIO DE CELULAR HP BRASAO")</f>
        <v>PORTA CARTAO APOIO DE CELULAR HP BRASAO</v>
      </c>
      <c r="D216" s="186" t="str">
        <f>IFERROR(__xludf.DUMMYFUNCTION("""COMPUTED_VALUE"""),"FALSO")</f>
        <v>FALSO</v>
      </c>
    </row>
    <row r="217">
      <c r="B217" s="186" t="str">
        <f>IFERROR(__xludf.DUMMYFUNCTION("""COMPUTED_VALUE"""),"PI5868Y")</f>
        <v>PI5868Y</v>
      </c>
      <c r="C217" s="186"/>
      <c r="D217" s="186" t="str">
        <f>IFERROR(__xludf.DUMMYFUNCTION("""COMPUTED_VALUE"""),"FALSO")</f>
        <v>FALSO</v>
      </c>
    </row>
    <row r="218">
      <c r="B218" s="186" t="str">
        <f>IFERROR(__xludf.DUMMYFUNCTION("""COMPUTED_VALUE"""),"PI5548Y")</f>
        <v>PI5548Y</v>
      </c>
      <c r="C218" s="186"/>
      <c r="D218" s="186" t="str">
        <f>IFERROR(__xludf.DUMMYFUNCTION("""COMPUTED_VALUE"""),"FALSO")</f>
        <v>FALSO</v>
      </c>
    </row>
    <row r="219">
      <c r="B219" s="186" t="str">
        <f>IFERROR(__xludf.DUMMYFUNCTION("""COMPUTED_VALUE"""),"PI4762Y")</f>
        <v>PI4762Y</v>
      </c>
      <c r="C219" s="186" t="str">
        <f>IFERROR(__xludf.DUMMYFUNCTION("""COMPUTED_VALUE"""),"PORTA CARTAO PARA CELULAR HP HOGWARTS")</f>
        <v>PORTA CARTAO PARA CELULAR HP HOGWARTS</v>
      </c>
      <c r="D219" s="186" t="str">
        <f>IFERROR(__xludf.DUMMYFUNCTION("""COMPUTED_VALUE"""),"FALSO")</f>
        <v>FALSO</v>
      </c>
    </row>
    <row r="220">
      <c r="B220" s="186" t="str">
        <f>IFERROR(__xludf.DUMMYFUNCTION("""COMPUTED_VALUE"""),"PI5311Y")</f>
        <v>PI5311Y</v>
      </c>
      <c r="C220" s="186" t="str">
        <f>IFERROR(__xludf.DUMMYFUNCTION("""COMPUTED_VALUE"""),"CARTAO MEDALHA PAI VALE OURO")</f>
        <v>CARTAO MEDALHA PAI VALE OURO</v>
      </c>
      <c r="D220" s="186" t="str">
        <f>IFERROR(__xludf.DUMMYFUNCTION("""COMPUTED_VALUE"""),"FALSO")</f>
        <v>FALSO</v>
      </c>
    </row>
    <row r="221">
      <c r="B221" s="186" t="str">
        <f>IFERROR(__xludf.DUMMYFUNCTION("""COMPUTED_VALUE"""),"PI6814Y")</f>
        <v>PI6814Y</v>
      </c>
      <c r="C221" s="186"/>
      <c r="D221" s="186" t="str">
        <f>IFERROR(__xludf.DUMMYFUNCTION("""COMPUTED_VALUE"""),"FALSO")</f>
        <v>FALSO</v>
      </c>
    </row>
    <row r="222">
      <c r="B222" s="186" t="str">
        <f>IFERROR(__xludf.DUMMYFUNCTION("""COMPUTED_VALUE"""),"PI6585")</f>
        <v>PI6585</v>
      </c>
      <c r="C222" s="186" t="str">
        <f>IFERROR(__xludf.DUMMYFUNCTION("""COMPUTED_VALUE"""),"CARTAO 02")</f>
        <v>CARTAO 02</v>
      </c>
      <c r="D222" s="186" t="str">
        <f>IFERROR(__xludf.DUMMYFUNCTION("""COMPUTED_VALUE"""),"FALSO")</f>
        <v>FALSO</v>
      </c>
    </row>
    <row r="223">
      <c r="B223" s="186" t="str">
        <f>IFERROR(__xludf.DUMMYFUNCTION("""COMPUTED_VALUE"""),"CS2354")</f>
        <v>CS2354</v>
      </c>
      <c r="C223" s="186" t="str">
        <f>IFERROR(__xludf.DUMMYFUNCTION("""COMPUTED_VALUE"""),"CARTAO AMIGO NEM TUDO ESTA")</f>
        <v>CARTAO AMIGO NEM TUDO ESTA</v>
      </c>
      <c r="D223" s="186" t="str">
        <f>IFERROR(__xludf.DUMMYFUNCTION("""COMPUTED_VALUE"""),"FALSO")</f>
        <v>FALSO</v>
      </c>
    </row>
    <row r="224">
      <c r="B224" s="186" t="str">
        <f>IFERROR(__xludf.DUMMYFUNCTION("""COMPUTED_VALUE"""),"CS2378")</f>
        <v>CS2378</v>
      </c>
      <c r="C224" s="186" t="str">
        <f>IFERROR(__xludf.DUMMYFUNCTION("""COMPUTED_VALUE"""),"CARTAO AMIGO PARABENS PELA CASA NOVA")</f>
        <v>CARTAO AMIGO PARABENS PELA CASA NOVA</v>
      </c>
      <c r="D224" s="186" t="str">
        <f>IFERROR(__xludf.DUMMYFUNCTION("""COMPUTED_VALUE"""),"FALSO")</f>
        <v>FALSO</v>
      </c>
    </row>
    <row r="225">
      <c r="B225" s="186" t="str">
        <f>IFERROR(__xludf.DUMMYFUNCTION("""COMPUTED_VALUE"""),"CS2166")</f>
        <v>CS2166</v>
      </c>
      <c r="C225" s="186" t="str">
        <f>IFERROR(__xludf.DUMMYFUNCTION("""COMPUTED_VALUE"""),"CARTAO AMIGO SECRETO")</f>
        <v>CARTAO AMIGO SECRETO</v>
      </c>
      <c r="D225" s="186" t="str">
        <f>IFERROR(__xludf.DUMMYFUNCTION("""COMPUTED_VALUE"""),"FALSO")</f>
        <v>FALSO</v>
      </c>
    </row>
    <row r="226">
      <c r="B226" s="186" t="str">
        <f>IFERROR(__xludf.DUMMYFUNCTION("""COMPUTED_VALUE"""),"CS2359")</f>
        <v>CS2359</v>
      </c>
      <c r="C226" s="186" t="str">
        <f>IFERROR(__xludf.DUMMYFUNCTION("""COMPUTED_VALUE"""),"CARTAO ANIVERSARIO 15 ANOS")</f>
        <v>CARTAO ANIVERSARIO 15 ANOS</v>
      </c>
      <c r="D226" s="186" t="str">
        <f>IFERROR(__xludf.DUMMYFUNCTION("""COMPUTED_VALUE"""),"FALSO")</f>
        <v>FALSO</v>
      </c>
    </row>
    <row r="227">
      <c r="B227" s="186" t="str">
        <f>IFERROR(__xludf.DUMMYFUNCTION("""COMPUTED_VALUE"""),"CS2393")</f>
        <v>CS2393</v>
      </c>
      <c r="C227" s="186"/>
      <c r="D227" s="186" t="str">
        <f>IFERROR(__xludf.DUMMYFUNCTION("""COMPUTED_VALUE"""),"FALSO")</f>
        <v>FALSO</v>
      </c>
    </row>
    <row r="228">
      <c r="B228" s="186" t="str">
        <f>IFERROR(__xludf.DUMMYFUNCTION("""COMPUTED_VALUE"""),"CS2443")</f>
        <v>CS2443</v>
      </c>
      <c r="C228" s="186"/>
      <c r="D228" s="186" t="str">
        <f>IFERROR(__xludf.DUMMYFUNCTION("""COMPUTED_VALUE"""),"FALSO")</f>
        <v>FALSO</v>
      </c>
    </row>
    <row r="229">
      <c r="B229" s="186" t="str">
        <f>IFERROR(__xludf.DUMMYFUNCTION("""COMPUTED_VALUE"""),"CS2500")</f>
        <v>CS2500</v>
      </c>
      <c r="C229" s="186"/>
      <c r="D229" s="186" t="str">
        <f>IFERROR(__xludf.DUMMYFUNCTION("""COMPUTED_VALUE"""),"FALSO")</f>
        <v>FALSO</v>
      </c>
    </row>
    <row r="230">
      <c r="B230" s="186" t="str">
        <f>IFERROR(__xludf.DUMMYFUNCTION("""COMPUTED_VALUE"""),"CS1823")</f>
        <v>CS1823</v>
      </c>
      <c r="C230" s="186" t="str">
        <f>IFERROR(__xludf.DUMMYFUNCTION("""COMPUTED_VALUE"""),"CARTAO FORMATURA LIVROS")</f>
        <v>CARTAO FORMATURA LIVROS</v>
      </c>
      <c r="D230" s="186" t="str">
        <f>IFERROR(__xludf.DUMMYFUNCTION("""COMPUTED_VALUE"""),"FALSO")</f>
        <v>FALSO</v>
      </c>
    </row>
    <row r="231">
      <c r="B231" s="186" t="str">
        <f>IFERROR(__xludf.DUMMYFUNCTION("""COMPUTED_VALUE"""),"CS2442")</f>
        <v>CS2442</v>
      </c>
      <c r="C231" s="186" t="str">
        <f>IFERROR(__xludf.DUMMYFUNCTION("""COMPUTED_VALUE"""),"CARTAO FUN ALGO PARA REVELAR")</f>
        <v>CARTAO FUN ALGO PARA REVELAR</v>
      </c>
      <c r="D231" s="186" t="str">
        <f>IFERROR(__xludf.DUMMYFUNCTION("""COMPUTED_VALUE"""),"FALSO")</f>
        <v>FALSO</v>
      </c>
    </row>
    <row r="232">
      <c r="B232" s="186" t="str">
        <f>IFERROR(__xludf.DUMMYFUNCTION("""COMPUTED_VALUE"""),"CS2384")</f>
        <v>CS2384</v>
      </c>
      <c r="C232" s="186" t="str">
        <f>IFERROR(__xludf.DUMMYFUNCTION("""COMPUTED_VALUE"""),"CARTAO HP MAPA DO MAROTO")</f>
        <v>CARTAO HP MAPA DO MAROTO</v>
      </c>
      <c r="D232" s="186" t="str">
        <f>IFERROR(__xludf.DUMMYFUNCTION("""COMPUTED_VALUE"""),"FALSO")</f>
        <v>FALSO</v>
      </c>
    </row>
    <row r="233">
      <c r="B233" s="186" t="str">
        <f>IFERROR(__xludf.DUMMYFUNCTION("""COMPUTED_VALUE"""),"CS2392")</f>
        <v>CS2392</v>
      </c>
      <c r="C233" s="186"/>
      <c r="D233" s="186" t="str">
        <f>IFERROR(__xludf.DUMMYFUNCTION("""COMPUTED_VALUE"""),"FALSO")</f>
        <v>FALSO</v>
      </c>
    </row>
    <row r="234">
      <c r="B234" s="186" t="str">
        <f>IFERROR(__xludf.DUMMYFUNCTION("""COMPUTED_VALUE"""),"CS2506")</f>
        <v>CS2506</v>
      </c>
      <c r="C234" s="186"/>
      <c r="D234" s="186" t="str">
        <f>IFERROR(__xludf.DUMMYFUNCTION("""COMPUTED_VALUE"""),"FALSO")</f>
        <v>FALSO</v>
      </c>
    </row>
    <row r="235">
      <c r="B235" s="186" t="str">
        <f>IFERROR(__xludf.DUMMYFUNCTION("""COMPUTED_VALUE"""),"CS2369")</f>
        <v>CS2369</v>
      </c>
      <c r="C235" s="186" t="str">
        <f>IFERROR(__xludf.DUMMYFUNCTION("""COMPUTED_VALUE"""),"CARTAO NATAL HO HO HO FELIZ NATAL")</f>
        <v>CARTAO NATAL HO HO HO FELIZ NATAL</v>
      </c>
      <c r="D235" s="186" t="str">
        <f>IFERROR(__xludf.DUMMYFUNCTION("""COMPUTED_VALUE"""),"FALSO")</f>
        <v>FALSO</v>
      </c>
    </row>
    <row r="236">
      <c r="B236" s="186" t="str">
        <f>IFERROR(__xludf.DUMMYFUNCTION("""COMPUTED_VALUE"""),"CS2347")</f>
        <v>CS2347</v>
      </c>
      <c r="C236" s="186" t="str">
        <f>IFERROR(__xludf.DUMMYFUNCTION("""COMPUTED_VALUE"""),"CARTAO PAI MELHOR DO MUNDO")</f>
        <v>CARTAO PAI MELHOR DO MUNDO</v>
      </c>
      <c r="D236" s="186" t="str">
        <f>IFERROR(__xludf.DUMMYFUNCTION("""COMPUTED_VALUE"""),"FALSO")</f>
        <v>FALSO</v>
      </c>
    </row>
    <row r="237">
      <c r="B237" s="186" t="str">
        <f>IFERROR(__xludf.DUMMYFUNCTION("""COMPUTED_VALUE"""),"CS2444")</f>
        <v>CS2444</v>
      </c>
      <c r="C237" s="186"/>
      <c r="D237" s="186" t="str">
        <f>IFERROR(__xludf.DUMMYFUNCTION("""COMPUTED_VALUE"""),"FALSO")</f>
        <v>FALSO</v>
      </c>
    </row>
    <row r="238">
      <c r="B238" s="186" t="str">
        <f>IFERROR(__xludf.DUMMYFUNCTION("""COMPUTED_VALUE"""),"CS2383")</f>
        <v>CS2383</v>
      </c>
      <c r="C238" s="186"/>
      <c r="D238" s="186" t="str">
        <f>IFERROR(__xludf.DUMMYFUNCTION("""COMPUTED_VALUE"""),"FALSO")</f>
        <v>FALSO</v>
      </c>
    </row>
    <row r="239">
      <c r="B239" s="186" t="str">
        <f>IFERROR(__xludf.DUMMYFUNCTION("""COMPUTED_VALUE"""),"CS2382")</f>
        <v>CS2382</v>
      </c>
      <c r="C239" s="186"/>
      <c r="D239" s="186" t="str">
        <f>IFERROR(__xludf.DUMMYFUNCTION("""COMPUTED_VALUE"""),"FALSO")</f>
        <v>FALSO</v>
      </c>
    </row>
    <row r="240">
      <c r="B240" s="186" t="str">
        <f>IFERROR(__xludf.DUMMYFUNCTION("""COMPUTED_VALUE"""),"CS2386")</f>
        <v>CS2386</v>
      </c>
      <c r="C240" s="186"/>
      <c r="D240" s="186" t="str">
        <f>IFERROR(__xludf.DUMMYFUNCTION("""COMPUTED_VALUE"""),"FALSO")</f>
        <v>FALSO</v>
      </c>
    </row>
    <row r="241">
      <c r="B241" s="186" t="str">
        <f>IFERROR(__xludf.DUMMYFUNCTION("""COMPUTED_VALUE"""),"CS2309")</f>
        <v>CS2309</v>
      </c>
      <c r="C241" s="186"/>
      <c r="D241" s="186" t="str">
        <f>IFERROR(__xludf.DUMMYFUNCTION("""COMPUTED_VALUE"""),"FALSO")</f>
        <v>FALSO</v>
      </c>
    </row>
    <row r="242">
      <c r="B242" s="186" t="str">
        <f>IFERROR(__xludf.DUMMYFUNCTION("""COMPUTED_VALUE"""),"CS2385")</f>
        <v>CS2385</v>
      </c>
      <c r="C242" s="186"/>
      <c r="D242" s="186" t="str">
        <f>IFERROR(__xludf.DUMMYFUNCTION("""COMPUTED_VALUE"""),"FALSO")</f>
        <v>FALSO</v>
      </c>
    </row>
    <row r="243">
      <c r="B243" s="186" t="str">
        <f>IFERROR(__xludf.DUMMYFUNCTION("""COMPUTED_VALUE"""),"CS2219")</f>
        <v>CS2219</v>
      </c>
      <c r="C243" s="186"/>
      <c r="D243" s="186" t="str">
        <f>IFERROR(__xludf.DUMMYFUNCTION("""COMPUTED_VALUE"""),"FALSO")</f>
        <v>FALSO</v>
      </c>
    </row>
    <row r="244">
      <c r="B244" s="186" t="str">
        <f>IFERROR(__xludf.DUMMYFUNCTION("""COMPUTED_VALUE"""),"CS2219")</f>
        <v>CS2219</v>
      </c>
      <c r="C244" s="186"/>
      <c r="D244" s="186" t="str">
        <f>IFERROR(__xludf.DUMMYFUNCTION("""COMPUTED_VALUE"""),"FALSO")</f>
        <v>FALSO</v>
      </c>
    </row>
    <row r="245">
      <c r="B245" s="186" t="str">
        <f>IFERROR(__xludf.DUMMYFUNCTION("""COMPUTED_VALUE"""),"CS2215")</f>
        <v>CS2215</v>
      </c>
      <c r="C245" s="186"/>
      <c r="D245" s="186" t="str">
        <f>IFERROR(__xludf.DUMMYFUNCTION("""COMPUTED_VALUE"""),"FALSO")</f>
        <v>FALSO</v>
      </c>
    </row>
    <row r="246">
      <c r="B246" s="186" t="str">
        <f>IFERROR(__xludf.DUMMYFUNCTION("""COMPUTED_VALUE"""),"CS2216")</f>
        <v>CS2216</v>
      </c>
      <c r="C246" s="186"/>
      <c r="D246" s="186" t="str">
        <f>IFERROR(__xludf.DUMMYFUNCTION("""COMPUTED_VALUE"""),"FALSO")</f>
        <v>FALSO</v>
      </c>
    </row>
    <row r="247">
      <c r="B247" s="186" t="str">
        <f>IFERROR(__xludf.DUMMYFUNCTION("""COMPUTED_VALUE"""),"CS2216")</f>
        <v>CS2216</v>
      </c>
      <c r="C247" s="186"/>
      <c r="D247" s="186" t="str">
        <f>IFERROR(__xludf.DUMMYFUNCTION("""COMPUTED_VALUE"""),"FALSO")</f>
        <v>FALSO</v>
      </c>
    </row>
    <row r="248">
      <c r="B248" s="186" t="str">
        <f>IFERROR(__xludf.DUMMYFUNCTION("""COMPUTED_VALUE"""),"CS2213")</f>
        <v>CS2213</v>
      </c>
      <c r="C248" s="186"/>
      <c r="D248" s="186" t="str">
        <f>IFERROR(__xludf.DUMMYFUNCTION("""COMPUTED_VALUE"""),"FALSO")</f>
        <v>FALSO</v>
      </c>
    </row>
    <row r="249">
      <c r="B249" s="186" t="str">
        <f>IFERROR(__xludf.DUMMYFUNCTION("""COMPUTED_VALUE"""),"CS2214")</f>
        <v>CS2214</v>
      </c>
      <c r="C249" s="186"/>
      <c r="D249" s="186" t="str">
        <f>IFERROR(__xludf.DUMMYFUNCTION("""COMPUTED_VALUE"""),"FALSO")</f>
        <v>FALSO</v>
      </c>
    </row>
    <row r="250">
      <c r="B250" s="186" t="str">
        <f>IFERROR(__xludf.DUMMYFUNCTION("""COMPUTED_VALUE"""),"CS2399Y")</f>
        <v>CS2399Y</v>
      </c>
      <c r="C250" s="186"/>
      <c r="D250" s="186" t="str">
        <f>IFERROR(__xludf.DUMMYFUNCTION("""COMPUTED_VALUE"""),"FALSO")</f>
        <v>FALSO</v>
      </c>
    </row>
    <row r="251">
      <c r="B251" s="186" t="str">
        <f>IFERROR(__xludf.DUMMYFUNCTION("""COMPUTED_VALUE"""),"CS2400Y")</f>
        <v>CS2400Y</v>
      </c>
      <c r="C251" s="186"/>
      <c r="D251" s="186" t="str">
        <f>IFERROR(__xludf.DUMMYFUNCTION("""COMPUTED_VALUE"""),"FALSO")</f>
        <v>FALSO</v>
      </c>
    </row>
    <row r="252">
      <c r="B252" s="186" t="str">
        <f>IFERROR(__xludf.DUMMYFUNCTION("""COMPUTED_VALUE"""),"CS2203")</f>
        <v>CS2203</v>
      </c>
      <c r="C252" s="186"/>
      <c r="D252" s="186" t="str">
        <f>IFERROR(__xludf.DUMMYFUNCTION("""COMPUTED_VALUE"""),"FALSO")</f>
        <v>FALSO</v>
      </c>
    </row>
    <row r="253">
      <c r="B253" s="186" t="str">
        <f>IFERROR(__xludf.DUMMYFUNCTION("""COMPUTED_VALUE"""),"CS2203")</f>
        <v>CS2203</v>
      </c>
      <c r="C253" s="186"/>
      <c r="D253" s="186" t="str">
        <f>IFERROR(__xludf.DUMMYFUNCTION("""COMPUTED_VALUE"""),"FALSO")</f>
        <v>FALSO</v>
      </c>
    </row>
    <row r="254">
      <c r="B254" s="186" t="str">
        <f>IFERROR(__xludf.DUMMYFUNCTION("""COMPUTED_VALUE"""),"PI6819Y")</f>
        <v>PI6819Y</v>
      </c>
      <c r="C254" s="186"/>
      <c r="D254" s="186" t="str">
        <f>IFERROR(__xludf.DUMMYFUNCTION("""COMPUTED_VALUE"""),"FALSO")</f>
        <v>FALSO</v>
      </c>
    </row>
    <row r="255">
      <c r="B255" s="186" t="str">
        <f>IFERROR(__xludf.DUMMYFUNCTION("""COMPUTED_VALUE"""),"PI7704Y")</f>
        <v>PI7704Y</v>
      </c>
      <c r="C255" s="186" t="str">
        <f>IFERROR(__xludf.DUMMYFUNCTION("""COMPUTED_VALUE"""),"CANETA GATO")</f>
        <v>CANETA GATO</v>
      </c>
      <c r="D255" s="186" t="str">
        <f>IFERROR(__xludf.DUMMYFUNCTION("""COMPUTED_VALUE"""),"INMETRO SCHOOL ARTICLES SYSTEM 5 - ORDINANCE 481")</f>
        <v>INMETRO SCHOOL ARTICLES SYSTEM 5 - ORDINANCE 481</v>
      </c>
    </row>
    <row r="256">
      <c r="B256" s="186" t="str">
        <f>IFERROR(__xludf.DUMMYFUNCTION("""COMPUTED_VALUE"""),"PI6765Y")</f>
        <v>PI6765Y</v>
      </c>
      <c r="C256" s="186"/>
      <c r="D256" s="186" t="str">
        <f>IFERROR(__xludf.DUMMYFUNCTION("""COMPUTED_VALUE"""),"FALSO")</f>
        <v>FALSO</v>
      </c>
    </row>
    <row r="257">
      <c r="B257" s="186" t="str">
        <f>IFERROR(__xludf.DUMMYFUNCTION("""COMPUTED_VALUE"""),"PI6767Y")</f>
        <v>PI6767Y</v>
      </c>
      <c r="C257" s="186" t="str">
        <f>IFERROR(__xludf.DUMMYFUNCTION("""COMPUTED_VALUE"""),"PORTA VELA CERAMICA COM TAMPA AZUL")</f>
        <v>PORTA VELA CERAMICA COM TAMPA AZUL</v>
      </c>
      <c r="D257" s="186" t="str">
        <f>IFERROR(__xludf.DUMMYFUNCTION("""COMPUTED_VALUE"""),"FALSO")</f>
        <v>FALSO</v>
      </c>
    </row>
    <row r="258">
      <c r="B258" s="186" t="str">
        <f>IFERROR(__xludf.DUMMYFUNCTION("""COMPUTED_VALUE"""),"PI6766Y")</f>
        <v>PI6766Y</v>
      </c>
      <c r="C258" s="186" t="str">
        <f>IFERROR(__xludf.DUMMYFUNCTION("""COMPUTED_VALUE"""),"PORTA VELA CERAMICA COM TAMPA PB")</f>
        <v>PORTA VELA CERAMICA COM TAMPA PB</v>
      </c>
      <c r="D258" s="186" t="str">
        <f>IFERROR(__xludf.DUMMYFUNCTION("""COMPUTED_VALUE"""),"FALSO")</f>
        <v>FALSO</v>
      </c>
    </row>
    <row r="259">
      <c r="B259" s="186" t="str">
        <f>IFERROR(__xludf.DUMMYFUNCTION("""COMPUTED_VALUE"""),"PI6764Y")</f>
        <v>PI6764Y</v>
      </c>
      <c r="C259" s="186" t="str">
        <f>IFERROR(__xludf.DUMMYFUNCTION("""COMPUTED_VALUE"""),"PORTA VELA CERAMICA COM TAMPA ALCA ROSA")</f>
        <v>PORTA VELA CERAMICA COM TAMPA ALCA ROSA</v>
      </c>
      <c r="D259" s="186" t="str">
        <f>IFERROR(__xludf.DUMMYFUNCTION("""COMPUTED_VALUE"""),"FALSO")</f>
        <v>FALSO</v>
      </c>
    </row>
    <row r="260">
      <c r="B260" s="186" t="str">
        <f>IFERROR(__xludf.DUMMYFUNCTION("""COMPUTED_VALUE"""),"PI6774Y")</f>
        <v>PI6774Y</v>
      </c>
      <c r="C260" s="186"/>
      <c r="D260" s="186" t="str">
        <f>IFERROR(__xludf.DUMMYFUNCTION("""COMPUTED_VALUE"""),"FALSO")</f>
        <v>FALSO</v>
      </c>
    </row>
    <row r="261">
      <c r="B261" s="186" t="str">
        <f>IFERROR(__xludf.DUMMYFUNCTION("""COMPUTED_VALUE"""),"PI6775Y")</f>
        <v>PI6775Y</v>
      </c>
      <c r="C261" s="186"/>
      <c r="D261" s="186" t="str">
        <f>IFERROR(__xludf.DUMMYFUNCTION("""COMPUTED_VALUE"""),"FALSO")</f>
        <v>FALSO</v>
      </c>
    </row>
    <row r="262">
      <c r="B262" s="186" t="str">
        <f>IFERROR(__xludf.DUMMYFUNCTION("""COMPUTED_VALUE"""),"PI6776Y")</f>
        <v>PI6776Y</v>
      </c>
      <c r="C262" s="186"/>
      <c r="D262" s="186" t="str">
        <f>IFERROR(__xludf.DUMMYFUNCTION("""COMPUTED_VALUE"""),"FALSO")</f>
        <v>FALSO</v>
      </c>
    </row>
    <row r="263">
      <c r="B263" s="186" t="str">
        <f>IFERROR(__xludf.DUMMYFUNCTION("""COMPUTED_VALUE"""),"PI7254Y")</f>
        <v>PI7254Y</v>
      </c>
      <c r="C263" s="186"/>
      <c r="D263" s="186" t="str">
        <f>IFERROR(__xludf.DUMMYFUNCTION("""COMPUTED_VALUE"""),"FALSO")</f>
        <v>FALSO</v>
      </c>
    </row>
    <row r="264">
      <c r="B264" s="186" t="str">
        <f>IFERROR(__xludf.DUMMYFUNCTION("""COMPUTED_VALUE"""),"PI7253Y")</f>
        <v>PI7253Y</v>
      </c>
      <c r="C264" s="186"/>
      <c r="D264" s="186" t="str">
        <f>IFERROR(__xludf.DUMMYFUNCTION("""COMPUTED_VALUE"""),"FALSO")</f>
        <v>FALSO</v>
      </c>
    </row>
    <row r="265">
      <c r="B265" s="186" t="str">
        <f>IFERROR(__xludf.DUMMYFUNCTION("""COMPUTED_VALUE"""),"PI5810Y")</f>
        <v>PI5810Y</v>
      </c>
      <c r="C265" s="186"/>
      <c r="D265" s="186" t="str">
        <f>IFERROR(__xludf.DUMMYFUNCTION("""COMPUTED_VALUE"""),"INMETRO Toys System 5 - Ordinance 302")</f>
        <v>INMETRO Toys System 5 - Ordinance 302</v>
      </c>
    </row>
    <row r="266">
      <c r="B266" s="186" t="str">
        <f>IFERROR(__xludf.DUMMYFUNCTION("""COMPUTED_VALUE"""),"PI6920Y")</f>
        <v>PI6920Y</v>
      </c>
      <c r="C266" s="186"/>
      <c r="D266" s="186" t="str">
        <f>IFERROR(__xludf.DUMMYFUNCTION("""COMPUTED_VALUE"""),"FALSO")</f>
        <v>FALSO</v>
      </c>
    </row>
    <row r="267">
      <c r="B267" s="186" t="str">
        <f>IFERROR(__xludf.DUMMYFUNCTION("""COMPUTED_VALUE"""),"PI6044Y")</f>
        <v>PI6044Y</v>
      </c>
      <c r="C267" s="186"/>
      <c r="D267" s="186" t="str">
        <f>IFERROR(__xludf.DUMMYFUNCTION("""COMPUTED_VALUE"""),"FALSO")</f>
        <v>FALSO</v>
      </c>
    </row>
    <row r="268">
      <c r="B268" s="186" t="str">
        <f>IFERROR(__xludf.DUMMYFUNCTION("""COMPUTED_VALUE"""),"CS2288Y")</f>
        <v>CS2288Y</v>
      </c>
      <c r="C268" s="186" t="str">
        <f>IFERROR(__xludf.DUMMYFUNCTION("""COMPUTED_VALUE"""),"TABUA DE QUEIJO")</f>
        <v>TABUA DE QUEIJO</v>
      </c>
      <c r="D268" s="186" t="str">
        <f>IFERROR(__xludf.DUMMYFUNCTION("""COMPUTED_VALUE"""),"FALSO")</f>
        <v>FALSO</v>
      </c>
    </row>
    <row r="269">
      <c r="B269" s="186" t="str">
        <f>IFERROR(__xludf.DUMMYFUNCTION("""COMPUTED_VALUE"""),"PI4854Y")</f>
        <v>PI4854Y</v>
      </c>
      <c r="C269" s="186" t="str">
        <f>IFERROR(__xludf.DUMMYFUNCTION("""COMPUTED_VALUE"""),"KIT QUEIJO ENTRE TACAS E QUEIJOS")</f>
        <v>KIT QUEIJO ENTRE TACAS E QUEIJOS</v>
      </c>
      <c r="D269" s="186" t="str">
        <f>IFERROR(__xludf.DUMMYFUNCTION("""COMPUTED_VALUE"""),"FALSO")</f>
        <v>FALSO</v>
      </c>
    </row>
    <row r="270">
      <c r="B270" s="186" t="str">
        <f>IFERROR(__xludf.DUMMYFUNCTION("""COMPUTED_VALUE"""),"PI4854Y")</f>
        <v>PI4854Y</v>
      </c>
      <c r="C270" s="186" t="str">
        <f>IFERROR(__xludf.DUMMYFUNCTION("""COMPUTED_VALUE"""),"KIT QUEIJO ENTRE TACAS E QUEIJOS")</f>
        <v>KIT QUEIJO ENTRE TACAS E QUEIJOS</v>
      </c>
      <c r="D270" s="186" t="str">
        <f>IFERROR(__xludf.DUMMYFUNCTION("""COMPUTED_VALUE"""),"FALSO")</f>
        <v>FALSO</v>
      </c>
    </row>
    <row r="271">
      <c r="B271" s="186" t="str">
        <f>IFERROR(__xludf.DUMMYFUNCTION("""COMPUTED_VALUE"""),"PI4854Y")</f>
        <v>PI4854Y</v>
      </c>
      <c r="C271" s="186" t="str">
        <f>IFERROR(__xludf.DUMMYFUNCTION("""COMPUTED_VALUE"""),"KIT QUEIJO ENTRE TACAS E QUEIJOS")</f>
        <v>KIT QUEIJO ENTRE TACAS E QUEIJOS</v>
      </c>
      <c r="D271" s="186" t="str">
        <f>IFERROR(__xludf.DUMMYFUNCTION("""COMPUTED_VALUE"""),"FALSO")</f>
        <v>FALSO</v>
      </c>
    </row>
    <row r="272">
      <c r="B272" s="186" t="str">
        <f>IFERROR(__xludf.DUMMYFUNCTION("""COMPUTED_VALUE"""),"PI5792Y")</f>
        <v>PI5792Y</v>
      </c>
      <c r="C272" s="186"/>
      <c r="D272" s="186" t="str">
        <f>IFERROR(__xludf.DUMMYFUNCTION("""COMPUTED_VALUE"""),"FALSO")</f>
        <v>FALSO</v>
      </c>
    </row>
    <row r="273">
      <c r="B273" s="186" t="str">
        <f>IFERROR(__xludf.DUMMYFUNCTION("""COMPUTED_VALUE"""),"PI5312Y")</f>
        <v>PI5312Y</v>
      </c>
      <c r="C273" s="186"/>
      <c r="D273" s="186" t="str">
        <f>IFERROR(__xludf.DUMMYFUNCTION("""COMPUTED_VALUE"""),"FALSO")</f>
        <v>FALSO</v>
      </c>
    </row>
    <row r="274">
      <c r="B274" s="186" t="str">
        <f>IFERROR(__xludf.DUMMYFUNCTION("""COMPUTED_VALUE"""),"PI5061Y")</f>
        <v>PI5061Y</v>
      </c>
      <c r="C274" s="186"/>
      <c r="D274" s="186" t="str">
        <f>IFERROR(__xludf.DUMMYFUNCTION("""COMPUTED_VALUE"""),"FALSO")</f>
        <v>FALSO</v>
      </c>
    </row>
    <row r="275">
      <c r="B275" s="186" t="str">
        <f>IFERROR(__xludf.DUMMYFUNCTION("""COMPUTED_VALUE"""),"PI5110Y")</f>
        <v>PI5110Y</v>
      </c>
      <c r="C275" s="186" t="str">
        <f>IFERROR(__xludf.DUMMYFUNCTION("""COMPUTED_VALUE"""),"JOGO DE XADREZ HP HARRY POTTER")</f>
        <v>JOGO DE XADREZ HP HARRY POTTER</v>
      </c>
      <c r="D275" s="186" t="str">
        <f>IFERROR(__xludf.DUMMYFUNCTION("""COMPUTED_VALUE"""),"INMETRO Electrical Security System 7 (Batch)")</f>
        <v>INMETRO Electrical Security System 7 (Batch)</v>
      </c>
    </row>
    <row r="276">
      <c r="B276" s="186" t="str">
        <f>IFERROR(__xludf.DUMMYFUNCTION("""COMPUTED_VALUE"""),"PI7981Y")</f>
        <v>PI7981Y</v>
      </c>
      <c r="C276" s="186"/>
      <c r="D276" s="186" t="str">
        <f>IFERROR(__xludf.DUMMYFUNCTION("""COMPUTED_VALUE"""),"FALSO")</f>
        <v>FALSO</v>
      </c>
    </row>
    <row r="277">
      <c r="B277" s="186" t="str">
        <f>IFERROR(__xludf.DUMMYFUNCTION("""COMPUTED_VALUE"""),"PI7507Y")</f>
        <v>PI7507Y</v>
      </c>
      <c r="C277" s="186"/>
      <c r="D277" s="186" t="str">
        <f>IFERROR(__xludf.DUMMYFUNCTION("""COMPUTED_VALUE"""),"FALSO")</f>
        <v>FALSO</v>
      </c>
    </row>
    <row r="278">
      <c r="B278" s="186" t="str">
        <f>IFERROR(__xludf.DUMMYFUNCTION("""COMPUTED_VALUE"""),"PI7000Y")</f>
        <v>PI7000Y</v>
      </c>
      <c r="C278" s="186"/>
      <c r="D278" s="186" t="str">
        <f>IFERROR(__xludf.DUMMYFUNCTION("""COMPUTED_VALUE"""),"FALSO")</f>
        <v>FALSO</v>
      </c>
    </row>
    <row r="279">
      <c r="B279" s="186" t="str">
        <f>IFERROR(__xludf.DUMMYFUNCTION("""COMPUTED_VALUE"""),"GE0104")</f>
        <v>GE0104</v>
      </c>
      <c r="C279" s="186"/>
      <c r="D279" s="186" t="str">
        <f>IFERROR(__xludf.DUMMYFUNCTION("""COMPUTED_VALUE"""),"FALSO")</f>
        <v>FALSO</v>
      </c>
    </row>
    <row r="280">
      <c r="B280" s="186" t="str">
        <f>IFERROR(__xludf.DUMMYFUNCTION("""COMPUTED_VALUE"""),"PI7345Y")</f>
        <v>PI7345Y</v>
      </c>
      <c r="C280" s="186"/>
      <c r="D280" s="186" t="str">
        <f>IFERROR(__xludf.DUMMYFUNCTION("""COMPUTED_VALUE"""),"FALSO")</f>
        <v>FALSO</v>
      </c>
    </row>
    <row r="281">
      <c r="B281" s="186" t="str">
        <f>IFERROR(__xludf.DUMMYFUNCTION("""COMPUTED_VALUE"""),"PI5545Y")</f>
        <v>PI5545Y</v>
      </c>
      <c r="C281" s="186" t="str">
        <f>IFERROR(__xludf.DUMMYFUNCTION("""COMPUTED_VALUE"""),"RELOGIO SPEAKER LUZ GRADUAL MEU TEMPO")</f>
        <v>RELOGIO SPEAKER LUZ GRADUAL MEU TEMPO</v>
      </c>
      <c r="D281" s="186" t="str">
        <f>IFERROR(__xludf.DUMMYFUNCTION("""COMPUTED_VALUE"""),"Anatel Category 2 - Bluetooth Module")</f>
        <v>Anatel Category 2 - Bluetooth Module</v>
      </c>
    </row>
    <row r="282">
      <c r="B282" s="186" t="str">
        <f>IFERROR(__xludf.DUMMYFUNCTION("""COMPUTED_VALUE"""),"PI5545Y")</f>
        <v>PI5545Y</v>
      </c>
      <c r="C282" s="186" t="str">
        <f>IFERROR(__xludf.DUMMYFUNCTION("""COMPUTED_VALUE"""),"RELOGIO SPEAKER LUZ GRADUAL MEU TEMPO")</f>
        <v>RELOGIO SPEAKER LUZ GRADUAL MEU TEMPO</v>
      </c>
      <c r="D282" s="186" t="str">
        <f>IFERROR(__xludf.DUMMYFUNCTION("""COMPUTED_VALUE"""),"Anatel Category 2 - Bluetooth Module")</f>
        <v>Anatel Category 2 - Bluetooth Module</v>
      </c>
    </row>
    <row r="283">
      <c r="B283" s="186" t="str">
        <f>IFERROR(__xludf.DUMMYFUNCTION("""COMPUTED_VALUE"""),"PI6149Y")</f>
        <v>PI6149Y</v>
      </c>
      <c r="C283" s="186"/>
      <c r="D283" s="186" t="str">
        <f>IFERROR(__xludf.DUMMYFUNCTION("""COMPUTED_VALUE"""),"FALSO")</f>
        <v>FALSO</v>
      </c>
    </row>
    <row r="284">
      <c r="B284" s="186" t="str">
        <f>IFERROR(__xludf.DUMMYFUNCTION("""COMPUTED_VALUE"""),"PI7195Y")</f>
        <v>PI7195Y</v>
      </c>
      <c r="C284" s="186"/>
      <c r="D284" s="186" t="str">
        <f>IFERROR(__xludf.DUMMYFUNCTION("""COMPUTED_VALUE"""),"FALSO")</f>
        <v>FALSO</v>
      </c>
    </row>
    <row r="285">
      <c r="B285" s="186" t="str">
        <f>IFERROR(__xludf.DUMMYFUNCTION("""COMPUTED_VALUE"""),"PI6289Y")</f>
        <v>PI6289Y</v>
      </c>
      <c r="C285" s="186"/>
      <c r="D285" s="186" t="str">
        <f>IFERROR(__xludf.DUMMYFUNCTION("""COMPUTED_VALUE"""),"FALSO")</f>
        <v>FALSO</v>
      </c>
    </row>
    <row r="286">
      <c r="B286" s="186" t="str">
        <f>IFERROR(__xludf.DUMMYFUNCTION("""COMPUTED_VALUE"""),"PI6010Y")</f>
        <v>PI6010Y</v>
      </c>
      <c r="C286" s="186"/>
      <c r="D286" s="186" t="str">
        <f>IFERROR(__xludf.DUMMYFUNCTION("""COMPUTED_VALUE"""),"FALSO")</f>
        <v>FALSO</v>
      </c>
    </row>
    <row r="287">
      <c r="B287" s="186" t="str">
        <f>IFERROR(__xludf.DUMMYFUNCTION("""COMPUTED_VALUE"""),"PI7980Y")</f>
        <v>PI7980Y</v>
      </c>
      <c r="C287" s="186"/>
      <c r="D287" s="186" t="str">
        <f>IFERROR(__xludf.DUMMYFUNCTION("""COMPUTED_VALUE"""),"FALSO")</f>
        <v>FALSO</v>
      </c>
    </row>
    <row r="288">
      <c r="B288" s="186" t="str">
        <f>IFERROR(__xludf.DUMMYFUNCTION("""COMPUTED_VALUE"""),"PI7381Y")</f>
        <v>PI7381Y</v>
      </c>
      <c r="C288" s="186"/>
      <c r="D288" s="186" t="str">
        <f>IFERROR(__xludf.DUMMYFUNCTION("""COMPUTED_VALUE"""),"FALSO")</f>
        <v>FALSO</v>
      </c>
    </row>
    <row r="289">
      <c r="B289" s="186" t="str">
        <f>IFERROR(__xludf.DUMMYFUNCTION("""COMPUTED_VALUE"""),"PI6714Y")</f>
        <v>PI6714Y</v>
      </c>
      <c r="C289" s="186"/>
      <c r="D289" s="186" t="str">
        <f>IFERROR(__xludf.DUMMYFUNCTION("""COMPUTED_VALUE"""),"FALSO")</f>
        <v>FALSO</v>
      </c>
    </row>
    <row r="290">
      <c r="B290" s="186" t="str">
        <f>IFERROR(__xludf.DUMMYFUNCTION("""COMPUTED_VALUE"""),"PI6894Y")</f>
        <v>PI6894Y</v>
      </c>
      <c r="C290" s="186"/>
      <c r="D290" s="186" t="str">
        <f>IFERROR(__xludf.DUMMYFUNCTION("""COMPUTED_VALUE"""),"FALSO")</f>
        <v>FALSO</v>
      </c>
    </row>
    <row r="291">
      <c r="B291" s="186" t="str">
        <f>IFERROR(__xludf.DUMMYFUNCTION("""COMPUTED_VALUE"""),"PI7979Y")</f>
        <v>PI7979Y</v>
      </c>
      <c r="C291" s="186"/>
      <c r="D291" s="186" t="str">
        <f>IFERROR(__xludf.DUMMYFUNCTION("""COMPUTED_VALUE"""),"FALSO")</f>
        <v>FALSO</v>
      </c>
    </row>
    <row r="292">
      <c r="B292" s="186" t="str">
        <f>IFERROR(__xludf.DUMMYFUNCTION("""COMPUTED_VALUE"""),"PI5369Y")</f>
        <v>PI5369Y</v>
      </c>
      <c r="C292" s="186"/>
      <c r="D292" s="186" t="str">
        <f>IFERROR(__xludf.DUMMYFUNCTION("""COMPUTED_VALUE"""),"FALSO")</f>
        <v>FALSO</v>
      </c>
    </row>
    <row r="293">
      <c r="B293" s="186" t="str">
        <f>IFERROR(__xludf.DUMMYFUNCTION("""COMPUTED_VALUE"""),"PI5887Y")</f>
        <v>PI5887Y</v>
      </c>
      <c r="C293" s="186"/>
      <c r="D293" s="186" t="str">
        <f>IFERROR(__xludf.DUMMYFUNCTION("""COMPUTED_VALUE"""),"FALSO")</f>
        <v>FALSO</v>
      </c>
    </row>
    <row r="294">
      <c r="B294" s="186" t="str">
        <f>IFERROR(__xludf.DUMMYFUNCTION("""COMPUTED_VALUE"""),"PI5092Y")</f>
        <v>PI5092Y</v>
      </c>
      <c r="C294" s="186"/>
      <c r="D294" s="186" t="str">
        <f>IFERROR(__xludf.DUMMYFUNCTION("""COMPUTED_VALUE"""),"FALSO")</f>
        <v>FALSO</v>
      </c>
    </row>
    <row r="295">
      <c r="B295" s="186" t="str">
        <f>IFERROR(__xludf.DUMMYFUNCTION("""COMPUTED_VALUE"""),"PI5298")</f>
        <v>PI5298</v>
      </c>
      <c r="C295" s="186"/>
      <c r="D295" s="186" t="str">
        <f>IFERROR(__xludf.DUMMYFUNCTION("""COMPUTED_VALUE"""),"FALSO")</f>
        <v>FALSO</v>
      </c>
    </row>
    <row r="296">
      <c r="B296" s="186" t="str">
        <f>IFERROR(__xludf.DUMMYFUNCTION("""COMPUTED_VALUE"""),"PI5365Y")</f>
        <v>PI5365Y</v>
      </c>
      <c r="C296" s="186"/>
      <c r="D296" s="186" t="str">
        <f>IFERROR(__xludf.DUMMYFUNCTION("""COMPUTED_VALUE"""),"FALSO")</f>
        <v>FALSO</v>
      </c>
    </row>
    <row r="297">
      <c r="B297" s="186" t="str">
        <f>IFERROR(__xludf.DUMMYFUNCTION("""COMPUTED_VALUE"""),"CS2067")</f>
        <v>CS2067</v>
      </c>
      <c r="C297" s="186" t="str">
        <f>IFERROR(__xludf.DUMMYFUNCTION("""COMPUTED_VALUE"""),"COMEDOURO PET HP FEITICOS")</f>
        <v>COMEDOURO PET HP FEITICOS</v>
      </c>
      <c r="D297" s="186" t="str">
        <f>IFERROR(__xludf.DUMMYFUNCTION("""COMPUTED_VALUE"""),"FALSO")</f>
        <v>FALSO</v>
      </c>
    </row>
    <row r="298">
      <c r="B298" s="186" t="str">
        <f>IFERROR(__xludf.DUMMYFUNCTION("""COMPUTED_VALUE"""),"PI5156Y")</f>
        <v>PI5156Y</v>
      </c>
      <c r="C298" s="186"/>
      <c r="D298" s="186" t="str">
        <f>IFERROR(__xludf.DUMMYFUNCTION("""COMPUTED_VALUE"""),"FALSO")</f>
        <v>FALSO</v>
      </c>
    </row>
    <row r="299">
      <c r="B299" s="186" t="str">
        <f>IFERROR(__xludf.DUMMYFUNCTION("""COMPUTED_VALUE"""),"PI6013Y")</f>
        <v>PI6013Y</v>
      </c>
      <c r="C299" s="186"/>
      <c r="D299" s="186" t="str">
        <f>IFERROR(__xludf.DUMMYFUNCTION("""COMPUTED_VALUE"""),"FALSO")</f>
        <v>FALSO</v>
      </c>
    </row>
    <row r="300">
      <c r="B300" s="186" t="str">
        <f>IFERROR(__xludf.DUMMYFUNCTION("""COMPUTED_VALUE"""),"CS2245")</f>
        <v>CS2245</v>
      </c>
      <c r="C300" s="186"/>
      <c r="D300" s="186" t="str">
        <f>IFERROR(__xludf.DUMMYFUNCTION("""COMPUTED_VALUE"""),"FALSO")</f>
        <v>FALSO</v>
      </c>
    </row>
    <row r="301">
      <c r="B301" s="186" t="str">
        <f>IFERROR(__xludf.DUMMYFUNCTION("""COMPUTED_VALUE"""),"CS2087")</f>
        <v>CS2087</v>
      </c>
      <c r="C301" s="186"/>
      <c r="D301" s="186" t="str">
        <f>IFERROR(__xludf.DUMMYFUNCTION("""COMPUTED_VALUE"""),"FALSO")</f>
        <v>FALSO</v>
      </c>
    </row>
    <row r="302">
      <c r="B302" s="186" t="str">
        <f>IFERROR(__xludf.DUMMYFUNCTION("""COMPUTED_VALUE"""),"CS2080")</f>
        <v>CS2080</v>
      </c>
      <c r="C302" s="186"/>
      <c r="D302" s="186" t="str">
        <f>IFERROR(__xludf.DUMMYFUNCTION("""COMPUTED_VALUE"""),"FALSO")</f>
        <v>FALSO</v>
      </c>
    </row>
    <row r="303">
      <c r="B303" s="186" t="str">
        <f>IFERROR(__xludf.DUMMYFUNCTION("""COMPUTED_VALUE"""),"CS2032")</f>
        <v>CS2032</v>
      </c>
      <c r="C303" s="186" t="str">
        <f>IFERROR(__xludf.DUMMYFUNCTION("""COMPUTED_VALUE"""),"CONJUNTO DE CANECAS ZECA DEIXA ROLAR")</f>
        <v>CONJUNTO DE CANECAS ZECA DEIXA ROLAR</v>
      </c>
      <c r="D303" s="186" t="str">
        <f>IFERROR(__xludf.DUMMYFUNCTION("""COMPUTED_VALUE"""),"FALSO")</f>
        <v>FALSO</v>
      </c>
    </row>
    <row r="304">
      <c r="B304" s="186" t="str">
        <f>IFERROR(__xludf.DUMMYFUNCTION("""COMPUTED_VALUE"""),"CS2115")</f>
        <v>CS2115</v>
      </c>
      <c r="C304" s="186"/>
      <c r="D304" s="186" t="str">
        <f>IFERROR(__xludf.DUMMYFUNCTION("""COMPUTED_VALUE"""),"FALSO")</f>
        <v>FALSO</v>
      </c>
    </row>
    <row r="305">
      <c r="B305" s="186" t="str">
        <f>IFERROR(__xludf.DUMMYFUNCTION("""COMPUTED_VALUE"""),"CS2106")</f>
        <v>CS2106</v>
      </c>
      <c r="C305" s="186"/>
      <c r="D305" s="186" t="str">
        <f>IFERROR(__xludf.DUMMYFUNCTION("""COMPUTED_VALUE"""),"FALSO")</f>
        <v>FALSO</v>
      </c>
    </row>
    <row r="306">
      <c r="B306" s="186" t="str">
        <f>IFERROR(__xludf.DUMMYFUNCTION("""COMPUTED_VALUE"""),"CS2212")</f>
        <v>CS2212</v>
      </c>
      <c r="C306" s="186"/>
      <c r="D306" s="186" t="str">
        <f>IFERROR(__xludf.DUMMYFUNCTION("""COMPUTED_VALUE"""),"FALSO")</f>
        <v>FALSO</v>
      </c>
    </row>
    <row r="307">
      <c r="B307" s="186" t="str">
        <f>IFERROR(__xludf.DUMMYFUNCTION("""COMPUTED_VALUE"""),"CS2212")</f>
        <v>CS2212</v>
      </c>
      <c r="C307" s="186" t="str">
        <f>IFERROR(__xludf.DUMMYFUNCTION("""COMPUTED_VALUE"""),"CONJUNTO DE TACAS DE CHAMPANHE TIM TIM")</f>
        <v>CONJUNTO DE TACAS DE CHAMPANHE TIM TIM</v>
      </c>
      <c r="D307" s="186" t="str">
        <f>IFERROR(__xludf.DUMMYFUNCTION("""COMPUTED_VALUE"""),"FALSO")</f>
        <v>FALSO</v>
      </c>
    </row>
    <row r="308">
      <c r="B308" s="186" t="str">
        <f>IFERROR(__xludf.DUMMYFUNCTION("""COMPUTED_VALUE"""),"CS1968")</f>
        <v>CS1968</v>
      </c>
      <c r="C308" s="186" t="str">
        <f>IFERROR(__xludf.DUMMYFUNCTION("""COMPUTED_VALUE"""),"CONJUNTO DE XICARAS HP CASAS HOGWARTS")</f>
        <v>CONJUNTO DE XICARAS HP CASAS HOGWARTS</v>
      </c>
      <c r="D308" s="186" t="str">
        <f>IFERROR(__xludf.DUMMYFUNCTION("""COMPUTED_VALUE"""),"FALSO")</f>
        <v>FALSO</v>
      </c>
    </row>
    <row r="309">
      <c r="B309" s="186" t="str">
        <f>IFERROR(__xludf.DUMMYFUNCTION("""COMPUTED_VALUE"""),"PI6169Y")</f>
        <v>PI6169Y</v>
      </c>
      <c r="C309" s="186"/>
      <c r="D309" s="186" t="str">
        <f>IFERROR(__xludf.DUMMYFUNCTION("""COMPUTED_VALUE"""),"FALSO")</f>
        <v>FALSO</v>
      </c>
    </row>
    <row r="310">
      <c r="B310" s="186" t="str">
        <f>IFERROR(__xludf.DUMMYFUNCTION("""COMPUTED_VALUE"""),"PI5254Y")</f>
        <v>PI5254Y</v>
      </c>
      <c r="C310" s="186"/>
      <c r="D310" s="186" t="str">
        <f>IFERROR(__xludf.DUMMYFUNCTION("""COMPUTED_VALUE"""),"FALSO")</f>
        <v>FALSO</v>
      </c>
    </row>
    <row r="311">
      <c r="B311" s="186" t="str">
        <f>IFERROR(__xludf.DUMMYFUNCTION("""COMPUTED_VALUE"""),"PI5926Y")</f>
        <v>PI5926Y</v>
      </c>
      <c r="C311" s="186"/>
      <c r="D311" s="186" t="str">
        <f>IFERROR(__xludf.DUMMYFUNCTION("""COMPUTED_VALUE"""),"FALSO")</f>
        <v>FALSO</v>
      </c>
    </row>
    <row r="312">
      <c r="B312" s="186" t="str">
        <f>IFERROR(__xludf.DUMMYFUNCTION("""COMPUTED_VALUE"""),"PI5267Y")</f>
        <v>PI5267Y</v>
      </c>
      <c r="C312" s="186"/>
      <c r="D312" s="186" t="str">
        <f>IFERROR(__xludf.DUMMYFUNCTION("""COMPUTED_VALUE"""),"FALSO")</f>
        <v>FALSO</v>
      </c>
    </row>
    <row r="313">
      <c r="B313" s="186" t="str">
        <f>IFERROR(__xludf.DUMMYFUNCTION("""COMPUTED_VALUE"""),"PI5316Y")</f>
        <v>PI5316Y</v>
      </c>
      <c r="C313" s="186"/>
      <c r="D313" s="186" t="str">
        <f>IFERROR(__xludf.DUMMYFUNCTION("""COMPUTED_VALUE"""),"FALSO")</f>
        <v>FALSO</v>
      </c>
    </row>
    <row r="314">
      <c r="B314" s="186" t="str">
        <f>IFERROR(__xludf.DUMMYFUNCTION("""COMPUTED_VALUE"""),"PI4243Y")</f>
        <v>PI4243Y</v>
      </c>
      <c r="C314" s="186" t="str">
        <f>IFERROR(__xludf.DUMMYFUNCTION("""COMPUTED_VALUE"""),"BANDEJA LAPTOP DOBRAVEL CORTICA")</f>
        <v>BANDEJA LAPTOP DOBRAVEL CORTICA</v>
      </c>
      <c r="D314" s="186" t="str">
        <f>IFERROR(__xludf.DUMMYFUNCTION("""COMPUTED_VALUE"""),"FALSO")</f>
        <v>FALSO</v>
      </c>
    </row>
    <row r="315">
      <c r="B315" s="186" t="str">
        <f>IFERROR(__xludf.DUMMYFUNCTION("""COMPUTED_VALUE"""),"PI6060Y")</f>
        <v>PI6060Y</v>
      </c>
      <c r="C315" s="186"/>
      <c r="D315" s="186" t="str">
        <f>IFERROR(__xludf.DUMMYFUNCTION("""COMPUTED_VALUE"""),"FALSO")</f>
        <v>FALSO</v>
      </c>
    </row>
    <row r="316">
      <c r="B316" s="186" t="str">
        <f>IFERROR(__xludf.DUMMYFUNCTION("""COMPUTED_VALUE"""),"PI5253Y")</f>
        <v>PI5253Y</v>
      </c>
      <c r="C316" s="186"/>
      <c r="D316" s="186" t="str">
        <f>IFERROR(__xludf.DUMMYFUNCTION("""COMPUTED_VALUE"""),"FALSO")</f>
        <v>FALSO</v>
      </c>
    </row>
    <row r="317">
      <c r="B317" s="186" t="str">
        <f>IFERROR(__xludf.DUMMYFUNCTION("""COMPUTED_VALUE"""),"PI7923Y")</f>
        <v>PI7923Y</v>
      </c>
      <c r="C317" s="186"/>
      <c r="D317" s="186" t="str">
        <f>IFERROR(__xludf.DUMMYFUNCTION("""COMPUTED_VALUE"""),"FALSO")</f>
        <v>FALSO</v>
      </c>
    </row>
    <row r="318">
      <c r="B318" s="186" t="str">
        <f>IFERROR(__xludf.DUMMYFUNCTION("""COMPUTED_VALUE"""),"PI7924Y")</f>
        <v>PI7924Y</v>
      </c>
      <c r="C318" s="186"/>
      <c r="D318" s="186" t="str">
        <f>IFERROR(__xludf.DUMMYFUNCTION("""COMPUTED_VALUE"""),"FALSO")</f>
        <v>FALSO</v>
      </c>
    </row>
    <row r="319">
      <c r="B319" s="186" t="str">
        <f>IFERROR(__xludf.DUMMYFUNCTION("""COMPUTED_VALUE"""),"PI7925Y")</f>
        <v>PI7925Y</v>
      </c>
      <c r="C319" s="186"/>
      <c r="D319" s="186" t="str">
        <f>IFERROR(__xludf.DUMMYFUNCTION("""COMPUTED_VALUE"""),"FALSO")</f>
        <v>FALSO</v>
      </c>
    </row>
    <row r="320">
      <c r="B320" s="186" t="str">
        <f>IFERROR(__xludf.DUMMYFUNCTION("""COMPUTED_VALUE"""),"PI7446Y")</f>
        <v>PI7446Y</v>
      </c>
      <c r="C320" s="186"/>
      <c r="D320" s="186" t="str">
        <f>IFERROR(__xludf.DUMMYFUNCTION("""COMPUTED_VALUE"""),"FALSO")</f>
        <v>FALSO</v>
      </c>
    </row>
    <row r="321">
      <c r="B321" s="186" t="str">
        <f>IFERROR(__xludf.DUMMYFUNCTION("""COMPUTED_VALUE"""),"CS2476")</f>
        <v>CS2476</v>
      </c>
      <c r="C321" s="186"/>
      <c r="D321" s="186" t="str">
        <f>IFERROR(__xludf.DUMMYFUNCTION("""COMPUTED_VALUE"""),"FALSO")</f>
        <v>FALSO</v>
      </c>
    </row>
    <row r="322">
      <c r="B322" s="186" t="str">
        <f>IFERROR(__xludf.DUMMYFUNCTION("""COMPUTED_VALUE"""),"PI7228Y")</f>
        <v>PI7228Y</v>
      </c>
      <c r="C322" s="186"/>
      <c r="D322" s="186" t="str">
        <f>IFERROR(__xludf.DUMMYFUNCTION("""COMPUTED_VALUE"""),"Anatel Category 2 - Bluetooth and Radiofrequency Comms")</f>
        <v>Anatel Category 2 - Bluetooth and Radiofrequency Comms</v>
      </c>
    </row>
    <row r="323">
      <c r="B323" s="186" t="str">
        <f>IFERROR(__xludf.DUMMYFUNCTION("""COMPUTED_VALUE"""),"PI7017Y")</f>
        <v>PI7017Y</v>
      </c>
      <c r="C323" s="186"/>
      <c r="D323" s="186" t="str">
        <f>IFERROR(__xludf.DUMMYFUNCTION("""COMPUTED_VALUE"""),"FALSO")</f>
        <v>FALSO</v>
      </c>
    </row>
    <row r="324">
      <c r="B324" s="186" t="str">
        <f>IFERROR(__xludf.DUMMYFUNCTION("""COMPUTED_VALUE"""),"PI5018Y")</f>
        <v>PI5018Y</v>
      </c>
      <c r="C324" s="186"/>
      <c r="D324" s="186" t="str">
        <f>IFERROR(__xludf.DUMMYFUNCTION("""COMPUTED_VALUE"""),"FALSO")</f>
        <v>FALSO</v>
      </c>
    </row>
    <row r="325">
      <c r="B325" s="186" t="str">
        <f>IFERROR(__xludf.DUMMYFUNCTION("""COMPUTED_VALUE"""),"CS2124")</f>
        <v>CS2124</v>
      </c>
      <c r="C325" s="186" t="str">
        <f>IFERROR(__xludf.DUMMYFUNCTION("""COMPUTED_VALUE"""),"CANECA CUPIDO NOSSO AMOR")</f>
        <v>CANECA CUPIDO NOSSO AMOR</v>
      </c>
      <c r="D325" s="186" t="str">
        <f>IFERROR(__xludf.DUMMYFUNCTION("""COMPUTED_VALUE"""),"FALSO")</f>
        <v>FALSO</v>
      </c>
    </row>
    <row r="326">
      <c r="B326" s="186" t="str">
        <f>IFERROR(__xludf.DUMMYFUNCTION("""COMPUTED_VALUE"""),"CS2125")</f>
        <v>CS2125</v>
      </c>
      <c r="C326" s="186" t="str">
        <f>IFERROR(__xludf.DUMMYFUNCTION("""COMPUTED_VALUE"""),"CANECA POR ONDE FLOR")</f>
        <v>CANECA POR ONDE FLOR</v>
      </c>
      <c r="D326" s="186" t="str">
        <f>IFERROR(__xludf.DUMMYFUNCTION("""COMPUTED_VALUE"""),"FALSO")</f>
        <v>FALSO</v>
      </c>
    </row>
    <row r="327">
      <c r="B327" s="186" t="str">
        <f>IFERROR(__xludf.DUMMYFUNCTION("""COMPUTED_VALUE"""),"PI7265Y")</f>
        <v>PI7265Y</v>
      </c>
      <c r="C327" s="186"/>
      <c r="D327" s="186" t="str">
        <f>IFERROR(__xludf.DUMMYFUNCTION("""COMPUTED_VALUE"""),"FALSO")</f>
        <v>FALSO</v>
      </c>
    </row>
    <row r="328">
      <c r="B328" s="186" t="str">
        <f>IFERROR(__xludf.DUMMYFUNCTION("""COMPUTED_VALUE"""),"CS2127")</f>
        <v>CS2127</v>
      </c>
      <c r="C328" s="186" t="str">
        <f>IFERROR(__xludf.DUMMYFUNCTION("""COMPUTED_VALUE"""),"CANECA SOL QUENTINHO")</f>
        <v>CANECA SOL QUENTINHO</v>
      </c>
      <c r="D328" s="186" t="str">
        <f>IFERROR(__xludf.DUMMYFUNCTION("""COMPUTED_VALUE"""),"FALSO")</f>
        <v>FALSO</v>
      </c>
    </row>
    <row r="329">
      <c r="B329" s="186" t="str">
        <f>IFERROR(__xludf.DUMMYFUNCTION("""COMPUTED_VALUE"""),"PI5481Y")</f>
        <v>PI5481Y</v>
      </c>
      <c r="C329" s="186" t="str">
        <f>IFERROR(__xludf.DUMMYFUNCTION("""COMPUTED_VALUE"""),"COPO COM CANUDO HOLOGRAFICO FLORES")</f>
        <v>COPO COM CANUDO HOLOGRAFICO FLORES</v>
      </c>
      <c r="D329" s="186" t="str">
        <f>IFERROR(__xludf.DUMMYFUNCTION("""COMPUTED_VALUE"""),"FALSO")</f>
        <v>FALSO</v>
      </c>
    </row>
    <row r="330">
      <c r="B330" s="186" t="str">
        <f>IFERROR(__xludf.DUMMYFUNCTION("""COMPUTED_VALUE"""),"PI5083Y")</f>
        <v>PI5083Y</v>
      </c>
      <c r="C330" s="186"/>
      <c r="D330" s="186" t="str">
        <f>IFERROR(__xludf.DUMMYFUNCTION("""COMPUTED_VALUE"""),"FALSO")</f>
        <v>FALSO</v>
      </c>
    </row>
    <row r="331">
      <c r="B331" s="186" t="str">
        <f>IFERROR(__xludf.DUMMYFUNCTION("""COMPUTED_VALUE"""),"PI6331Y")</f>
        <v>PI6331Y</v>
      </c>
      <c r="C331" s="186"/>
      <c r="D331" s="186" t="str">
        <f>IFERROR(__xludf.DUMMYFUNCTION("""COMPUTED_VALUE"""),"FALSO")</f>
        <v>FALSO</v>
      </c>
    </row>
    <row r="332">
      <c r="B332" s="186" t="str">
        <f>IFERROR(__xludf.DUMMYFUNCTION("""COMPUTED_VALUE"""),"PI7435Y")</f>
        <v>PI7435Y</v>
      </c>
      <c r="C332" s="186"/>
      <c r="D332" s="186" t="str">
        <f>IFERROR(__xludf.DUMMYFUNCTION("""COMPUTED_VALUE"""),"FALSO")</f>
        <v>FALSO</v>
      </c>
    </row>
    <row r="333">
      <c r="B333" s="186" t="str">
        <f>IFERROR(__xludf.DUMMYFUNCTION("""COMPUTED_VALUE"""),"PI6138Y")</f>
        <v>PI6138Y</v>
      </c>
      <c r="C333" s="186" t="str">
        <f>IFERROR(__xludf.DUMMYFUNCTION("""COMPUTED_VALUE"""),"ALMOFADA COM MASCARA DOBRAVEL BORIS")</f>
        <v>ALMOFADA COM MASCARA DOBRAVEL BORIS</v>
      </c>
      <c r="D333" s="186" t="str">
        <f>IFERROR(__xludf.DUMMYFUNCTION("""COMPUTED_VALUE"""),"INMETRO Toys System 5 - Ordinance 302")</f>
        <v>INMETRO Toys System 5 - Ordinance 302</v>
      </c>
    </row>
    <row r="334">
      <c r="B334" s="186" t="str">
        <f>IFERROR(__xludf.DUMMYFUNCTION("""COMPUTED_VALUE"""),"PI5368Y")</f>
        <v>PI5368Y</v>
      </c>
      <c r="C334" s="186"/>
      <c r="D334" s="186" t="str">
        <f>IFERROR(__xludf.DUMMYFUNCTION("""COMPUTED_VALUE"""),"FALSO")</f>
        <v>FALSO</v>
      </c>
    </row>
    <row r="335">
      <c r="B335" s="186" t="str">
        <f>IFERROR(__xludf.DUMMYFUNCTION("""COMPUTED_VALUE"""),"PI5283Y")</f>
        <v>PI5283Y</v>
      </c>
      <c r="C335" s="186"/>
      <c r="D335" s="186" t="str">
        <f>IFERROR(__xludf.DUMMYFUNCTION("""COMPUTED_VALUE"""),"FALSO")</f>
        <v>FALSO</v>
      </c>
    </row>
    <row r="336">
      <c r="B336" s="186" t="str">
        <f>IFERROR(__xludf.DUMMYFUNCTION("""COMPUTED_VALUE"""),"PI5940Y")</f>
        <v>PI5940Y</v>
      </c>
      <c r="C336" s="186"/>
      <c r="D336" s="186" t="str">
        <f>IFERROR(__xludf.DUMMYFUNCTION("""COMPUTED_VALUE"""),"INMETRO Toys System 5 - Ordinance 302")</f>
        <v>INMETRO Toys System 5 - Ordinance 302</v>
      </c>
    </row>
    <row r="337">
      <c r="B337" s="186" t="str">
        <f>IFERROR(__xludf.DUMMYFUNCTION("""COMPUTED_VALUE"""),"PI6654Y")</f>
        <v>PI6654Y</v>
      </c>
      <c r="C337" s="186"/>
      <c r="D337" s="186" t="str">
        <f>IFERROR(__xludf.DUMMYFUNCTION("""COMPUTED_VALUE"""),"FALSO")</f>
        <v>FALSO</v>
      </c>
    </row>
    <row r="338">
      <c r="B338" s="186" t="str">
        <f>IFERROR(__xludf.DUMMYFUNCTION("""COMPUTED_VALUE"""),"PI6047Y")</f>
        <v>PI6047Y</v>
      </c>
      <c r="C338" s="186"/>
      <c r="D338" s="186" t="str">
        <f>IFERROR(__xludf.DUMMYFUNCTION("""COMPUTED_VALUE"""),"FALSO")</f>
        <v>FALSO</v>
      </c>
    </row>
    <row r="339">
      <c r="B339" s="186" t="str">
        <f>IFERROR(__xludf.DUMMYFUNCTION("""COMPUTED_VALUE"""),"PI5257Y")</f>
        <v>PI5257Y</v>
      </c>
      <c r="C339" s="186"/>
      <c r="D339" s="186" t="str">
        <f>IFERROR(__xludf.DUMMYFUNCTION("""COMPUTED_VALUE"""),"FALSO")</f>
        <v>FALSO</v>
      </c>
    </row>
    <row r="340">
      <c r="B340" s="186" t="str">
        <f>IFERROR(__xludf.DUMMYFUNCTION("""COMPUTED_VALUE"""),"PI5985Y")</f>
        <v>PI5985Y</v>
      </c>
      <c r="C340" s="186"/>
      <c r="D340" s="186" t="str">
        <f>IFERROR(__xludf.DUMMYFUNCTION("""COMPUTED_VALUE"""),"FALSO")</f>
        <v>FALSO</v>
      </c>
    </row>
    <row r="341">
      <c r="B341" s="186" t="str">
        <f>IFERROR(__xludf.DUMMYFUNCTION("""COMPUTED_VALUE"""),"PI6151Y")</f>
        <v>PI6151Y</v>
      </c>
      <c r="C341" s="186" t="str">
        <f>IFERROR(__xludf.DUMMYFUNCTION("""COMPUTED_VALUE"""),"AGENDA PLANOS FRESQUINHOS")</f>
        <v>AGENDA PLANOS FRESQUINHOS</v>
      </c>
      <c r="D341" s="186" t="str">
        <f>IFERROR(__xludf.DUMMYFUNCTION("""COMPUTED_VALUE"""),"FALSO")</f>
        <v>FALSO</v>
      </c>
    </row>
    <row r="342">
      <c r="B342" s="186" t="str">
        <f>IFERROR(__xludf.DUMMYFUNCTION("""COMPUTED_VALUE"""),"PI7718Y")</f>
        <v>PI7718Y</v>
      </c>
      <c r="C342" s="186" t="str">
        <f>IFERROR(__xludf.DUMMYFUNCTION("""COMPUTED_VALUE"""),"RELOGIO DIGITAL ASTRONAUTA")</f>
        <v>RELOGIO DIGITAL ASTRONAUTA</v>
      </c>
      <c r="D342" s="186" t="str">
        <f>IFERROR(__xludf.DUMMYFUNCTION("""COMPUTED_VALUE"""),"FALSO")</f>
        <v>FALSO</v>
      </c>
    </row>
    <row r="343">
      <c r="B343" s="186" t="str">
        <f>IFERROR(__xludf.DUMMYFUNCTION("""COMPUTED_VALUE"""),"PI7721Y")</f>
        <v>PI7721Y</v>
      </c>
      <c r="C343" s="186" t="str">
        <f>IFERROR(__xludf.DUMMYFUNCTION("""COMPUTED_VALUE"""),"RELOGIO DIGITAL URSO")</f>
        <v>RELOGIO DIGITAL URSO</v>
      </c>
      <c r="D343" s="186" t="str">
        <f>IFERROR(__xludf.DUMMYFUNCTION("""COMPUTED_VALUE"""),"FALSO")</f>
        <v>FALSO</v>
      </c>
    </row>
    <row r="344">
      <c r="B344" s="186" t="str">
        <f>IFERROR(__xludf.DUMMYFUNCTION("""COMPUTED_VALUE"""),"PI7720Y")</f>
        <v>PI7720Y</v>
      </c>
      <c r="C344" s="186" t="str">
        <f>IFERROR(__xludf.DUMMYFUNCTION("""COMPUTED_VALUE"""),"RELOGIO DIGITAL CAPIVARA")</f>
        <v>RELOGIO DIGITAL CAPIVARA</v>
      </c>
      <c r="D344" s="186" t="str">
        <f>IFERROR(__xludf.DUMMYFUNCTION("""COMPUTED_VALUE"""),"FALSO")</f>
        <v>FALSO</v>
      </c>
    </row>
    <row r="345">
      <c r="B345" s="186" t="str">
        <f>IFERROR(__xludf.DUMMYFUNCTION("""COMPUTED_VALUE"""),"PI7719Y")</f>
        <v>PI7719Y</v>
      </c>
      <c r="C345" s="358" t="str">
        <f>IFERROR(__xludf.DUMMYFUNCTION("""COMPUTED_VALUE"""),"RELOGIO DIGITAL ROBO")</f>
        <v>RELOGIO DIGITAL ROBO</v>
      </c>
      <c r="D345" s="186" t="str">
        <f>IFERROR(__xludf.DUMMYFUNCTION("""COMPUTED_VALUE"""),"FALSO")</f>
        <v>FALSO</v>
      </c>
    </row>
    <row r="346">
      <c r="B346" s="186" t="str">
        <f>IFERROR(__xludf.DUMMYFUNCTION("""COMPUTED_VALUE"""),"PI6673Y")</f>
        <v>PI6673Y</v>
      </c>
      <c r="C346" s="358" t="str">
        <f>IFERROR(__xludf.DUMMYFUNCTION("""COMPUTED_VALUE"""),"RELOGIO DIGITAL COM TEXTURA DE MADEIRA")</f>
        <v>RELOGIO DIGITAL COM TEXTURA DE MADEIRA</v>
      </c>
      <c r="D346" s="186" t="str">
        <f>IFERROR(__xludf.DUMMYFUNCTION("""COMPUTED_VALUE"""),"FALSO")</f>
        <v>FALSO</v>
      </c>
    </row>
    <row r="347">
      <c r="B347" s="186" t="str">
        <f>IFERROR(__xludf.DUMMYFUNCTION("""COMPUTED_VALUE"""),"PI6603Y")</f>
        <v>PI6603Y</v>
      </c>
      <c r="C347" s="358" t="str">
        <f>IFERROR(__xludf.DUMMYFUNCTION("""COMPUTED_VALUE"""),"PORTA RETRATO DIGITAL")</f>
        <v>PORTA RETRATO DIGITAL</v>
      </c>
      <c r="D347" s="186" t="str">
        <f>IFERROR(__xludf.DUMMYFUNCTION("""COMPUTED_VALUE"""),"FALSO")</f>
        <v>FALSO</v>
      </c>
    </row>
    <row r="348">
      <c r="B348" s="186" t="str">
        <f>IFERROR(__xludf.DUMMYFUNCTION("""COMPUTED_VALUE"""),"PI7031Y")</f>
        <v>PI7031Y</v>
      </c>
      <c r="C348" s="358" t="str">
        <f>IFERROR(__xludf.DUMMYFUNCTION("""COMPUTED_VALUE"""),"LUMINARIA DE SILICONE DINOSSAURO")</f>
        <v>LUMINARIA DE SILICONE DINOSSAURO</v>
      </c>
      <c r="D348" s="186" t="str">
        <f>IFERROR(__xludf.DUMMYFUNCTION("""COMPUTED_VALUE"""),"FALSO")</f>
        <v>FALSO</v>
      </c>
    </row>
    <row r="349">
      <c r="B349" s="186" t="str">
        <f>IFERROR(__xludf.DUMMYFUNCTION("""COMPUTED_VALUE"""),"PI5901Y")</f>
        <v>PI5901Y</v>
      </c>
      <c r="C349" s="186"/>
      <c r="D349" s="186" t="str">
        <f>IFERROR(__xludf.DUMMYFUNCTION("""COMPUTED_VALUE"""),"FALSO")</f>
        <v>FALSO</v>
      </c>
    </row>
    <row r="350">
      <c r="B350" s="186" t="str">
        <f>IFERROR(__xludf.DUMMYFUNCTION("""COMPUTED_VALUE"""),"PI5901Y")</f>
        <v>PI5901Y</v>
      </c>
      <c r="C350" s="186"/>
      <c r="D350" s="186" t="str">
        <f>IFERROR(__xludf.DUMMYFUNCTION("""COMPUTED_VALUE"""),"FALSO")</f>
        <v>FALSO</v>
      </c>
    </row>
    <row r="351">
      <c r="B351" s="186" t="str">
        <f>IFERROR(__xludf.DUMMYFUNCTION("""COMPUTED_VALUE"""),"PI6184Y")</f>
        <v>PI6184Y</v>
      </c>
      <c r="C351" s="186"/>
      <c r="D351" s="186" t="str">
        <f>IFERROR(__xludf.DUMMYFUNCTION("""COMPUTED_VALUE"""),"FALSO")</f>
        <v>FALSO</v>
      </c>
    </row>
    <row r="352">
      <c r="B352" s="186" t="str">
        <f>IFERROR(__xludf.DUMMYFUNCTION("""COMPUTED_VALUE"""),"PI6186Y")</f>
        <v>PI6186Y</v>
      </c>
      <c r="C352" s="186"/>
      <c r="D352" s="186" t="str">
        <f>IFERROR(__xludf.DUMMYFUNCTION("""COMPUTED_VALUE"""),"Anatel Category 2 - Bluetooth Module")</f>
        <v>Anatel Category 2 - Bluetooth Module</v>
      </c>
    </row>
    <row r="353">
      <c r="B353" s="186" t="str">
        <f>IFERROR(__xludf.DUMMYFUNCTION("""COMPUTED_VALUE"""),"PI5858Y")</f>
        <v>PI5858Y</v>
      </c>
      <c r="C353" s="186"/>
      <c r="D353" s="186" t="str">
        <f>IFERROR(__xludf.DUMMYFUNCTION("""COMPUTED_VALUE"""),"FALSO")</f>
        <v>FALSO</v>
      </c>
    </row>
    <row r="354">
      <c r="B354" s="186" t="str">
        <f>IFERROR(__xludf.DUMMYFUNCTION("""COMPUTED_VALUE"""),"PI6494Y")</f>
        <v>PI6494Y</v>
      </c>
      <c r="C354" s="186" t="str">
        <f>IFERROR(__xludf.DUMMYFUNCTION("""COMPUTED_VALUE"""),"PORTA RETRATO CACHORRO / GATO")</f>
        <v>PORTA RETRATO CACHORRO / GATO</v>
      </c>
      <c r="D354" s="186" t="str">
        <f>IFERROR(__xludf.DUMMYFUNCTION("""COMPUTED_VALUE"""),"FALSO")</f>
        <v>FALSO</v>
      </c>
    </row>
    <row r="355">
      <c r="B355" s="186" t="str">
        <f>IFERROR(__xludf.DUMMYFUNCTION("""COMPUTED_VALUE"""),"PI5087Y")</f>
        <v>PI5087Y</v>
      </c>
      <c r="C355" s="186"/>
      <c r="D355" s="186" t="str">
        <f>IFERROR(__xludf.DUMMYFUNCTION("""COMPUTED_VALUE"""),"FALSO")</f>
        <v>FALSO</v>
      </c>
    </row>
    <row r="356">
      <c r="B356" s="186" t="str">
        <f>IFERROR(__xludf.DUMMYFUNCTION("""COMPUTED_VALUE"""),"PI5549Y")</f>
        <v>PI5549Y</v>
      </c>
      <c r="C356" s="186" t="str">
        <f>IFERROR(__xludf.DUMMYFUNCTION("""COMPUTED_VALUE"""),"JOGO DOMINO TA EM CASA")</f>
        <v>JOGO DOMINO TA EM CASA</v>
      </c>
      <c r="D356" s="186" t="str">
        <f>IFERROR(__xludf.DUMMYFUNCTION("""COMPUTED_VALUE"""),"INMETRO Toys System 5 - Ordinance 302")</f>
        <v>INMETRO Toys System 5 - Ordinance 302</v>
      </c>
    </row>
    <row r="357">
      <c r="B357" s="186" t="str">
        <f>IFERROR(__xludf.DUMMYFUNCTION("""COMPUTED_VALUE"""),"PI6672Y")</f>
        <v>PI6672Y</v>
      </c>
      <c r="C357" s="186"/>
      <c r="D357" s="186" t="str">
        <f>IFERROR(__xludf.DUMMYFUNCTION("""COMPUTED_VALUE"""),"FALSO")</f>
        <v>FALSO</v>
      </c>
    </row>
    <row r="358">
      <c r="B358" s="186" t="str">
        <f>IFERROR(__xludf.DUMMYFUNCTION("""COMPUTED_VALUE"""),"PI6344Y")</f>
        <v>PI6344Y</v>
      </c>
      <c r="C358" s="186"/>
      <c r="D358" s="186" t="str">
        <f>IFERROR(__xludf.DUMMYFUNCTION("""COMPUTED_VALUE"""),"FALSO")</f>
        <v>FALSO</v>
      </c>
    </row>
    <row r="359">
      <c r="B359" s="186" t="str">
        <f>IFERROR(__xludf.DUMMYFUNCTION("""COMPUTED_VALUE"""),"PI7665Y")</f>
        <v>PI7665Y</v>
      </c>
      <c r="C359" s="186" t="str">
        <f>IFERROR(__xludf.DUMMYFUNCTION("""COMPUTED_VALUE"""),"DUPLA CANECAS LIVRO DICIONARIO DO CAFE")</f>
        <v>DUPLA CANECAS LIVRO DICIONARIO DO CAFE</v>
      </c>
      <c r="D359" s="186" t="str">
        <f>IFERROR(__xludf.DUMMYFUNCTION("""COMPUTED_VALUE"""),"FALSO")</f>
        <v>FALSO</v>
      </c>
    </row>
    <row r="360">
      <c r="B360" s="186" t="str">
        <f>IFERROR(__xludf.DUMMYFUNCTION("""COMPUTED_VALUE"""),"PI7665Y")</f>
        <v>PI7665Y</v>
      </c>
      <c r="C360" s="186" t="str">
        <f>IFERROR(__xludf.DUMMYFUNCTION("""COMPUTED_VALUE"""),"DUPLA CANECAS LIVRO DICIONARIO DO CAFE")</f>
        <v>DUPLA CANECAS LIVRO DICIONARIO DO CAFE</v>
      </c>
      <c r="D360" s="186" t="str">
        <f>IFERROR(__xludf.DUMMYFUNCTION("""COMPUTED_VALUE"""),"FALSO")</f>
        <v>FALSO</v>
      </c>
    </row>
    <row r="361">
      <c r="B361" s="186" t="str">
        <f>IFERROR(__xludf.DUMMYFUNCTION("""COMPUTED_VALUE"""),"PI6778Y")</f>
        <v>PI6778Y</v>
      </c>
      <c r="C361" s="186" t="str">
        <f>IFERROR(__xludf.DUMMYFUNCTION("""COMPUTED_VALUE"""),"DUPLA CASTICAIS DE CERAMICA LISTRADOS PB")</f>
        <v>DUPLA CASTICAIS DE CERAMICA LISTRADOS PB</v>
      </c>
      <c r="D361" s="186" t="str">
        <f>IFERROR(__xludf.DUMMYFUNCTION("""COMPUTED_VALUE"""),"FALSO")</f>
        <v>FALSO</v>
      </c>
    </row>
    <row r="362">
      <c r="B362" s="186" t="str">
        <f>IFERROR(__xludf.DUMMYFUNCTION("""COMPUTED_VALUE"""),"PI5870Y")</f>
        <v>PI5870Y</v>
      </c>
      <c r="C362" s="186"/>
      <c r="D362" s="186" t="str">
        <f>IFERROR(__xludf.DUMMYFUNCTION("""COMPUTED_VALUE"""),"FALSO")</f>
        <v>FALSO</v>
      </c>
    </row>
    <row r="363">
      <c r="B363" s="186" t="str">
        <f>IFERROR(__xludf.DUMMYFUNCTION("""COMPUTED_VALUE"""),"PI5820Y")</f>
        <v>PI5820Y</v>
      </c>
      <c r="C363" s="186" t="str">
        <f>IFERROR(__xludf.DUMMYFUNCTION("""COMPUTED_VALUE"""),"PORTA RETRATO DUPLO SOL ENERGIA")</f>
        <v>PORTA RETRATO DUPLO SOL ENERGIA</v>
      </c>
      <c r="D363" s="186" t="str">
        <f>IFERROR(__xludf.DUMMYFUNCTION("""COMPUTED_VALUE"""),"FALSO")</f>
        <v>FALSO</v>
      </c>
    </row>
    <row r="364">
      <c r="B364" s="186" t="str">
        <f>IFERROR(__xludf.DUMMYFUNCTION("""COMPUTED_VALUE"""),"PI5024Y")</f>
        <v>PI5024Y</v>
      </c>
      <c r="C364" s="186"/>
      <c r="D364" s="186" t="str">
        <f>IFERROR(__xludf.DUMMYFUNCTION("""COMPUTED_VALUE"""),"FALSO")</f>
        <v>FALSO</v>
      </c>
    </row>
    <row r="365">
      <c r="B365" s="186" t="str">
        <f>IFERROR(__xludf.DUMMYFUNCTION("""COMPUTED_VALUE"""),"PI7218")</f>
        <v>PI7218</v>
      </c>
      <c r="C365" s="186"/>
      <c r="D365" s="186" t="str">
        <f>IFERROR(__xludf.DUMMYFUNCTION("""COMPUTED_VALUE"""),"FALSO")</f>
        <v>FALSO</v>
      </c>
    </row>
    <row r="366">
      <c r="B366" s="186" t="str">
        <f>IFERROR(__xludf.DUMMYFUNCTION("""COMPUTED_VALUE"""),"PI6290")</f>
        <v>PI6290</v>
      </c>
      <c r="C366" s="186" t="str">
        <f>IFERROR(__xludf.DUMMYFUNCTION("""COMPUTED_VALUE"""),"ESPELHO CAMARIM ILUMINANDO A CADA PASSO")</f>
        <v>ESPELHO CAMARIM ILUMINANDO A CADA PASSO</v>
      </c>
      <c r="D366" s="186" t="str">
        <f>IFERROR(__xludf.DUMMYFUNCTION("""COMPUTED_VALUE"""),"FALSO")</f>
        <v>FALSO</v>
      </c>
    </row>
    <row r="367">
      <c r="B367" s="186" t="str">
        <f>IFERROR(__xludf.DUMMYFUNCTION("""COMPUTED_VALUE"""),"PI7153")</f>
        <v>PI7153</v>
      </c>
      <c r="C367" s="186"/>
      <c r="D367" s="186" t="str">
        <f>IFERROR(__xludf.DUMMYFUNCTION("""COMPUTED_VALUE"""),"FALSO")</f>
        <v>FALSO</v>
      </c>
    </row>
    <row r="368">
      <c r="B368" s="186" t="str">
        <f>IFERROR(__xludf.DUMMYFUNCTION("""COMPUTED_VALUE"""),"PI5886Y")</f>
        <v>PI5886Y</v>
      </c>
      <c r="C368" s="186"/>
      <c r="D368" s="186" t="str">
        <f>IFERROR(__xludf.DUMMYFUNCTION("""COMPUTED_VALUE"""),"FALSO")</f>
        <v>FALSO</v>
      </c>
    </row>
    <row r="369">
      <c r="B369" s="186" t="str">
        <f>IFERROR(__xludf.DUMMYFUNCTION("""COMPUTED_VALUE"""),"PI5877Y")</f>
        <v>PI5877Y</v>
      </c>
      <c r="C369" s="186"/>
      <c r="D369" s="186" t="str">
        <f>IFERROR(__xludf.DUMMYFUNCTION("""COMPUTED_VALUE"""),"FALSO")</f>
        <v>FALSO</v>
      </c>
    </row>
    <row r="370">
      <c r="B370" s="186" t="str">
        <f>IFERROR(__xludf.DUMMYFUNCTION("""COMPUTED_VALUE"""),"PI5882Y")</f>
        <v>PI5882Y</v>
      </c>
      <c r="C370" s="186"/>
      <c r="D370" s="186" t="str">
        <f>IFERROR(__xludf.DUMMYFUNCTION("""COMPUTED_VALUE"""),"FALSO")</f>
        <v>FALSO</v>
      </c>
    </row>
    <row r="371">
      <c r="B371" s="186" t="str">
        <f>IFERROR(__xludf.DUMMYFUNCTION("""COMPUTED_VALUE"""),"CS2503")</f>
        <v>CS2503</v>
      </c>
      <c r="C371" s="186"/>
      <c r="D371" s="186" t="str">
        <f>IFERROR(__xludf.DUMMYFUNCTION("""COMPUTED_VALUE"""),"FALSO")</f>
        <v>FALSO</v>
      </c>
    </row>
    <row r="372">
      <c r="B372" s="186" t="str">
        <f>IFERROR(__xludf.DUMMYFUNCTION("""COMPUTED_VALUE"""),"CS2290")</f>
        <v>CS2290</v>
      </c>
      <c r="C372" s="186" t="str">
        <f>IFERROR(__xludf.DUMMYFUNCTION("""COMPUTED_VALUE"""),"DUPLA DE CANECAS ENCAIXE PERFEITO")</f>
        <v>DUPLA DE CANECAS ENCAIXE PERFEITO</v>
      </c>
      <c r="D372" s="186" t="str">
        <f>IFERROR(__xludf.DUMMYFUNCTION("""COMPUTED_VALUE"""),"FALSO")</f>
        <v>FALSO</v>
      </c>
    </row>
    <row r="373">
      <c r="B373" s="186" t="str">
        <f>IFERROR(__xludf.DUMMYFUNCTION("""COMPUTED_VALUE"""),"CS2440")</f>
        <v>CS2440</v>
      </c>
      <c r="C373" s="186"/>
      <c r="D373" s="186" t="str">
        <f>IFERROR(__xludf.DUMMYFUNCTION("""COMPUTED_VALUE"""),"FALSO")</f>
        <v>FALSO</v>
      </c>
    </row>
    <row r="374">
      <c r="B374" s="186" t="str">
        <f>IFERROR(__xludf.DUMMYFUNCTION("""COMPUTED_VALUE"""),"PI5836Y")</f>
        <v>PI5836Y</v>
      </c>
      <c r="C374" s="186"/>
      <c r="D374" s="186" t="str">
        <f>IFERROR(__xludf.DUMMYFUNCTION("""COMPUTED_VALUE"""),"FALSO")</f>
        <v>FALSO</v>
      </c>
    </row>
    <row r="375">
      <c r="B375" s="186" t="str">
        <f>IFERROR(__xludf.DUMMYFUNCTION("""COMPUTED_VALUE"""),"CS2206")</f>
        <v>CS2206</v>
      </c>
      <c r="C375" s="186"/>
      <c r="D375" s="186" t="str">
        <f>IFERROR(__xludf.DUMMYFUNCTION("""COMPUTED_VALUE"""),"FALSO")</f>
        <v>FALSO</v>
      </c>
    </row>
    <row r="376">
      <c r="B376" s="186" t="str">
        <f>IFERROR(__xludf.DUMMYFUNCTION("""COMPUTED_VALUE"""),"CS2036")</f>
        <v>CS2036</v>
      </c>
      <c r="C376" s="186"/>
      <c r="D376" s="186" t="str">
        <f>IFERROR(__xludf.DUMMYFUNCTION("""COMPUTED_VALUE"""),"FALSO")</f>
        <v>FALSO</v>
      </c>
    </row>
    <row r="377">
      <c r="B377" s="186" t="str">
        <f>IFERROR(__xludf.DUMMYFUNCTION("""COMPUTED_VALUE"""),"CS2436")</f>
        <v>CS2436</v>
      </c>
      <c r="C377" s="186"/>
      <c r="D377" s="186" t="str">
        <f>IFERROR(__xludf.DUMMYFUNCTION("""COMPUTED_VALUE"""),"FALSO")</f>
        <v>FALSO</v>
      </c>
    </row>
    <row r="378">
      <c r="B378" s="186" t="str">
        <f>IFERROR(__xludf.DUMMYFUNCTION("""COMPUTED_VALUE"""),"CS2200")</f>
        <v>CS2200</v>
      </c>
      <c r="C378" s="186"/>
      <c r="D378" s="186" t="str">
        <f>IFERROR(__xludf.DUMMYFUNCTION("""COMPUTED_VALUE"""),"FALSO")</f>
        <v>FALSO</v>
      </c>
    </row>
    <row r="379">
      <c r="B379" s="186" t="str">
        <f>IFERROR(__xludf.DUMMYFUNCTION("""COMPUTED_VALUE"""),"CS2072")</f>
        <v>CS2072</v>
      </c>
      <c r="C379" s="186"/>
      <c r="D379" s="186" t="str">
        <f>IFERROR(__xludf.DUMMYFUNCTION("""COMPUTED_VALUE"""),"FALSO")</f>
        <v>FALSO</v>
      </c>
    </row>
    <row r="380">
      <c r="B380" s="186" t="str">
        <f>IFERROR(__xludf.DUMMYFUNCTION("""COMPUTED_VALUE"""),"CS2008")</f>
        <v>CS2008</v>
      </c>
      <c r="C380" s="186" t="str">
        <f>IFERROR(__xludf.DUMMYFUNCTION("""COMPUTED_VALUE"""),"DUPLA DE CHAVEIROS HP LIVRO E RELIQUIAS")</f>
        <v>DUPLA DE CHAVEIROS HP LIVRO E RELIQUIAS</v>
      </c>
      <c r="D380" s="186" t="str">
        <f>IFERROR(__xludf.DUMMYFUNCTION("""COMPUTED_VALUE"""),"FALSO")</f>
        <v>FALSO</v>
      </c>
    </row>
    <row r="381">
      <c r="B381" s="186" t="str">
        <f>IFERROR(__xludf.DUMMYFUNCTION("""COMPUTED_VALUE"""),"CS2065")</f>
        <v>CS2065</v>
      </c>
      <c r="C381" s="186" t="str">
        <f>IFERROR(__xludf.DUMMYFUNCTION("""COMPUTED_VALUE"""),"DUPLA DE CHAVEIROS HP SAPO DE CHOCOLATE")</f>
        <v>DUPLA DE CHAVEIROS HP SAPO DE CHOCOLATE</v>
      </c>
      <c r="D381" s="186" t="str">
        <f>IFERROR(__xludf.DUMMYFUNCTION("""COMPUTED_VALUE"""),"FALSO")</f>
        <v>FALSO</v>
      </c>
    </row>
    <row r="382">
      <c r="B382" s="186" t="str">
        <f>IFERROR(__xludf.DUMMYFUNCTION("""COMPUTED_VALUE"""),"CS2221")</f>
        <v>CS2221</v>
      </c>
      <c r="C382" s="186"/>
      <c r="D382" s="186" t="str">
        <f>IFERROR(__xludf.DUMMYFUNCTION("""COMPUTED_VALUE"""),"FALSO")</f>
        <v>FALSO</v>
      </c>
    </row>
    <row r="383">
      <c r="B383" s="186" t="str">
        <f>IFERROR(__xludf.DUMMYFUNCTION("""COMPUTED_VALUE"""),"CS2222")</f>
        <v>CS2222</v>
      </c>
      <c r="C383" s="186" t="str">
        <f>IFERROR(__xludf.DUMMYFUNCTION("""COMPUTED_VALUE"""),"DUPLA DE TACAS DE VINHO SEMPRE CHEIA")</f>
        <v>DUPLA DE TACAS DE VINHO SEMPRE CHEIA</v>
      </c>
      <c r="D383" s="186" t="str">
        <f>IFERROR(__xludf.DUMMYFUNCTION("""COMPUTED_VALUE"""),"FALSO")</f>
        <v>FALSO</v>
      </c>
    </row>
    <row r="384">
      <c r="B384" s="186" t="str">
        <f>IFERROR(__xludf.DUMMYFUNCTION("""COMPUTED_VALUE"""),"PI5139Y")</f>
        <v>PI5139Y</v>
      </c>
      <c r="C384" s="186" t="str">
        <f>IFERROR(__xludf.DUMMYFUNCTION("""COMPUTED_VALUE"""),"FONE DE OUVIDO SEM FIO BORA")</f>
        <v>FONE DE OUVIDO SEM FIO BORA</v>
      </c>
      <c r="D384" s="186" t="str">
        <f>IFERROR(__xludf.DUMMYFUNCTION("""COMPUTED_VALUE"""),"FALSO")</f>
        <v>FALSO</v>
      </c>
    </row>
    <row r="385">
      <c r="B385" s="186" t="str">
        <f>IFERROR(__xludf.DUMMYFUNCTION("""COMPUTED_VALUE"""),"CS2298")</f>
        <v>CS2298</v>
      </c>
      <c r="C385" s="186"/>
      <c r="D385" s="186" t="str">
        <f>IFERROR(__xludf.DUMMYFUNCTION("""COMPUTED_VALUE"""),"FALSO")</f>
        <v>FALSO</v>
      </c>
    </row>
    <row r="386">
      <c r="B386" s="186" t="str">
        <f>IFERROR(__xludf.DUMMYFUNCTION("""COMPUTED_VALUE"""),"PI6701Y")</f>
        <v>PI6701Y</v>
      </c>
      <c r="C386" s="186"/>
      <c r="D386" s="186" t="str">
        <f>IFERROR(__xludf.DUMMYFUNCTION("""COMPUTED_VALUE"""),"FALSO")</f>
        <v>FALSO</v>
      </c>
    </row>
    <row r="387">
      <c r="B387" s="186" t="str">
        <f>IFERROR(__xludf.DUMMYFUNCTION("""COMPUTED_VALUE"""),"CS2299")</f>
        <v>CS2299</v>
      </c>
      <c r="C387" s="186"/>
      <c r="D387" s="186" t="str">
        <f>IFERROR(__xludf.DUMMYFUNCTION("""COMPUTED_VALUE"""),"FALSO")</f>
        <v>FALSO</v>
      </c>
    </row>
    <row r="388">
      <c r="B388" s="186" t="str">
        <f>IFERROR(__xludf.DUMMYFUNCTION("""COMPUTED_VALUE"""),"PI6702Y")</f>
        <v>PI6702Y</v>
      </c>
      <c r="C388" s="186"/>
      <c r="D388" s="186" t="str">
        <f>IFERROR(__xludf.DUMMYFUNCTION("""COMPUTED_VALUE"""),"FALSO")</f>
        <v>FALSO</v>
      </c>
    </row>
    <row r="389">
      <c r="B389" s="186" t="str">
        <f>IFERROR(__xludf.DUMMYFUNCTION("""COMPUTED_VALUE"""),"CS2300")</f>
        <v>CS2300</v>
      </c>
      <c r="C389" s="186"/>
      <c r="D389" s="186" t="str">
        <f>IFERROR(__xludf.DUMMYFUNCTION("""COMPUTED_VALUE"""),"FALSO")</f>
        <v>FALSO</v>
      </c>
    </row>
    <row r="390">
      <c r="B390" s="186" t="str">
        <f>IFERROR(__xludf.DUMMYFUNCTION("""COMPUTED_VALUE"""),"PI6703Y")</f>
        <v>PI6703Y</v>
      </c>
      <c r="C390" s="186"/>
      <c r="D390" s="186" t="str">
        <f>IFERROR(__xludf.DUMMYFUNCTION("""COMPUTED_VALUE"""),"FALSO")</f>
        <v>FALSO</v>
      </c>
    </row>
    <row r="391">
      <c r="B391" s="186" t="str">
        <f>IFERROR(__xludf.DUMMYFUNCTION("""COMPUTED_VALUE"""),"PI6704Y")</f>
        <v>PI6704Y</v>
      </c>
      <c r="C391" s="186"/>
      <c r="D391" s="186" t="str">
        <f>IFERROR(__xludf.DUMMYFUNCTION("""COMPUTED_VALUE"""),"FALSO")</f>
        <v>FALSO</v>
      </c>
    </row>
    <row r="392">
      <c r="B392" s="186" t="str">
        <f>IFERROR(__xludf.DUMMYFUNCTION("""COMPUTED_VALUE"""),"CS2301")</f>
        <v>CS2301</v>
      </c>
      <c r="C392" s="186"/>
      <c r="D392" s="186" t="str">
        <f>IFERROR(__xludf.DUMMYFUNCTION("""COMPUTED_VALUE"""),"FALSO")</f>
        <v>FALSO</v>
      </c>
    </row>
    <row r="393">
      <c r="B393" s="186" t="str">
        <f>IFERROR(__xludf.DUMMYFUNCTION("""COMPUTED_VALUE"""),"PI6705Y")</f>
        <v>PI6705Y</v>
      </c>
      <c r="C393" s="186"/>
      <c r="D393" s="186" t="str">
        <f>IFERROR(__xludf.DUMMYFUNCTION("""COMPUTED_VALUE"""),"FALSO")</f>
        <v>FALSO</v>
      </c>
    </row>
    <row r="394">
      <c r="B394" s="186" t="str">
        <f>IFERROR(__xludf.DUMMYFUNCTION("""COMPUTED_VALUE"""),"CS2302")</f>
        <v>CS2302</v>
      </c>
      <c r="C394" s="186"/>
      <c r="D394" s="186" t="str">
        <f>IFERROR(__xludf.DUMMYFUNCTION("""COMPUTED_VALUE"""),"FALSO")</f>
        <v>FALSO</v>
      </c>
    </row>
    <row r="395">
      <c r="B395" s="186" t="str">
        <f>IFERROR(__xludf.DUMMYFUNCTION("""COMPUTED_VALUE"""),"CS2303")</f>
        <v>CS2303</v>
      </c>
      <c r="C395" s="186"/>
      <c r="D395" s="186" t="str">
        <f>IFERROR(__xludf.DUMMYFUNCTION("""COMPUTED_VALUE"""),"FALSO")</f>
        <v>FALSO</v>
      </c>
    </row>
    <row r="396">
      <c r="B396" s="186" t="str">
        <f>IFERROR(__xludf.DUMMYFUNCTION("""COMPUTED_VALUE"""),"PI6706Y")</f>
        <v>PI6706Y</v>
      </c>
      <c r="C396" s="186"/>
      <c r="D396" s="186" t="str">
        <f>IFERROR(__xludf.DUMMYFUNCTION("""COMPUTED_VALUE"""),"FALSO")</f>
        <v>FALSO</v>
      </c>
    </row>
    <row r="397">
      <c r="B397" s="186" t="str">
        <f>IFERROR(__xludf.DUMMYFUNCTION("""COMPUTED_VALUE"""),"PI5138Y")</f>
        <v>PI5138Y</v>
      </c>
      <c r="C397" s="186"/>
      <c r="D397" s="186" t="str">
        <f>IFERROR(__xludf.DUMMYFUNCTION("""COMPUTED_VALUE"""),"FALSO")</f>
        <v>FALSO</v>
      </c>
    </row>
    <row r="398">
      <c r="B398" s="186" t="str">
        <f>IFERROR(__xludf.DUMMYFUNCTION("""COMPUTED_VALUE"""),"PI7335Y")</f>
        <v>PI7335Y</v>
      </c>
      <c r="C398" s="186"/>
      <c r="D398" s="186" t="str">
        <f>IFERROR(__xludf.DUMMYFUNCTION("""COMPUTED_VALUE"""),"FALSO")</f>
        <v>FALSO</v>
      </c>
    </row>
    <row r="399">
      <c r="B399" s="186" t="str">
        <f>IFERROR(__xludf.DUMMYFUNCTION("""COMPUTED_VALUE"""),"PI6699Y")</f>
        <v>PI6699Y</v>
      </c>
      <c r="C399" s="186" t="str">
        <f>IFERROR(__xludf.DUMMYFUNCTION("""COMPUTED_VALUE"""),"COPO ELETRICO CAFE BEM QUENTE")</f>
        <v>COPO ELETRICO CAFE BEM QUENTE</v>
      </c>
      <c r="D399" s="186" t="str">
        <f>IFERROR(__xludf.DUMMYFUNCTION("""COMPUTED_VALUE"""),"FALSO")</f>
        <v>FALSO</v>
      </c>
    </row>
    <row r="400">
      <c r="B400" s="186" t="str">
        <f>IFERROR(__xludf.DUMMYFUNCTION("""COMPUTED_VALUE"""),"PI6582Y")</f>
        <v>PI6582Y</v>
      </c>
      <c r="C400" s="186" t="str">
        <f>IFERROR(__xludf.DUMMYFUNCTION("""COMPUTED_VALUE"""),"FONDUE ELETRICO")</f>
        <v>FONDUE ELETRICO</v>
      </c>
      <c r="D400" s="186" t="str">
        <f>IFERROR(__xludf.DUMMYFUNCTION("""COMPUTED_VALUE"""),"INMETRO Electrical Security System 5 (Factory)")</f>
        <v>INMETRO Electrical Security System 5 (Factory)</v>
      </c>
    </row>
    <row r="401">
      <c r="B401" s="186" t="str">
        <f>IFERROR(__xludf.DUMMYFUNCTION("""COMPUTED_VALUE"""),"PI5409Y")</f>
        <v>PI5409Y</v>
      </c>
      <c r="C401" s="186"/>
      <c r="D401" s="186" t="str">
        <f>IFERROR(__xludf.DUMMYFUNCTION("""COMPUTED_VALUE"""),"FALSO")</f>
        <v>FALSO</v>
      </c>
    </row>
    <row r="402">
      <c r="B402" s="186" t="str">
        <f>IFERROR(__xludf.DUMMYFUNCTION("""COMPUTED_VALUE"""),"PI7441Y")</f>
        <v>PI7441Y</v>
      </c>
      <c r="C402" s="186"/>
      <c r="D402" s="186" t="str">
        <f>IFERROR(__xludf.DUMMYFUNCTION("""COMPUTED_VALUE"""),"FALSO")</f>
        <v>FALSO</v>
      </c>
    </row>
    <row r="403">
      <c r="B403" s="186" t="str">
        <f>IFERROR(__xludf.DUMMYFUNCTION("""COMPUTED_VALUE"""),"PI5951Y")</f>
        <v>PI5951Y</v>
      </c>
      <c r="C403" s="186"/>
      <c r="D403" s="186" t="str">
        <f>IFERROR(__xludf.DUMMYFUNCTION("""COMPUTED_VALUE"""),"INMETRO Toys System 5 - Ordinance 302")</f>
        <v>INMETRO Toys System 5 - Ordinance 302</v>
      </c>
    </row>
    <row r="404">
      <c r="B404" s="186" t="str">
        <f>IFERROR(__xludf.DUMMYFUNCTION("""COMPUTED_VALUE"""),"GE0098")</f>
        <v>GE0098</v>
      </c>
      <c r="C404" s="186" t="str">
        <f>IFERROR(__xludf.DUMMYFUNCTION("""COMPUTED_VALUE"""),"ESPELHO DE MESA FLORESCA E APARECA")</f>
        <v>ESPELHO DE MESA FLORESCA E APARECA</v>
      </c>
      <c r="D404" s="186" t="str">
        <f>IFERROR(__xludf.DUMMYFUNCTION("""COMPUTED_VALUE"""),"FALSO")</f>
        <v>FALSO</v>
      </c>
    </row>
    <row r="405">
      <c r="B405" s="186" t="str">
        <f>IFERROR(__xludf.DUMMYFUNCTION("""COMPUTED_VALUE"""),"GE0099")</f>
        <v>GE0099</v>
      </c>
      <c r="C405" s="186" t="str">
        <f>IFERROR(__xludf.DUMMYFUNCTION("""COMPUTED_VALUE"""),"ESPELHO PORTA BIJOUX PONTO DE ENCONTRO")</f>
        <v>ESPELHO PORTA BIJOUX PONTO DE ENCONTRO</v>
      </c>
      <c r="D405" s="186" t="str">
        <f>IFERROR(__xludf.DUMMYFUNCTION("""COMPUTED_VALUE"""),"FALSO")</f>
        <v>FALSO</v>
      </c>
    </row>
    <row r="406">
      <c r="B406" s="186" t="str">
        <f>IFERROR(__xludf.DUMMYFUNCTION("""COMPUTED_VALUE"""),"PI5451Y")</f>
        <v>PI5451Y</v>
      </c>
      <c r="C406" s="186"/>
      <c r="D406" s="186" t="str">
        <f>IFERROR(__xludf.DUMMYFUNCTION("""COMPUTED_VALUE"""),"FALSO")</f>
        <v>FALSO</v>
      </c>
    </row>
    <row r="407">
      <c r="B407" s="186" t="str">
        <f>IFERROR(__xludf.DUMMYFUNCTION("""COMPUTED_VALUE"""),"CS2322")</f>
        <v>CS2322</v>
      </c>
      <c r="C407" s="186"/>
      <c r="D407" s="186" t="str">
        <f>IFERROR(__xludf.DUMMYFUNCTION("""COMPUTED_VALUE"""),"FALSO")</f>
        <v>FALSO</v>
      </c>
    </row>
    <row r="408">
      <c r="B408" s="186" t="str">
        <f>IFERROR(__xludf.DUMMYFUNCTION("""COMPUTED_VALUE"""),"PI5014Y")</f>
        <v>PI5014Y</v>
      </c>
      <c r="C408" s="186"/>
      <c r="D408" s="186" t="str">
        <f>IFERROR(__xludf.DUMMYFUNCTION("""COMPUTED_VALUE"""),"FALSO")</f>
        <v>FALSO</v>
      </c>
    </row>
    <row r="409">
      <c r="B409" s="186" t="str">
        <f>IFERROR(__xludf.DUMMYFUNCTION("""COMPUTED_VALUE"""),"PI6209Y")</f>
        <v>PI6209Y</v>
      </c>
      <c r="C409" s="186"/>
      <c r="D409" s="186" t="str">
        <f>IFERROR(__xludf.DUMMYFUNCTION("""COMPUTED_VALUE"""),"FALSO")</f>
        <v>FALSO</v>
      </c>
    </row>
    <row r="410">
      <c r="B410" s="186" t="str">
        <f>IFERROR(__xludf.DUMMYFUNCTION("""COMPUTED_VALUE"""),"PI5259Y")</f>
        <v>PI5259Y</v>
      </c>
      <c r="C410" s="186"/>
      <c r="D410" s="186" t="str">
        <f>IFERROR(__xludf.DUMMYFUNCTION("""COMPUTED_VALUE"""),"FALSO")</f>
        <v>FALSO</v>
      </c>
    </row>
    <row r="411">
      <c r="B411" s="186" t="str">
        <f>IFERROR(__xludf.DUMMYFUNCTION("""COMPUTED_VALUE"""),"PI7293Y")</f>
        <v>PI7293Y</v>
      </c>
      <c r="C411" s="186" t="str">
        <f>IFERROR(__xludf.DUMMYFUNCTION("""COMPUTED_VALUE"""),"KIT MASSAGEADORES FACIAIS AQUELE GLOW")</f>
        <v>KIT MASSAGEADORES FACIAIS AQUELE GLOW</v>
      </c>
      <c r="D411" s="186" t="str">
        <f>IFERROR(__xludf.DUMMYFUNCTION("""COMPUTED_VALUE"""),"FALSO")</f>
        <v>FALSO</v>
      </c>
    </row>
    <row r="412">
      <c r="B412" s="186" t="str">
        <f>IFERROR(__xludf.DUMMYFUNCTION("""COMPUTED_VALUE"""),"PI6143Y")</f>
        <v>PI6143Y</v>
      </c>
      <c r="C412" s="186" t="str">
        <f>IFERROR(__xludf.DUMMYFUNCTION("""COMPUTED_VALUE"""),"UMIDIFICADOR FACIAL RESPIRA")</f>
        <v>UMIDIFICADOR FACIAL RESPIRA</v>
      </c>
      <c r="D412" s="186" t="str">
        <f>IFERROR(__xludf.DUMMYFUNCTION("""COMPUTED_VALUE"""),"FALSO")</f>
        <v>FALSO</v>
      </c>
    </row>
    <row r="413">
      <c r="B413" s="186" t="str">
        <f>IFERROR(__xludf.DUMMYFUNCTION("""COMPUTED_VALUE"""),"PI7387Y")</f>
        <v>PI7387Y</v>
      </c>
      <c r="C413" s="186"/>
      <c r="D413" s="186" t="str">
        <f>IFERROR(__xludf.DUMMYFUNCTION("""COMPUTED_VALUE"""),"FALSO")</f>
        <v>FALSO</v>
      </c>
    </row>
    <row r="414">
      <c r="B414" s="186" t="str">
        <f>IFERROR(__xludf.DUMMYFUNCTION("""COMPUTED_VALUE"""),"PI6224Y")</f>
        <v>PI6224Y</v>
      </c>
      <c r="C414" s="186" t="str">
        <f>IFERROR(__xludf.DUMMYFUNCTION("""COMPUTED_VALUE"""),"VENTILADOR DE MÃO LED BRISA AMIGA")</f>
        <v>VENTILADOR DE MÃO LED BRISA AMIGA</v>
      </c>
      <c r="D414" s="186" t="str">
        <f>IFERROR(__xludf.DUMMYFUNCTION("""COMPUTED_VALUE"""),"FALSO")</f>
        <v>FALSO</v>
      </c>
    </row>
    <row r="415">
      <c r="B415" s="186" t="str">
        <f>IFERROR(__xludf.DUMMYFUNCTION("""COMPUTED_VALUE"""),"PI6268Y")</f>
        <v>PI6268Y</v>
      </c>
      <c r="C415" s="186" t="str">
        <f>IFERROR(__xludf.DUMMYFUNCTION("""COMPUTED_VALUE"""),"VENTILADOR DE MÃO LED VIBE POSITIVA")</f>
        <v>VENTILADOR DE MÃO LED VIBE POSITIVA</v>
      </c>
      <c r="D415" s="186" t="str">
        <f>IFERROR(__xludf.DUMMYFUNCTION("""COMPUTED_VALUE"""),"FALSO")</f>
        <v>FALSO</v>
      </c>
    </row>
    <row r="416">
      <c r="B416" s="186" t="str">
        <f>IFERROR(__xludf.DUMMYFUNCTION("""COMPUTED_VALUE"""),"PI6697Y")</f>
        <v>PI6697Y</v>
      </c>
      <c r="C416" s="186"/>
      <c r="D416" s="186" t="str">
        <f>IFERROR(__xludf.DUMMYFUNCTION("""COMPUTED_VALUE"""),"FALSO")</f>
        <v>FALSO</v>
      </c>
    </row>
    <row r="417">
      <c r="B417" s="186" t="str">
        <f>IFERROR(__xludf.DUMMYFUNCTION("""COMPUTED_VALUE"""),"PI7824Y")</f>
        <v>PI7824Y</v>
      </c>
      <c r="C417" s="186"/>
      <c r="D417" s="186" t="str">
        <f>IFERROR(__xludf.DUMMYFUNCTION("""COMPUTED_VALUE"""),"FALSO")</f>
        <v>FALSO</v>
      </c>
    </row>
    <row r="418">
      <c r="B418" s="186" t="str">
        <f>IFERROR(__xludf.DUMMYFUNCTION("""COMPUTED_VALUE"""),"PI7466Y")</f>
        <v>PI7466Y</v>
      </c>
      <c r="C418" s="186"/>
      <c r="D418" s="186" t="str">
        <f>IFERROR(__xludf.DUMMYFUNCTION("""COMPUTED_VALUE"""),"FALSO")</f>
        <v>FALSO</v>
      </c>
    </row>
    <row r="419">
      <c r="B419" s="186" t="str">
        <f>IFERROR(__xludf.DUMMYFUNCTION("""COMPUTED_VALUE"""),"PI7826Y")</f>
        <v>PI7826Y</v>
      </c>
      <c r="C419" s="186"/>
      <c r="D419" s="186" t="str">
        <f>IFERROR(__xludf.DUMMYFUNCTION("""COMPUTED_VALUE"""),"FALSO")</f>
        <v>FALSO</v>
      </c>
    </row>
    <row r="420">
      <c r="B420" s="186" t="str">
        <f>IFERROR(__xludf.DUMMYFUNCTION("""COMPUTED_VALUE"""),"PI7822Y")</f>
        <v>PI7822Y</v>
      </c>
      <c r="C420" s="186"/>
      <c r="D420" s="186" t="str">
        <f>IFERROR(__xludf.DUMMYFUNCTION("""COMPUTED_VALUE"""),"FALSO")</f>
        <v>FALSO</v>
      </c>
    </row>
    <row r="421">
      <c r="B421" s="186" t="str">
        <f>IFERROR(__xludf.DUMMYFUNCTION("""COMPUTED_VALUE"""),"PI6599Y")</f>
        <v>PI6599Y</v>
      </c>
      <c r="C421" s="186" t="str">
        <f>IFERROR(__xludf.DUMMYFUNCTION("""COMPUTED_VALUE"""),"LUMINARIA LAMPADA DE FILAMENTO FUCK")</f>
        <v>LUMINARIA LAMPADA DE FILAMENTO FUCK</v>
      </c>
      <c r="D421" s="186" t="str">
        <f>IFERROR(__xludf.DUMMYFUNCTION("""COMPUTED_VALUE"""),"FALSO")</f>
        <v>FALSO</v>
      </c>
    </row>
    <row r="422">
      <c r="B422" s="186" t="str">
        <f>IFERROR(__xludf.DUMMYFUNCTION("""COMPUTED_VALUE"""),"PI6600Y")</f>
        <v>PI6600Y</v>
      </c>
      <c r="C422" s="186" t="str">
        <f>IFERROR(__xludf.DUMMYFUNCTION("""COMPUTED_VALUE"""),"LUMINARIA LAMPADA DE FILAMENTO 06")</f>
        <v>LUMINARIA LAMPADA DE FILAMENTO 06</v>
      </c>
      <c r="D422" s="186" t="str">
        <f>IFERROR(__xludf.DUMMYFUNCTION("""COMPUTED_VALUE"""),"FALSO")</f>
        <v>FALSO</v>
      </c>
    </row>
    <row r="423">
      <c r="B423" s="186" t="str">
        <f>IFERROR(__xludf.DUMMYFUNCTION("""COMPUTED_VALUE"""),"PI6597Y")</f>
        <v>PI6597Y</v>
      </c>
      <c r="C423" s="186" t="str">
        <f>IFERROR(__xludf.DUMMYFUNCTION("""COMPUTED_VALUE"""),"LUMINARIA LAMPADA DE FILAMENTO 03")</f>
        <v>LUMINARIA LAMPADA DE FILAMENTO 03</v>
      </c>
      <c r="D423" s="186" t="str">
        <f>IFERROR(__xludf.DUMMYFUNCTION("""COMPUTED_VALUE"""),"FALSO")</f>
        <v>FALSO</v>
      </c>
    </row>
    <row r="424">
      <c r="B424" s="186" t="str">
        <f>IFERROR(__xludf.DUMMYFUNCTION("""COMPUTED_VALUE"""),"PI6598Y")</f>
        <v>PI6598Y</v>
      </c>
      <c r="C424" s="186" t="str">
        <f>IFERROR(__xludf.DUMMYFUNCTION("""COMPUTED_VALUE"""),"LUMINARIA LAMPADA DE FILAMENTO 04")</f>
        <v>LUMINARIA LAMPADA DE FILAMENTO 04</v>
      </c>
      <c r="D424" s="186" t="str">
        <f>IFERROR(__xludf.DUMMYFUNCTION("""COMPUTED_VALUE"""),"FALSO")</f>
        <v>FALSO</v>
      </c>
    </row>
    <row r="425">
      <c r="B425" s="186" t="str">
        <f>IFERROR(__xludf.DUMMYFUNCTION("""COMPUTED_VALUE"""),"CS2306")</f>
        <v>CS2306</v>
      </c>
      <c r="C425" s="186"/>
      <c r="D425" s="186" t="str">
        <f>IFERROR(__xludf.DUMMYFUNCTION("""COMPUTED_VALUE"""),"FALSO")</f>
        <v>FALSO</v>
      </c>
    </row>
    <row r="426">
      <c r="B426" s="186" t="str">
        <f>IFERROR(__xludf.DUMMYFUNCTION("""COMPUTED_VALUE"""),"CS2307")</f>
        <v>CS2307</v>
      </c>
      <c r="C426" s="186"/>
      <c r="D426" s="186" t="str">
        <f>IFERROR(__xludf.DUMMYFUNCTION("""COMPUTED_VALUE"""),"FALSO")</f>
        <v>FALSO</v>
      </c>
    </row>
    <row r="427">
      <c r="B427" s="186" t="str">
        <f>IFERROR(__xludf.DUMMYFUNCTION("""COMPUTED_VALUE"""),"CS2308")</f>
        <v>CS2308</v>
      </c>
      <c r="C427" s="186"/>
      <c r="D427" s="186" t="str">
        <f>IFERROR(__xludf.DUMMYFUNCTION("""COMPUTED_VALUE"""),"FALSO")</f>
        <v>FALSO</v>
      </c>
    </row>
    <row r="428">
      <c r="B428" s="186" t="str">
        <f>IFERROR(__xludf.DUMMYFUNCTION("""COMPUTED_VALUE"""),"PI6805Y")</f>
        <v>PI6805Y</v>
      </c>
      <c r="C428" s="186"/>
      <c r="D428" s="186" t="str">
        <f>IFERROR(__xludf.DUMMYFUNCTION("""COMPUTED_VALUE"""),"INMETRO Electrical Security System 5 (Factory) - Ordinance 148")</f>
        <v>INMETRO Electrical Security System 5 (Factory) - Ordinance 148</v>
      </c>
    </row>
    <row r="429">
      <c r="B429" s="186" t="str">
        <f>IFERROR(__xludf.DUMMYFUNCTION("""COMPUTED_VALUE"""),"PI6802Y")</f>
        <v>PI6802Y</v>
      </c>
      <c r="C429" s="186"/>
      <c r="D429" s="186" t="str">
        <f>IFERROR(__xludf.DUMMYFUNCTION("""COMPUTED_VALUE"""),"FALSO")</f>
        <v>FALSO</v>
      </c>
    </row>
    <row r="430">
      <c r="B430" s="186" t="str">
        <f>IFERROR(__xludf.DUMMYFUNCTION("""COMPUTED_VALUE"""),"PI6795Y")</f>
        <v>PI6795Y</v>
      </c>
      <c r="C430" s="186"/>
      <c r="D430" s="186" t="str">
        <f>IFERROR(__xludf.DUMMYFUNCTION("""COMPUTED_VALUE"""),"FALSO")</f>
        <v>FALSO</v>
      </c>
    </row>
    <row r="431">
      <c r="B431" s="186" t="str">
        <f>IFERROR(__xludf.DUMMYFUNCTION("""COMPUTED_VALUE"""),"PI6798Y")</f>
        <v>PI6798Y</v>
      </c>
      <c r="C431" s="186"/>
      <c r="D431" s="186" t="str">
        <f>IFERROR(__xludf.DUMMYFUNCTION("""COMPUTED_VALUE"""),"FALSO")</f>
        <v>FALSO</v>
      </c>
    </row>
    <row r="432">
      <c r="B432" s="186" t="str">
        <f>IFERROR(__xludf.DUMMYFUNCTION("""COMPUTED_VALUE"""),"PI6803Y")</f>
        <v>PI6803Y</v>
      </c>
      <c r="C432" s="186"/>
      <c r="D432" s="186" t="str">
        <f>IFERROR(__xludf.DUMMYFUNCTION("""COMPUTED_VALUE"""),"FALSO")</f>
        <v>FALSO</v>
      </c>
    </row>
    <row r="433">
      <c r="B433" s="186" t="str">
        <f>IFERROR(__xludf.DUMMYFUNCTION("""COMPUTED_VALUE"""),"PI6797Y")</f>
        <v>PI6797Y</v>
      </c>
      <c r="C433" s="186"/>
      <c r="D433" s="186" t="str">
        <f>IFERROR(__xludf.DUMMYFUNCTION("""COMPUTED_VALUE"""),"FALSO")</f>
        <v>FALSO</v>
      </c>
    </row>
    <row r="434">
      <c r="B434" s="186" t="str">
        <f>IFERROR(__xludf.DUMMYFUNCTION("""COMPUTED_VALUE"""),"PI6861Y")</f>
        <v>PI6861Y</v>
      </c>
      <c r="C434" s="186"/>
      <c r="D434" s="186" t="str">
        <f>IFERROR(__xludf.DUMMYFUNCTION("""COMPUTED_VALUE"""),"INMETRO SCHOOL ARTICLES - ORDINANCE 423")</f>
        <v>INMETRO SCHOOL ARTICLES - ORDINANCE 423</v>
      </c>
    </row>
    <row r="435">
      <c r="B435" s="186" t="str">
        <f>IFERROR(__xludf.DUMMYFUNCTION("""COMPUTED_VALUE"""),"PI6862Y")</f>
        <v>PI6862Y</v>
      </c>
      <c r="C435" s="186"/>
      <c r="D435" s="186" t="str">
        <f>IFERROR(__xludf.DUMMYFUNCTION("""COMPUTED_VALUE"""),"INMETRO SCHOOL ARTICLES - ORDINANCE 423")</f>
        <v>INMETRO SCHOOL ARTICLES - ORDINANCE 423</v>
      </c>
    </row>
    <row r="436">
      <c r="B436" s="186" t="str">
        <f>IFERROR(__xludf.DUMMYFUNCTION("""COMPUTED_VALUE"""),"PI6875Y")</f>
        <v>PI6875Y</v>
      </c>
      <c r="C436" s="186"/>
      <c r="D436" s="186" t="str">
        <f>IFERROR(__xludf.DUMMYFUNCTION("""COMPUTED_VALUE"""),"INMETRO Toys System 5 - Ordinance 302")</f>
        <v>INMETRO Toys System 5 - Ordinance 302</v>
      </c>
    </row>
    <row r="437">
      <c r="B437" s="186" t="str">
        <f>IFERROR(__xludf.DUMMYFUNCTION("""COMPUTED_VALUE"""),"PI6791Y")</f>
        <v>PI6791Y</v>
      </c>
      <c r="C437" s="186"/>
      <c r="D437" s="186" t="str">
        <f>IFERROR(__xludf.DUMMYFUNCTION("""COMPUTED_VALUE"""),"INMETRO Toys System 5 - Ordinance 302")</f>
        <v>INMETRO Toys System 5 - Ordinance 302</v>
      </c>
    </row>
    <row r="438">
      <c r="B438" s="186" t="str">
        <f>IFERROR(__xludf.DUMMYFUNCTION("""COMPUTED_VALUE"""),"PI6792Y")</f>
        <v>PI6792Y</v>
      </c>
      <c r="C438" s="186"/>
      <c r="D438" s="186" t="str">
        <f>IFERROR(__xludf.DUMMYFUNCTION("""COMPUTED_VALUE"""),"INMETRO Toys System 5 - Ordinance 302")</f>
        <v>INMETRO Toys System 5 - Ordinance 302</v>
      </c>
    </row>
    <row r="439">
      <c r="B439" s="186" t="str">
        <f>IFERROR(__xludf.DUMMYFUNCTION("""COMPUTED_VALUE"""),"PI6793Y")</f>
        <v>PI6793Y</v>
      </c>
      <c r="C439" s="186"/>
      <c r="D439" s="186" t="str">
        <f>IFERROR(__xludf.DUMMYFUNCTION("""COMPUTED_VALUE"""),"FALSO")</f>
        <v>FALSO</v>
      </c>
    </row>
    <row r="440">
      <c r="B440" s="186" t="str">
        <f>IFERROR(__xludf.DUMMYFUNCTION("""COMPUTED_VALUE"""),"PI6794Y")</f>
        <v>PI6794Y</v>
      </c>
      <c r="C440" s="186"/>
      <c r="D440" s="186" t="str">
        <f>IFERROR(__xludf.DUMMYFUNCTION("""COMPUTED_VALUE"""),"FALSO")</f>
        <v>FALSO</v>
      </c>
    </row>
    <row r="441">
      <c r="B441" s="186" t="str">
        <f>IFERROR(__xludf.DUMMYFUNCTION("""COMPUTED_VALUE"""),"CS2305")</f>
        <v>CS2305</v>
      </c>
      <c r="C441" s="186"/>
      <c r="D441" s="186" t="str">
        <f>IFERROR(__xludf.DUMMYFUNCTION("""COMPUTED_VALUE"""),"FALSO")</f>
        <v>FALSO</v>
      </c>
    </row>
    <row r="442">
      <c r="B442" s="186" t="str">
        <f>IFERROR(__xludf.DUMMYFUNCTION("""COMPUTED_VALUE"""),"PI6800Y")</f>
        <v>PI6800Y</v>
      </c>
      <c r="C442" s="186"/>
      <c r="D442" s="186" t="str">
        <f>IFERROR(__xludf.DUMMYFUNCTION("""COMPUTED_VALUE"""),"FALSO")</f>
        <v>FALSO</v>
      </c>
    </row>
    <row r="443">
      <c r="B443" s="186" t="str">
        <f>IFERROR(__xludf.DUMMYFUNCTION("""COMPUTED_VALUE"""),"PI7714Y")</f>
        <v>PI7714Y</v>
      </c>
      <c r="C443" s="186" t="str">
        <f>IFERROR(__xludf.DUMMYFUNCTION("""COMPUTED_VALUE"""),"RELOGIO FLIP METAL")</f>
        <v>RELOGIO FLIP METAL</v>
      </c>
      <c r="D443" s="186" t="str">
        <f>IFERROR(__xludf.DUMMYFUNCTION("""COMPUTED_VALUE"""),"FALSO")</f>
        <v>FALSO</v>
      </c>
    </row>
    <row r="444">
      <c r="B444" s="186" t="str">
        <f>IFERROR(__xludf.DUMMYFUNCTION("""COMPUTED_VALUE"""),"PI7712Y")</f>
        <v>PI7712Y</v>
      </c>
      <c r="C444" s="186" t="str">
        <f>IFERROR(__xludf.DUMMYFUNCTION("""COMPUTED_VALUE"""),"RELOGIO FLIP OFF WHITE")</f>
        <v>RELOGIO FLIP OFF WHITE</v>
      </c>
      <c r="D444" s="186" t="str">
        <f>IFERROR(__xludf.DUMMYFUNCTION("""COMPUTED_VALUE"""),"FALSO")</f>
        <v>FALSO</v>
      </c>
    </row>
    <row r="445">
      <c r="B445" s="186" t="str">
        <f>IFERROR(__xludf.DUMMYFUNCTION("""COMPUTED_VALUE"""),"PI6531Y")</f>
        <v>PI6531Y</v>
      </c>
      <c r="C445" s="186" t="str">
        <f>IFERROR(__xludf.DUMMYFUNCTION("""COMPUTED_VALUE"""),"LUMINARIA GALAXIA FLUTUANTE")</f>
        <v>LUMINARIA GALAXIA FLUTUANTE</v>
      </c>
      <c r="D445" s="186" t="str">
        <f>IFERROR(__xludf.DUMMYFUNCTION("""COMPUTED_VALUE"""),"FALSO")</f>
        <v>FALSO</v>
      </c>
    </row>
    <row r="446">
      <c r="B446" s="186" t="str">
        <f>IFERROR(__xludf.DUMMYFUNCTION("""COMPUTED_VALUE"""),"PI6543Y")</f>
        <v>PI6543Y</v>
      </c>
      <c r="C446" s="186" t="str">
        <f>IFERROR(__xludf.DUMMYFUNCTION("""COMPUTED_VALUE"""),"LUMINARIA FLUTUANTE LAMPADA")</f>
        <v>LUMINARIA FLUTUANTE LAMPADA</v>
      </c>
      <c r="D446" s="186" t="str">
        <f>IFERROR(__xludf.DUMMYFUNCTION("""COMPUTED_VALUE"""),"FALSO")</f>
        <v>FALSO</v>
      </c>
    </row>
    <row r="447">
      <c r="B447" s="186" t="str">
        <f>IFERROR(__xludf.DUMMYFUNCTION("""COMPUTED_VALUE"""),"PI6847Y")</f>
        <v>PI6847Y</v>
      </c>
      <c r="C447" s="186"/>
      <c r="D447" s="186" t="str">
        <f>IFERROR(__xludf.DUMMYFUNCTION("""COMPUTED_VALUE"""),"INMETRO Toys System 5 - Ordinance 302")</f>
        <v>INMETRO Toys System 5 - Ordinance 302</v>
      </c>
    </row>
    <row r="448">
      <c r="B448" s="186" t="str">
        <f>IFERROR(__xludf.DUMMYFUNCTION("""COMPUTED_VALUE"""),"PI6846Y")</f>
        <v>PI6846Y</v>
      </c>
      <c r="C448" s="186"/>
      <c r="D448" s="186" t="str">
        <f>IFERROR(__xludf.DUMMYFUNCTION("""COMPUTED_VALUE"""),"FALSO")</f>
        <v>FALSO</v>
      </c>
    </row>
    <row r="449">
      <c r="B449" s="186" t="str">
        <f>IFERROR(__xludf.DUMMYFUNCTION("""COMPUTED_VALUE"""),"PI6139Y")</f>
        <v>PI6139Y</v>
      </c>
      <c r="C449" s="186"/>
      <c r="D449" s="186" t="str">
        <f>IFERROR(__xludf.DUMMYFUNCTION("""COMPUTED_VALUE"""),"FALSO")</f>
        <v>FALSO</v>
      </c>
    </row>
    <row r="450">
      <c r="B450" s="186" t="str">
        <f>IFERROR(__xludf.DUMMYFUNCTION("""COMPUTED_VALUE"""),"PI5239")</f>
        <v>PI5239</v>
      </c>
      <c r="C450" s="186"/>
      <c r="D450" s="186" t="str">
        <f>IFERROR(__xludf.DUMMYFUNCTION("""COMPUTED_VALUE"""),"FALSO")</f>
        <v>FALSO</v>
      </c>
    </row>
    <row r="451">
      <c r="B451" s="186" t="str">
        <f>IFERROR(__xludf.DUMMYFUNCTION("""COMPUTED_VALUE"""),"PI6537Y")</f>
        <v>PI6537Y</v>
      </c>
      <c r="C451" s="186" t="str">
        <f>IFERROR(__xludf.DUMMYFUNCTION("""COMPUTED_VALUE"""),"LUMINARIA LAMPIAO DOBRAVÉL")</f>
        <v>LUMINARIA LAMPIAO DOBRAVÉL</v>
      </c>
      <c r="D451" s="186" t="str">
        <f>IFERROR(__xludf.DUMMYFUNCTION("""COMPUTED_VALUE"""),"FALSO")</f>
        <v>FALSO</v>
      </c>
    </row>
    <row r="452">
      <c r="B452" s="186" t="str">
        <f>IFERROR(__xludf.DUMMYFUNCTION("""COMPUTED_VALUE"""),"PI7437Y")</f>
        <v>PI7437Y</v>
      </c>
      <c r="C452" s="186"/>
      <c r="D452" s="186" t="str">
        <f>IFERROR(__xludf.DUMMYFUNCTION("""COMPUTED_VALUE"""),"FALSO")</f>
        <v>FALSO</v>
      </c>
    </row>
    <row r="453">
      <c r="B453" s="186" t="str">
        <f>IFERROR(__xludf.DUMMYFUNCTION("""COMPUTED_VALUE"""),"PI6804Y")</f>
        <v>PI6804Y</v>
      </c>
      <c r="C453" s="186"/>
      <c r="D453" s="186" t="str">
        <f>IFERROR(__xludf.DUMMYFUNCTION("""COMPUTED_VALUE"""),"FALSO")</f>
        <v>FALSO</v>
      </c>
    </row>
    <row r="454">
      <c r="B454" s="186" t="str">
        <f>IFERROR(__xludf.DUMMYFUNCTION("""COMPUTED_VALUE"""),"PI5796Y")</f>
        <v>PI5796Y</v>
      </c>
      <c r="C454" s="186"/>
      <c r="D454" s="186" t="str">
        <f>IFERROR(__xludf.DUMMYFUNCTION("""COMPUTED_VALUE"""),"FALSO")</f>
        <v>FALSO</v>
      </c>
    </row>
    <row r="455">
      <c r="B455" s="186" t="str">
        <f>IFERROR(__xludf.DUMMYFUNCTION("""COMPUTED_VALUE"""),"PI6262Y")</f>
        <v>PI6262Y</v>
      </c>
      <c r="C455" s="186" t="str">
        <f>IFERROR(__xludf.DUMMYFUNCTION("""COMPUTED_VALUE"""),"MASSAGEADOR DE PÉS FAZENDO MASSAGEM")</f>
        <v>MASSAGEADOR DE PÉS FAZENDO MASSAGEM</v>
      </c>
      <c r="D455" s="186" t="str">
        <f>IFERROR(__xludf.DUMMYFUNCTION("""COMPUTED_VALUE"""),"FALSO")</f>
        <v>FALSO</v>
      </c>
    </row>
    <row r="456">
      <c r="B456" s="186" t="str">
        <f>IFERROR(__xludf.DUMMYFUNCTION("""COMPUTED_VALUE"""),"PI5186Y")</f>
        <v>PI5186Y</v>
      </c>
      <c r="C456" s="186"/>
      <c r="D456" s="186" t="str">
        <f>IFERROR(__xludf.DUMMYFUNCTION("""COMPUTED_VALUE"""),"FALSO")</f>
        <v>FALSO</v>
      </c>
    </row>
    <row r="457">
      <c r="B457" s="186" t="str">
        <f>IFERROR(__xludf.DUMMYFUNCTION("""COMPUTED_VALUE"""),"PI7259Y")</f>
        <v>PI7259Y</v>
      </c>
      <c r="C457" s="186" t="str">
        <f>IFERROR(__xludf.DUMMYFUNCTION("""COMPUTED_VALUE"""),"ALMOFADA MASSAGEADORA PARA PES NA BATIDA")</f>
        <v>ALMOFADA MASSAGEADORA PARA PES NA BATIDA</v>
      </c>
      <c r="D457" s="186" t="str">
        <f>IFERROR(__xludf.DUMMYFUNCTION("""COMPUTED_VALUE"""),"FALSO")</f>
        <v>FALSO</v>
      </c>
    </row>
    <row r="458">
      <c r="B458" s="186" t="str">
        <f>IFERROR(__xludf.DUMMYFUNCTION("""COMPUTED_VALUE"""),"PI6618Y")</f>
        <v>PI6618Y</v>
      </c>
      <c r="C458" s="186" t="str">
        <f>IFERROR(__xludf.DUMMYFUNCTION("""COMPUTED_VALUE"""),"MEIA BISCOITO DA SORTE PE QUENTE")</f>
        <v>MEIA BISCOITO DA SORTE PE QUENTE</v>
      </c>
      <c r="D458" s="186" t="str">
        <f>IFERROR(__xludf.DUMMYFUNCTION("""COMPUTED_VALUE"""),"FALSO")</f>
        <v>FALSO</v>
      </c>
    </row>
    <row r="459">
      <c r="B459" s="186" t="str">
        <f>IFERROR(__xludf.DUMMYFUNCTION("""COMPUTED_VALUE"""),"PI5492Y")</f>
        <v>PI5492Y</v>
      </c>
      <c r="C459" s="186"/>
      <c r="D459" s="186" t="str">
        <f>IFERROR(__xludf.DUMMYFUNCTION("""COMPUTED_VALUE"""),"FALSO")</f>
        <v>FALSO</v>
      </c>
    </row>
    <row r="460">
      <c r="B460" s="186" t="str">
        <f>IFERROR(__xludf.DUMMYFUNCTION("""COMPUTED_VALUE"""),"PI5477Y")</f>
        <v>PI5477Y</v>
      </c>
      <c r="C460" s="186"/>
      <c r="D460" s="186" t="str">
        <f>IFERROR(__xludf.DUMMYFUNCTION("""COMPUTED_VALUE"""),"FALSO")</f>
        <v>FALSO</v>
      </c>
    </row>
    <row r="461">
      <c r="B461" s="186" t="str">
        <f>IFERROR(__xludf.DUMMYFUNCTION("""COMPUTED_VALUE"""),"PI5812Y")</f>
        <v>PI5812Y</v>
      </c>
      <c r="C461" s="186"/>
      <c r="D461" s="186" t="str">
        <f>IFERROR(__xludf.DUMMYFUNCTION("""COMPUTED_VALUE"""),"FALSO")</f>
        <v>FALSO</v>
      </c>
    </row>
    <row r="462">
      <c r="B462" s="186" t="str">
        <f>IFERROR(__xludf.DUMMYFUNCTION("""COMPUTED_VALUE"""),"PI5457Y")</f>
        <v>PI5457Y</v>
      </c>
      <c r="C462" s="186" t="str">
        <f>IFERROR(__xludf.DUMMYFUNCTION("""COMPUTED_VALUE"""),"PRENSA FRANCESA O MELHOR CAFE")</f>
        <v>PRENSA FRANCESA O MELHOR CAFE</v>
      </c>
      <c r="D462" s="186" t="str">
        <f>IFERROR(__xludf.DUMMYFUNCTION("""COMPUTED_VALUE"""),"FALSO")</f>
        <v>FALSO</v>
      </c>
    </row>
    <row r="463">
      <c r="B463" s="186" t="str">
        <f>IFERROR(__xludf.DUMMYFUNCTION("""COMPUTED_VALUE"""),"PI5293Y")</f>
        <v>PI5293Y</v>
      </c>
      <c r="C463" s="186"/>
      <c r="D463" s="186" t="str">
        <f>IFERROR(__xludf.DUMMYFUNCTION("""COMPUTED_VALUE"""),"FALSO")</f>
        <v>FALSO</v>
      </c>
    </row>
    <row r="464">
      <c r="B464" s="186" t="str">
        <f>IFERROR(__xludf.DUMMYFUNCTION("""COMPUTED_VALUE"""),"PI5957Y")</f>
        <v>PI5957Y</v>
      </c>
      <c r="C464" s="186"/>
      <c r="D464" s="186" t="str">
        <f>IFERROR(__xludf.DUMMYFUNCTION("""COMPUTED_VALUE"""),"FALSO")</f>
        <v>FALSO</v>
      </c>
    </row>
    <row r="465">
      <c r="B465" s="186" t="str">
        <f>IFERROR(__xludf.DUMMYFUNCTION("""COMPUTED_VALUE"""),"CS2085")</f>
        <v>CS2085</v>
      </c>
      <c r="C465" s="186"/>
      <c r="D465" s="186" t="str">
        <f>IFERROR(__xludf.DUMMYFUNCTION("""COMPUTED_VALUE"""),"FALSO")</f>
        <v>FALSO</v>
      </c>
    </row>
    <row r="466">
      <c r="B466" s="186" t="str">
        <f>IFERROR(__xludf.DUMMYFUNCTION("""COMPUTED_VALUE"""),"CS2235")</f>
        <v>CS2235</v>
      </c>
      <c r="C466" s="186"/>
      <c r="D466" s="186" t="str">
        <f>IFERROR(__xludf.DUMMYFUNCTION("""COMPUTED_VALUE"""),"FALSO")</f>
        <v>FALSO</v>
      </c>
    </row>
    <row r="467">
      <c r="B467" s="186" t="str">
        <f>IFERROR(__xludf.DUMMYFUNCTION("""COMPUTED_VALUE"""),"PI7829Y")</f>
        <v>PI7829Y</v>
      </c>
      <c r="C467" s="186"/>
      <c r="D467" s="186" t="str">
        <f>IFERROR(__xludf.DUMMYFUNCTION("""COMPUTED_VALUE"""),"FALSO")</f>
        <v>FALSO</v>
      </c>
    </row>
    <row r="468">
      <c r="B468" s="186" t="str">
        <f>IFERROR(__xludf.DUMMYFUNCTION("""COMPUTED_VALUE"""),"PI7039Y")</f>
        <v>PI7039Y</v>
      </c>
      <c r="C468" s="186"/>
      <c r="D468" s="186" t="str">
        <f>IFERROR(__xludf.DUMMYFUNCTION("""COMPUTED_VALUE"""),"FALSO")</f>
        <v>FALSO</v>
      </c>
    </row>
    <row r="469">
      <c r="B469" s="186" t="str">
        <f>IFERROR(__xludf.DUMMYFUNCTION("""COMPUTED_VALUE"""),"PI6350Y")</f>
        <v>PI6350Y</v>
      </c>
      <c r="C469" s="186"/>
      <c r="D469" s="186" t="str">
        <f>IFERROR(__xludf.DUMMYFUNCTION("""COMPUTED_VALUE"""),"FALSO")</f>
        <v>FALSO</v>
      </c>
    </row>
    <row r="470">
      <c r="B470" s="186" t="str">
        <f>IFERROR(__xludf.DUMMYFUNCTION("""COMPUTED_VALUE"""),"PI6351Y")</f>
        <v>PI6351Y</v>
      </c>
      <c r="C470" s="186"/>
      <c r="D470" s="186" t="str">
        <f>IFERROR(__xludf.DUMMYFUNCTION("""COMPUTED_VALUE"""),"FALSO")</f>
        <v>FALSO</v>
      </c>
    </row>
    <row r="471">
      <c r="B471" s="186" t="str">
        <f>IFERROR(__xludf.DUMMYFUNCTION("""COMPUTED_VALUE"""),"PI6500Y")</f>
        <v>PI6500Y</v>
      </c>
      <c r="C471" s="186" t="str">
        <f>IFERROR(__xludf.DUMMYFUNCTION("""COMPUTED_VALUE"""),"MEIAS DIVERTIDAS 01")</f>
        <v>MEIAS DIVERTIDAS 01</v>
      </c>
      <c r="D471" s="186" t="str">
        <f>IFERROR(__xludf.DUMMYFUNCTION("""COMPUTED_VALUE"""),"FALSO")</f>
        <v>FALSO</v>
      </c>
    </row>
    <row r="472">
      <c r="B472" s="186" t="str">
        <f>IFERROR(__xludf.DUMMYFUNCTION("""COMPUTED_VALUE"""),"PI6501Y")</f>
        <v>PI6501Y</v>
      </c>
      <c r="C472" s="186" t="str">
        <f>IFERROR(__xludf.DUMMYFUNCTION("""COMPUTED_VALUE"""),"MEIAS DIVERTIDAS 02")</f>
        <v>MEIAS DIVERTIDAS 02</v>
      </c>
      <c r="D472" s="186" t="str">
        <f>IFERROR(__xludf.DUMMYFUNCTION("""COMPUTED_VALUE"""),"FALSO")</f>
        <v>FALSO</v>
      </c>
    </row>
    <row r="473">
      <c r="B473" s="186" t="str">
        <f>IFERROR(__xludf.DUMMYFUNCTION("""COMPUTED_VALUE"""),"PI6502Y")</f>
        <v>PI6502Y</v>
      </c>
      <c r="C473" s="186" t="str">
        <f>IFERROR(__xludf.DUMMYFUNCTION("""COMPUTED_VALUE"""),"MEIAS DIVERTIDAS 03")</f>
        <v>MEIAS DIVERTIDAS 03</v>
      </c>
      <c r="D473" s="186" t="str">
        <f>IFERROR(__xludf.DUMMYFUNCTION("""COMPUTED_VALUE"""),"FALSO")</f>
        <v>FALSO</v>
      </c>
    </row>
    <row r="474">
      <c r="B474" s="186" t="str">
        <f>IFERROR(__xludf.DUMMYFUNCTION("""COMPUTED_VALUE"""),"PI7057Y")</f>
        <v>PI7057Y</v>
      </c>
      <c r="C474" s="186"/>
      <c r="D474" s="186" t="str">
        <f>IFERROR(__xludf.DUMMYFUNCTION("""COMPUTED_VALUE"""),"FALSO")</f>
        <v>FALSO</v>
      </c>
    </row>
    <row r="475">
      <c r="B475" s="186" t="str">
        <f>IFERROR(__xludf.DUMMYFUNCTION("""COMPUTED_VALUE"""),"PI5942Y")</f>
        <v>PI5942Y</v>
      </c>
      <c r="C475" s="186"/>
      <c r="D475" s="186" t="str">
        <f>IFERROR(__xludf.DUMMYFUNCTION("""COMPUTED_VALUE"""),"FALSO")</f>
        <v>FALSO</v>
      </c>
    </row>
    <row r="476">
      <c r="B476" s="186" t="str">
        <f>IFERROR(__xludf.DUMMYFUNCTION("""COMPUTED_VALUE"""),"PI5943Y")</f>
        <v>PI5943Y</v>
      </c>
      <c r="C476" s="186"/>
      <c r="D476" s="186" t="str">
        <f>IFERROR(__xludf.DUMMYFUNCTION("""COMPUTED_VALUE"""),"FALSO")</f>
        <v>FALSO</v>
      </c>
    </row>
    <row r="477">
      <c r="B477" s="186" t="str">
        <f>IFERROR(__xludf.DUMMYFUNCTION("""COMPUTED_VALUE"""),"PI7601Y")</f>
        <v>PI7601Y</v>
      </c>
      <c r="C477" s="186"/>
      <c r="D477" s="186" t="str">
        <f>IFERROR(__xludf.DUMMYFUNCTION("""COMPUTED_VALUE"""),"FALSO")</f>
        <v>FALSO</v>
      </c>
    </row>
    <row r="478">
      <c r="B478" s="186" t="str">
        <f>IFERROR(__xludf.DUMMYFUNCTION("""COMPUTED_VALUE"""),"PI7049Y")</f>
        <v>PI7049Y</v>
      </c>
      <c r="C478" s="186"/>
      <c r="D478" s="186" t="str">
        <f>IFERROR(__xludf.DUMMYFUNCTION("""COMPUTED_VALUE"""),"FALSO")</f>
        <v>FALSO</v>
      </c>
    </row>
    <row r="479">
      <c r="B479" s="186" t="str">
        <f>IFERROR(__xludf.DUMMYFUNCTION("""COMPUTED_VALUE"""),"GE0097")</f>
        <v>GE0097</v>
      </c>
      <c r="C479" s="186" t="str">
        <f>IFERROR(__xludf.DUMMYFUNCTION("""COMPUTED_VALUE"""),"GANCHO DE PAREDE TA EM CASA")</f>
        <v>GANCHO DE PAREDE TA EM CASA</v>
      </c>
      <c r="D479" s="186" t="str">
        <f>IFERROR(__xludf.DUMMYFUNCTION("""COMPUTED_VALUE"""),"FALSO")</f>
        <v>FALSO</v>
      </c>
    </row>
    <row r="480">
      <c r="B480" s="186" t="str">
        <f>IFERROR(__xludf.DUMMYFUNCTION("""COMPUTED_VALUE"""),"PI5467Y")</f>
        <v>PI5467Y</v>
      </c>
      <c r="C480" s="186"/>
      <c r="D480" s="186" t="str">
        <f>IFERROR(__xludf.DUMMYFUNCTION("""COMPUTED_VALUE"""),"FALSO")</f>
        <v>FALSO</v>
      </c>
    </row>
    <row r="481">
      <c r="B481" s="186" t="str">
        <f>IFERROR(__xludf.DUMMYFUNCTION("""COMPUTED_VALUE"""),"PI5162Y")</f>
        <v>PI5162Y</v>
      </c>
      <c r="C481" s="186" t="str">
        <f>IFERROR(__xludf.DUMMYFUNCTION("""COMPUTED_VALUE"""),"KIT JARDINAGEM E AVENTAL DE PLANTAO")</f>
        <v>KIT JARDINAGEM E AVENTAL DE PLANTAO</v>
      </c>
      <c r="D481" s="186" t="str">
        <f>IFERROR(__xludf.DUMMYFUNCTION("""COMPUTED_VALUE"""),"FALSO")</f>
        <v>FALSO</v>
      </c>
    </row>
    <row r="482">
      <c r="B482" s="186" t="str">
        <f>IFERROR(__xludf.DUMMYFUNCTION("""COMPUTED_VALUE"""),"PI5470Y")</f>
        <v>PI5470Y</v>
      </c>
      <c r="C482" s="186"/>
      <c r="D482" s="186" t="str">
        <f>IFERROR(__xludf.DUMMYFUNCTION("""COMPUTED_VALUE"""),"FALSO")</f>
        <v>FALSO</v>
      </c>
    </row>
    <row r="483">
      <c r="B483" s="186" t="str">
        <f>IFERROR(__xludf.DUMMYFUNCTION("""COMPUTED_VALUE"""),"PI5471Y")</f>
        <v>PI5471Y</v>
      </c>
      <c r="C483" s="186"/>
      <c r="D483" s="186" t="str">
        <f>IFERROR(__xludf.DUMMYFUNCTION("""COMPUTED_VALUE"""),"FALSO")</f>
        <v>FALSO</v>
      </c>
    </row>
    <row r="484">
      <c r="B484" s="186" t="str">
        <f>IFERROR(__xludf.DUMMYFUNCTION("""COMPUTED_VALUE"""),"PI7943Y")</f>
        <v>PI7943Y</v>
      </c>
      <c r="C484" s="186"/>
      <c r="D484" s="186" t="str">
        <f>IFERROR(__xludf.DUMMYFUNCTION("""COMPUTED_VALUE"""),"FALSO")</f>
        <v>FALSO</v>
      </c>
    </row>
    <row r="485">
      <c r="B485" s="186" t="str">
        <f>IFERROR(__xludf.DUMMYFUNCTION("""COMPUTED_VALUE"""),"PI5893Y")</f>
        <v>PI5893Y</v>
      </c>
      <c r="C485" s="186"/>
      <c r="D485" s="186" t="str">
        <f>IFERROR(__xludf.DUMMYFUNCTION("""COMPUTED_VALUE"""),"FALSO")</f>
        <v>FALSO</v>
      </c>
    </row>
    <row r="486">
      <c r="B486" s="186" t="str">
        <f>IFERROR(__xludf.DUMMYFUNCTION("""COMPUTED_VALUE"""),"PI5893Y")</f>
        <v>PI5893Y</v>
      </c>
      <c r="C486" s="186"/>
      <c r="D486" s="186" t="str">
        <f>IFERROR(__xludf.DUMMYFUNCTION("""COMPUTED_VALUE"""),"FALSO")</f>
        <v>FALSO</v>
      </c>
    </row>
    <row r="487">
      <c r="B487" s="186" t="str">
        <f>IFERROR(__xludf.DUMMYFUNCTION("""COMPUTED_VALUE"""),"PI5894Y")</f>
        <v>PI5894Y</v>
      </c>
      <c r="C487" s="186"/>
      <c r="D487" s="186" t="str">
        <f>IFERROR(__xludf.DUMMYFUNCTION("""COMPUTED_VALUE"""),"FALSO")</f>
        <v>FALSO</v>
      </c>
    </row>
    <row r="488">
      <c r="B488" s="186" t="str">
        <f>IFERROR(__xludf.DUMMYFUNCTION("""COMPUTED_VALUE"""),"PI5885Y")</f>
        <v>PI5885Y</v>
      </c>
      <c r="C488" s="186"/>
      <c r="D488" s="186" t="str">
        <f>IFERROR(__xludf.DUMMYFUNCTION("""COMPUTED_VALUE"""),"FALSO")</f>
        <v>FALSO</v>
      </c>
    </row>
    <row r="489">
      <c r="B489" s="186" t="str">
        <f>IFERROR(__xludf.DUMMYFUNCTION("""COMPUTED_VALUE"""),"PI7830Y")</f>
        <v>PI7830Y</v>
      </c>
      <c r="C489" s="186"/>
      <c r="D489" s="186" t="str">
        <f>IFERROR(__xludf.DUMMYFUNCTION("""COMPUTED_VALUE"""),"FALSO")</f>
        <v>FALSO</v>
      </c>
    </row>
    <row r="490">
      <c r="B490" s="186" t="str">
        <f>IFERROR(__xludf.DUMMYFUNCTION("""COMPUTED_VALUE"""),"PI6077Y")</f>
        <v>PI6077Y</v>
      </c>
      <c r="C490" s="186"/>
      <c r="D490" s="186" t="str">
        <f>IFERROR(__xludf.DUMMYFUNCTION("""COMPUTED_VALUE"""),"FALSO")</f>
        <v>FALSO</v>
      </c>
    </row>
    <row r="491">
      <c r="B491" s="186" t="str">
        <f>IFERROR(__xludf.DUMMYFUNCTION("""COMPUTED_VALUE"""),"PI6349Y")</f>
        <v>PI6349Y</v>
      </c>
      <c r="C491" s="186"/>
      <c r="D491" s="186" t="str">
        <f>IFERROR(__xludf.DUMMYFUNCTION("""COMPUTED_VALUE"""),"FALSO")</f>
        <v>FALSO</v>
      </c>
    </row>
    <row r="492">
      <c r="B492" s="186" t="str">
        <f>IFERROR(__xludf.DUMMYFUNCTION("""COMPUTED_VALUE"""),"PI5938Y")</f>
        <v>PI5938Y</v>
      </c>
      <c r="C492" s="186"/>
      <c r="D492" s="186" t="str">
        <f>IFERROR(__xludf.DUMMYFUNCTION("""COMPUTED_VALUE"""),"FALSO")</f>
        <v>FALSO</v>
      </c>
    </row>
    <row r="493">
      <c r="B493" s="186" t="str">
        <f>IFERROR(__xludf.DUMMYFUNCTION("""COMPUTED_VALUE"""),"PI5407Y")</f>
        <v>PI5407Y</v>
      </c>
      <c r="C493" s="186"/>
      <c r="D493" s="186" t="str">
        <f>IFERROR(__xludf.DUMMYFUNCTION("""COMPUTED_VALUE"""),"FALSO")</f>
        <v>FALSO</v>
      </c>
    </row>
    <row r="494">
      <c r="B494" s="186" t="str">
        <f>IFERROR(__xludf.DUMMYFUNCTION("""COMPUTED_VALUE"""),"PI6625Y")</f>
        <v>PI6625Y</v>
      </c>
      <c r="C494" s="186" t="str">
        <f>IFERROR(__xludf.DUMMYFUNCTION("""COMPUTED_VALUE"""),"CANECA POR ONDE FLOR")</f>
        <v>CANECA POR ONDE FLOR</v>
      </c>
      <c r="D494" s="186" t="str">
        <f>IFERROR(__xludf.DUMMYFUNCTION("""COMPUTED_VALUE"""),"FALSO")</f>
        <v>FALSO</v>
      </c>
    </row>
    <row r="495">
      <c r="B495" s="186" t="str">
        <f>IFERROR(__xludf.DUMMYFUNCTION("""COMPUTED_VALUE"""),"PI6084Y")</f>
        <v>PI6084Y</v>
      </c>
      <c r="C495" s="186"/>
      <c r="D495" s="186" t="str">
        <f>IFERROR(__xludf.DUMMYFUNCTION("""COMPUTED_VALUE"""),"FALSO")</f>
        <v>FALSO</v>
      </c>
    </row>
    <row r="496">
      <c r="B496" s="186" t="str">
        <f>IFERROR(__xludf.DUMMYFUNCTION("""COMPUTED_VALUE"""),"PI6075Y")</f>
        <v>PI6075Y</v>
      </c>
      <c r="C496" s="186"/>
      <c r="D496" s="186" t="str">
        <f>IFERROR(__xludf.DUMMYFUNCTION("""COMPUTED_VALUE"""),"FALSO")</f>
        <v>FALSO</v>
      </c>
    </row>
    <row r="497">
      <c r="B497" s="186" t="str">
        <f>IFERROR(__xludf.DUMMYFUNCTION("""COMPUTED_VALUE"""),"PI5918Y")</f>
        <v>PI5918Y</v>
      </c>
      <c r="C497" s="186"/>
      <c r="D497" s="186" t="str">
        <f>IFERROR(__xludf.DUMMYFUNCTION("""COMPUTED_VALUE"""),"FALSO")</f>
        <v>FALSO</v>
      </c>
    </row>
    <row r="498">
      <c r="B498" s="186" t="str">
        <f>IFERROR(__xludf.DUMMYFUNCTION("""COMPUTED_VALUE"""),"PI5918Y")</f>
        <v>PI5918Y</v>
      </c>
      <c r="C498" s="186"/>
      <c r="D498" s="186" t="str">
        <f>IFERROR(__xludf.DUMMYFUNCTION("""COMPUTED_VALUE"""),"FALSO")</f>
        <v>FALSO</v>
      </c>
    </row>
    <row r="499">
      <c r="B499" s="186" t="str">
        <f>IFERROR(__xludf.DUMMYFUNCTION("""COMPUTED_VALUE"""),"PI5543Y")</f>
        <v>PI5543Y</v>
      </c>
      <c r="C499" s="186"/>
      <c r="D499" s="186" t="str">
        <f>IFERROR(__xludf.DUMMYFUNCTION("""COMPUTED_VALUE"""),"FALSO")</f>
        <v>FALSO</v>
      </c>
    </row>
    <row r="500">
      <c r="B500" s="186" t="str">
        <f>IFERROR(__xludf.DUMMYFUNCTION("""COMPUTED_VALUE"""),"PI5841Y")</f>
        <v>PI5841Y</v>
      </c>
      <c r="C500" s="186"/>
      <c r="D500" s="186" t="str">
        <f>IFERROR(__xludf.DUMMYFUNCTION("""COMPUTED_VALUE"""),"FALSO")</f>
        <v>FALSO</v>
      </c>
    </row>
    <row r="501">
      <c r="B501" s="186" t="str">
        <f>IFERROR(__xludf.DUMMYFUNCTION("""COMPUTED_VALUE"""),"PI5541Y")</f>
        <v>PI5541Y</v>
      </c>
      <c r="C501" s="186"/>
      <c r="D501" s="186" t="str">
        <f>IFERROR(__xludf.DUMMYFUNCTION("""COMPUTED_VALUE"""),"FALSO")</f>
        <v>FALSO</v>
      </c>
    </row>
    <row r="502">
      <c r="B502" s="186" t="str">
        <f>IFERROR(__xludf.DUMMYFUNCTION("""COMPUTED_VALUE"""),"PI6536Y")</f>
        <v>PI6536Y</v>
      </c>
      <c r="C502" s="186" t="str">
        <f>IFERROR(__xludf.DUMMYFUNCTION("""COMPUTED_VALUE"""),"LUMINARIA PLASMA")</f>
        <v>LUMINARIA PLASMA</v>
      </c>
      <c r="D502" s="186" t="str">
        <f>IFERROR(__xludf.DUMMYFUNCTION("""COMPUTED_VALUE"""),"FALSO")</f>
        <v>FALSO</v>
      </c>
    </row>
    <row r="503">
      <c r="B503" s="186" t="str">
        <f>IFERROR(__xludf.DUMMYFUNCTION("""COMPUTED_VALUE"""),"PI5872Y")</f>
        <v>PI5872Y</v>
      </c>
      <c r="C503" s="186"/>
      <c r="D503" s="186" t="str">
        <f>IFERROR(__xludf.DUMMYFUNCTION("""COMPUTED_VALUE"""),"FALSO")</f>
        <v>FALSO</v>
      </c>
    </row>
    <row r="504">
      <c r="B504" s="186" t="str">
        <f>IFERROR(__xludf.DUMMYFUNCTION("""COMPUTED_VALUE"""),"PI5078Y")</f>
        <v>PI5078Y</v>
      </c>
      <c r="C504" s="186"/>
      <c r="D504" s="186" t="str">
        <f>IFERROR(__xludf.DUMMYFUNCTION("""COMPUTED_VALUE"""),"FALSO")</f>
        <v>FALSO</v>
      </c>
    </row>
    <row r="505">
      <c r="B505" s="186" t="str">
        <f>IFERROR(__xludf.DUMMYFUNCTION("""COMPUTED_VALUE"""),"PI7309Y")</f>
        <v>PI7309Y</v>
      </c>
      <c r="C505" s="186"/>
      <c r="D505" s="186" t="str">
        <f>IFERROR(__xludf.DUMMYFUNCTION("""COMPUTED_VALUE"""),"FALSO")</f>
        <v>FALSO</v>
      </c>
    </row>
    <row r="506">
      <c r="B506" s="186" t="str">
        <f>IFERROR(__xludf.DUMMYFUNCTION("""COMPUTED_VALUE"""),"PI6183Y")</f>
        <v>PI6183Y</v>
      </c>
      <c r="C506" s="186"/>
      <c r="D506" s="186" t="str">
        <f>IFERROR(__xludf.DUMMYFUNCTION("""COMPUTED_VALUE"""),"FALSO")</f>
        <v>FALSO</v>
      </c>
    </row>
    <row r="507">
      <c r="B507" s="186" t="str">
        <f>IFERROR(__xludf.DUMMYFUNCTION("""COMPUTED_VALUE"""),"PI5414Y")</f>
        <v>PI5414Y</v>
      </c>
      <c r="C507" s="186"/>
      <c r="D507" s="186" t="str">
        <f>IFERROR(__xludf.DUMMYFUNCTION("""COMPUTED_VALUE"""),"CHECKING")</f>
        <v>CHECKING</v>
      </c>
    </row>
    <row r="508">
      <c r="B508" s="186" t="str">
        <f>IFERROR(__xludf.DUMMYFUNCTION("""COMPUTED_VALUE"""),"PI6655Y")</f>
        <v>PI6655Y</v>
      </c>
      <c r="C508" s="186"/>
      <c r="D508" s="186" t="str">
        <f>IFERROR(__xludf.DUMMYFUNCTION("""COMPUTED_VALUE"""),"FALSO")</f>
        <v>FALSO</v>
      </c>
    </row>
    <row r="509">
      <c r="B509" s="186" t="str">
        <f>IFERROR(__xludf.DUMMYFUNCTION("""COMPUTED_VALUE"""),"PI6230Y")</f>
        <v>PI6230Y</v>
      </c>
      <c r="C509" s="186"/>
      <c r="D509" s="186" t="str">
        <f>IFERROR(__xludf.DUMMYFUNCTION("""COMPUTED_VALUE"""),"FALSO")</f>
        <v>FALSO</v>
      </c>
    </row>
    <row r="510">
      <c r="B510" s="186" t="str">
        <f>IFERROR(__xludf.DUMMYFUNCTION("""COMPUTED_VALUE"""),"PI7310Y")</f>
        <v>PI7310Y</v>
      </c>
      <c r="C510" s="186"/>
      <c r="D510" s="186" t="str">
        <f>IFERROR(__xludf.DUMMYFUNCTION("""COMPUTED_VALUE"""),"FALSO")</f>
        <v>FALSO</v>
      </c>
    </row>
    <row r="511">
      <c r="B511" s="186" t="str">
        <f>IFERROR(__xludf.DUMMYFUNCTION("""COMPUTED_VALUE"""),"PI7774Y")</f>
        <v>PI7774Y</v>
      </c>
      <c r="C511" s="186"/>
      <c r="D511" s="186" t="str">
        <f>IFERROR(__xludf.DUMMYFUNCTION("""COMPUTED_VALUE"""),"FALSO")</f>
        <v>FALSO</v>
      </c>
    </row>
    <row r="512">
      <c r="B512" s="186" t="str">
        <f>IFERROR(__xludf.DUMMYFUNCTION("""COMPUTED_VALUE"""),"PI5310Y")</f>
        <v>PI5310Y</v>
      </c>
      <c r="C512" s="186"/>
      <c r="D512" s="186" t="str">
        <f>IFERROR(__xludf.DUMMYFUNCTION("""COMPUTED_VALUE"""),"FALSO")</f>
        <v>FALSO</v>
      </c>
    </row>
    <row r="513">
      <c r="B513" s="186" t="str">
        <f>IFERROR(__xludf.DUMMYFUNCTION("""COMPUTED_VALUE"""),"PI7208Y")</f>
        <v>PI7208Y</v>
      </c>
      <c r="C513" s="186"/>
      <c r="D513" s="186" t="str">
        <f>IFERROR(__xludf.DUMMYFUNCTION("""COMPUTED_VALUE"""),"INMETRO Toys System 5 - Ordinance 302")</f>
        <v>INMETRO Toys System 5 - Ordinance 302</v>
      </c>
    </row>
    <row r="514">
      <c r="B514" s="186" t="str">
        <f>IFERROR(__xludf.DUMMYFUNCTION("""COMPUTED_VALUE"""),"PI6228Y")</f>
        <v>PI6228Y</v>
      </c>
      <c r="C514" s="186"/>
      <c r="D514" s="186" t="str">
        <f>IFERROR(__xludf.DUMMYFUNCTION("""COMPUTED_VALUE"""),"INMETRO Toys System 5 - Ordinance 563 (Factory)")</f>
        <v>INMETRO Toys System 5 - Ordinance 563 (Factory)</v>
      </c>
    </row>
    <row r="515">
      <c r="B515" s="186" t="str">
        <f>IFERROR(__xludf.DUMMYFUNCTION("""COMPUTED_VALUE"""),"PI6490Y")</f>
        <v>PI6490Y</v>
      </c>
      <c r="C515" s="186" t="str">
        <f>IFERROR(__xludf.DUMMYFUNCTION("""COMPUTED_VALUE"""),"LUMINARIA DE CABECEIRA / ABAJUR")</f>
        <v>LUMINARIA DE CABECEIRA / ABAJUR</v>
      </c>
      <c r="D515" s="186" t="str">
        <f>IFERROR(__xludf.DUMMYFUNCTION("""COMPUTED_VALUE"""),"FALSO")</f>
        <v>FALSO</v>
      </c>
    </row>
    <row r="516">
      <c r="B516" s="186" t="str">
        <f>IFERROR(__xludf.DUMMYFUNCTION("""COMPUTED_VALUE"""),"PI6207Y")</f>
        <v>PI6207Y</v>
      </c>
      <c r="C516" s="186"/>
      <c r="D516" s="186" t="str">
        <f>IFERROR(__xludf.DUMMYFUNCTION("""COMPUTED_VALUE"""),"FALSO")</f>
        <v>FALSO</v>
      </c>
    </row>
    <row r="517">
      <c r="B517" s="186" t="str">
        <f>IFERROR(__xludf.DUMMYFUNCTION("""COMPUTED_VALUE"""),"PI5876Y")</f>
        <v>PI5876Y</v>
      </c>
      <c r="C517" s="186"/>
      <c r="D517" s="186" t="str">
        <f>IFERROR(__xludf.DUMMYFUNCTION("""COMPUTED_VALUE"""),"FALSO")</f>
        <v>FALSO</v>
      </c>
    </row>
    <row r="518">
      <c r="B518" s="186" t="str">
        <f>IFERROR(__xludf.DUMMYFUNCTION("""COMPUTED_VALUE"""),"PI5876Y")</f>
        <v>PI5876Y</v>
      </c>
      <c r="C518" s="186"/>
      <c r="D518" s="186" t="str">
        <f>IFERROR(__xludf.DUMMYFUNCTION("""COMPUTED_VALUE"""),"FALSO")</f>
        <v>FALSO</v>
      </c>
    </row>
    <row r="519">
      <c r="B519" s="186" t="str">
        <f>IFERROR(__xludf.DUMMYFUNCTION("""COMPUTED_VALUE"""),"PI5878Y")</f>
        <v>PI5878Y</v>
      </c>
      <c r="C519" s="186"/>
      <c r="D519" s="186" t="str">
        <f>IFERROR(__xludf.DUMMYFUNCTION("""COMPUTED_VALUE"""),"FALSO")</f>
        <v>FALSO</v>
      </c>
    </row>
    <row r="520">
      <c r="B520" s="186" t="str">
        <f>IFERROR(__xludf.DUMMYFUNCTION("""COMPUTED_VALUE"""),"PI5878Y")</f>
        <v>PI5878Y</v>
      </c>
      <c r="C520" s="186"/>
      <c r="D520" s="186" t="str">
        <f>IFERROR(__xludf.DUMMYFUNCTION("""COMPUTED_VALUE"""),"FALSO")</f>
        <v>FALSO</v>
      </c>
    </row>
    <row r="521">
      <c r="B521" s="186" t="str">
        <f>IFERROR(__xludf.DUMMYFUNCTION("""COMPUTED_VALUE"""),"PI7590Y")</f>
        <v>PI7590Y</v>
      </c>
      <c r="C521" s="186" t="str">
        <f>IFERROR(__xludf.DUMMYFUNCTION("""COMPUTED_VALUE"""),"ALMOFADA MASSAGEADORA AQUECEDOR AVIAO")</f>
        <v>ALMOFADA MASSAGEADORA AQUECEDOR AVIAO</v>
      </c>
      <c r="D521" s="186" t="str">
        <f>IFERROR(__xludf.DUMMYFUNCTION("""COMPUTED_VALUE"""),"FALSO")</f>
        <v>FALSO</v>
      </c>
    </row>
    <row r="522">
      <c r="B522" s="186" t="str">
        <f>IFERROR(__xludf.DUMMYFUNCTION("""COMPUTED_VALUE"""),"PI7342Y")</f>
        <v>PI7342Y</v>
      </c>
      <c r="C522" s="186" t="str">
        <f>IFERROR(__xludf.DUMMYFUNCTION("""COMPUTED_VALUE"""),"ALMOFADA MASSAGEADORA AQUECEDOR SPA")</f>
        <v>ALMOFADA MASSAGEADORA AQUECEDOR SPA</v>
      </c>
      <c r="D522" s="186" t="str">
        <f>IFERROR(__xludf.DUMMYFUNCTION("""COMPUTED_VALUE"""),"FALSO")</f>
        <v>FALSO</v>
      </c>
    </row>
    <row r="523">
      <c r="B523" s="186" t="str">
        <f>IFERROR(__xludf.DUMMYFUNCTION("""COMPUTED_VALUE"""),"PI5232Y")</f>
        <v>PI5232Y</v>
      </c>
      <c r="C523" s="186"/>
      <c r="D523" s="186" t="str">
        <f>IFERROR(__xludf.DUMMYFUNCTION("""COMPUTED_VALUE"""),"FALSO")</f>
        <v>FALSO</v>
      </c>
    </row>
    <row r="524">
      <c r="B524" s="186" t="str">
        <f>IFERROR(__xludf.DUMMYFUNCTION("""COMPUTED_VALUE"""),"PI7360Y")</f>
        <v>PI7360Y</v>
      </c>
      <c r="C524" s="186"/>
      <c r="D524" s="186" t="str">
        <f>IFERROR(__xludf.DUMMYFUNCTION("""COMPUTED_VALUE"""),"FALSO")</f>
        <v>FALSO</v>
      </c>
    </row>
    <row r="525">
      <c r="B525" s="186" t="str">
        <f>IFERROR(__xludf.DUMMYFUNCTION("""COMPUTED_VALUE"""),"PI7538Y")</f>
        <v>PI7538Y</v>
      </c>
      <c r="C525" s="186"/>
      <c r="D525" s="186" t="str">
        <f>IFERROR(__xludf.DUMMYFUNCTION("""COMPUTED_VALUE"""),"FALSO")</f>
        <v>FALSO</v>
      </c>
    </row>
    <row r="526">
      <c r="B526" s="186" t="str">
        <f>IFERROR(__xludf.DUMMYFUNCTION("""COMPUTED_VALUE"""),"PI7740Y")</f>
        <v>PI7740Y</v>
      </c>
      <c r="C526" s="186"/>
      <c r="D526" s="186" t="str">
        <f>IFERROR(__xludf.DUMMYFUNCTION("""COMPUTED_VALUE"""),"INMETRO Toys System 5 - Ordinance 302")</f>
        <v>INMETRO Toys System 5 - Ordinance 302</v>
      </c>
    </row>
    <row r="527">
      <c r="B527" s="186" t="str">
        <f>IFERROR(__xludf.DUMMYFUNCTION("""COMPUTED_VALUE"""),"PI7570Y")</f>
        <v>PI7570Y</v>
      </c>
      <c r="C527" s="186"/>
      <c r="D527" s="186" t="str">
        <f>IFERROR(__xludf.DUMMYFUNCTION("""COMPUTED_VALUE"""),"INMETRO SCHOOL ARTICLES SYSTEM 5 - ORDINANCE 481")</f>
        <v>INMETRO SCHOOL ARTICLES SYSTEM 5 - ORDINANCE 481</v>
      </c>
    </row>
    <row r="528">
      <c r="B528" s="186" t="str">
        <f>IFERROR(__xludf.DUMMYFUNCTION("""COMPUTED_VALUE"""),"PI7571Y")</f>
        <v>PI7571Y</v>
      </c>
      <c r="C528" s="186"/>
      <c r="D528" s="186" t="str">
        <f>IFERROR(__xludf.DUMMYFUNCTION("""COMPUTED_VALUE"""),"INMETRO SCHOOL ARTICLES SYSTEM 5 - ORDINANCE 481")</f>
        <v>INMETRO SCHOOL ARTICLES SYSTEM 5 - ORDINANCE 481</v>
      </c>
    </row>
    <row r="529">
      <c r="B529" s="186" t="str">
        <f>IFERROR(__xludf.DUMMYFUNCTION("""COMPUTED_VALUE"""),"PI7572Y")</f>
        <v>PI7572Y</v>
      </c>
      <c r="C529" s="186"/>
      <c r="D529" s="186" t="str">
        <f>IFERROR(__xludf.DUMMYFUNCTION("""COMPUTED_VALUE"""),"INMETRO SCHOOL ARTICLES SYSTEM 5 - ORDINANCE 481")</f>
        <v>INMETRO SCHOOL ARTICLES SYSTEM 5 - ORDINANCE 481</v>
      </c>
    </row>
    <row r="530">
      <c r="B530" s="186" t="str">
        <f>IFERROR(__xludf.DUMMYFUNCTION("""COMPUTED_VALUE"""),"PI7046Y")</f>
        <v>PI7046Y</v>
      </c>
      <c r="C530" s="186"/>
      <c r="D530" s="186" t="str">
        <f>IFERROR(__xludf.DUMMYFUNCTION("""COMPUTED_VALUE"""),"INMETRO SCHOOL ARTICLES - ORDINANCE 423")</f>
        <v>INMETRO SCHOOL ARTICLES - ORDINANCE 423</v>
      </c>
    </row>
    <row r="531">
      <c r="B531" s="186" t="str">
        <f>IFERROR(__xludf.DUMMYFUNCTION("""COMPUTED_VALUE"""),"PI7573Y")</f>
        <v>PI7573Y</v>
      </c>
      <c r="C531" s="186"/>
      <c r="D531" s="186" t="str">
        <f>IFERROR(__xludf.DUMMYFUNCTION("""COMPUTED_VALUE"""),"INMETRO SCHOOL ARTICLES SYSTEM 5 - ORDINANCE 481")</f>
        <v>INMETRO SCHOOL ARTICLES SYSTEM 5 - ORDINANCE 481</v>
      </c>
    </row>
    <row r="532">
      <c r="B532" s="186" t="str">
        <f>IFERROR(__xludf.DUMMYFUNCTION("""COMPUTED_VALUE"""),"PI7169Y")</f>
        <v>PI7169Y</v>
      </c>
      <c r="C532" s="186"/>
      <c r="D532" s="186" t="str">
        <f>IFERROR(__xludf.DUMMYFUNCTION("""COMPUTED_VALUE"""),"FALSO")</f>
        <v>FALSO</v>
      </c>
    </row>
    <row r="533">
      <c r="B533" s="186" t="str">
        <f>IFERROR(__xludf.DUMMYFUNCTION("""COMPUTED_VALUE"""),"PI7055Y")</f>
        <v>PI7055Y</v>
      </c>
      <c r="C533" s="186"/>
      <c r="D533" s="186" t="str">
        <f>IFERROR(__xludf.DUMMYFUNCTION("""COMPUTED_VALUE"""),"FALSO")</f>
        <v>FALSO</v>
      </c>
    </row>
    <row r="534">
      <c r="B534" s="186" t="str">
        <f>IFERROR(__xludf.DUMMYFUNCTION("""COMPUTED_VALUE"""),"PI7574Y")</f>
        <v>PI7574Y</v>
      </c>
      <c r="C534" s="186"/>
      <c r="D534" s="186" t="str">
        <f>IFERROR(__xludf.DUMMYFUNCTION("""COMPUTED_VALUE"""),"INMETRO SCHOOL ARTICLES SYSTEM 5 - ORDINANCE 481")</f>
        <v>INMETRO SCHOOL ARTICLES SYSTEM 5 - ORDINANCE 481</v>
      </c>
    </row>
    <row r="535">
      <c r="B535" s="186" t="str">
        <f>IFERROR(__xludf.DUMMYFUNCTION("""COMPUTED_VALUE"""),"PI7329Y")</f>
        <v>PI7329Y</v>
      </c>
      <c r="C535" s="186"/>
      <c r="D535" s="186" t="str">
        <f>IFERROR(__xludf.DUMMYFUNCTION("""COMPUTED_VALUE"""),"FALSO")</f>
        <v>FALSO</v>
      </c>
    </row>
    <row r="536">
      <c r="B536" s="186" t="str">
        <f>IFERROR(__xludf.DUMMYFUNCTION("""COMPUTED_VALUE"""),"PI7575Y")</f>
        <v>PI7575Y</v>
      </c>
      <c r="C536" s="186"/>
      <c r="D536" s="186" t="str">
        <f>IFERROR(__xludf.DUMMYFUNCTION("""COMPUTED_VALUE"""),"INMETRO SCHOOL ARTICLES SYSTEM 5 - ORDINANCE 481")</f>
        <v>INMETRO SCHOOL ARTICLES SYSTEM 5 - ORDINANCE 481</v>
      </c>
    </row>
    <row r="537">
      <c r="B537" s="186" t="str">
        <f>IFERROR(__xludf.DUMMYFUNCTION("""COMPUTED_VALUE"""),"PI7576Y")</f>
        <v>PI7576Y</v>
      </c>
      <c r="C537" s="186"/>
      <c r="D537" s="186" t="str">
        <f>IFERROR(__xludf.DUMMYFUNCTION("""COMPUTED_VALUE"""),"INMETRO SCHOOL ARTICLES SYSTEM 5 - ORDINANCE 481")</f>
        <v>INMETRO SCHOOL ARTICLES SYSTEM 5 - ORDINANCE 481</v>
      </c>
    </row>
    <row r="538">
      <c r="B538" s="186" t="str">
        <f>IFERROR(__xludf.DUMMYFUNCTION("""COMPUTED_VALUE"""),"PI7330Y")</f>
        <v>PI7330Y</v>
      </c>
      <c r="C538" s="186"/>
      <c r="D538" s="186" t="str">
        <f>IFERROR(__xludf.DUMMYFUNCTION("""COMPUTED_VALUE"""),"FALSO")</f>
        <v>FALSO</v>
      </c>
    </row>
    <row r="539">
      <c r="B539" s="186" t="str">
        <f>IFERROR(__xludf.DUMMYFUNCTION("""COMPUTED_VALUE"""),"PI7331Y")</f>
        <v>PI7331Y</v>
      </c>
      <c r="C539" s="186"/>
      <c r="D539" s="186" t="str">
        <f>IFERROR(__xludf.DUMMYFUNCTION("""COMPUTED_VALUE"""),"FALSO")</f>
        <v>FALSO</v>
      </c>
    </row>
    <row r="540">
      <c r="B540" s="186" t="str">
        <f>IFERROR(__xludf.DUMMYFUNCTION("""COMPUTED_VALUE"""),"PI7577Y")</f>
        <v>PI7577Y</v>
      </c>
      <c r="C540" s="186"/>
      <c r="D540" s="186" t="str">
        <f>IFERROR(__xludf.DUMMYFUNCTION("""COMPUTED_VALUE"""),"INMETRO SCHOOL ARTICLES SYSTEM 5 - ORDINANCE 481")</f>
        <v>INMETRO SCHOOL ARTICLES SYSTEM 5 - ORDINANCE 481</v>
      </c>
    </row>
    <row r="541">
      <c r="B541" s="186" t="str">
        <f>IFERROR(__xludf.DUMMYFUNCTION("""COMPUTED_VALUE"""),"PI7338Y")</f>
        <v>PI7338Y</v>
      </c>
      <c r="C541" s="186"/>
      <c r="D541" s="186" t="str">
        <f>IFERROR(__xludf.DUMMYFUNCTION("""COMPUTED_VALUE"""),"FALSO")</f>
        <v>FALSO</v>
      </c>
    </row>
    <row r="542">
      <c r="B542" s="186" t="str">
        <f>IFERROR(__xludf.DUMMYFUNCTION("""COMPUTED_VALUE"""),"PI7578Y")</f>
        <v>PI7578Y</v>
      </c>
      <c r="C542" s="186"/>
      <c r="D542" s="186" t="str">
        <f>IFERROR(__xludf.DUMMYFUNCTION("""COMPUTED_VALUE"""),"INMETRO SCHOOL ARTICLES SYSTEM 5 - ORDINANCE 481")</f>
        <v>INMETRO SCHOOL ARTICLES SYSTEM 5 - ORDINANCE 481</v>
      </c>
    </row>
    <row r="543">
      <c r="B543" s="186" t="str">
        <f>IFERROR(__xludf.DUMMYFUNCTION("""COMPUTED_VALUE"""),"PI7579Y")</f>
        <v>PI7579Y</v>
      </c>
      <c r="C543" s="186"/>
      <c r="D543" s="186" t="str">
        <f>IFERROR(__xludf.DUMMYFUNCTION("""COMPUTED_VALUE"""),"INMETRO SCHOOL ARTICLES SYSTEM 5 - ORDINANCE 481")</f>
        <v>INMETRO SCHOOL ARTICLES SYSTEM 5 - ORDINANCE 481</v>
      </c>
    </row>
    <row r="544">
      <c r="B544" s="186" t="str">
        <f>IFERROR(__xludf.DUMMYFUNCTION("""COMPUTED_VALUE"""),"PI5952Y")</f>
        <v>PI5952Y</v>
      </c>
      <c r="C544" s="186"/>
      <c r="D544" s="186" t="str">
        <f>IFERROR(__xludf.DUMMYFUNCTION("""COMPUTED_VALUE"""),"INMETRO Toys System 5 - Ordinance 302")</f>
        <v>INMETRO Toys System 5 - Ordinance 302</v>
      </c>
    </row>
    <row r="545">
      <c r="B545" s="186" t="str">
        <f>IFERROR(__xludf.DUMMYFUNCTION("""COMPUTED_VALUE"""),"PI7770Y")</f>
        <v>PI7770Y</v>
      </c>
      <c r="C545" s="186"/>
      <c r="D545" s="186" t="str">
        <f>IFERROR(__xludf.DUMMYFUNCTION("""COMPUTED_VALUE"""),"FALSO")</f>
        <v>FALSO</v>
      </c>
    </row>
    <row r="546">
      <c r="B546" s="186" t="str">
        <f>IFERROR(__xludf.DUMMYFUNCTION("""COMPUTED_VALUE"""),"PI7635Y")</f>
        <v>PI7635Y</v>
      </c>
      <c r="C546" s="186" t="str">
        <f>IFERROR(__xludf.DUMMYFUNCTION("""COMPUTED_VALUE"""),"PORTA BIJOUX HOLOGRAFICO CELESTIAL")</f>
        <v>PORTA BIJOUX HOLOGRAFICO CELESTIAL</v>
      </c>
      <c r="D546" s="186" t="str">
        <f>IFERROR(__xludf.DUMMYFUNCTION("""COMPUTED_VALUE"""),"FALSO")</f>
        <v>FALSO</v>
      </c>
    </row>
    <row r="547">
      <c r="B547" s="186" t="str">
        <f>IFERROR(__xludf.DUMMYFUNCTION("""COMPUTED_VALUE"""),"PI5007Y")</f>
        <v>PI5007Y</v>
      </c>
      <c r="C547" s="186"/>
      <c r="D547" s="186" t="str">
        <f>IFERROR(__xludf.DUMMYFUNCTION("""COMPUTED_VALUE"""),"FALSO")</f>
        <v>FALSO</v>
      </c>
    </row>
    <row r="548">
      <c r="B548" s="186" t="str">
        <f>IFERROR(__xludf.DUMMYFUNCTION("""COMPUTED_VALUE"""),"PI6185Y")</f>
        <v>PI6185Y</v>
      </c>
      <c r="C548" s="186"/>
      <c r="D548" s="186" t="str">
        <f>IFERROR(__xludf.DUMMYFUNCTION("""COMPUTED_VALUE"""),"FALSO")</f>
        <v>FALSO</v>
      </c>
    </row>
    <row r="549">
      <c r="B549" s="186" t="str">
        <f>IFERROR(__xludf.DUMMYFUNCTION("""COMPUTED_VALUE"""),"PI7608Y")</f>
        <v>PI7608Y</v>
      </c>
      <c r="C549" s="186"/>
      <c r="D549" s="186" t="str">
        <f>IFERROR(__xludf.DUMMYFUNCTION("""COMPUTED_VALUE"""),"FALSO")</f>
        <v>FALSO</v>
      </c>
    </row>
    <row r="550">
      <c r="B550" s="186" t="str">
        <f>IFERROR(__xludf.DUMMYFUNCTION("""COMPUTED_VALUE"""),"PI7697Y")</f>
        <v>PI7697Y</v>
      </c>
      <c r="C550" s="186"/>
      <c r="D550" s="186" t="str">
        <f>IFERROR(__xludf.DUMMYFUNCTION("""COMPUTED_VALUE"""),"FALSO")</f>
        <v>FALSO</v>
      </c>
    </row>
    <row r="551">
      <c r="B551" s="186" t="str">
        <f>IFERROR(__xludf.DUMMYFUNCTION("""COMPUTED_VALUE"""),"PI5009Y")</f>
        <v>PI5009Y</v>
      </c>
      <c r="C551" s="186"/>
      <c r="D551" s="186" t="str">
        <f>IFERROR(__xludf.DUMMYFUNCTION("""COMPUTED_VALUE"""),"FALSO")</f>
        <v>FALSO</v>
      </c>
    </row>
    <row r="552">
      <c r="B552" s="186" t="str">
        <f>IFERROR(__xludf.DUMMYFUNCTION("""COMPUTED_VALUE"""),"PI6249Y")</f>
        <v>PI6249Y</v>
      </c>
      <c r="C552" s="186"/>
      <c r="D552" s="186" t="str">
        <f>IFERROR(__xludf.DUMMYFUNCTION("""COMPUTED_VALUE"""),"INMETRO Toys System 5 - Ordinance 563 (Factory)")</f>
        <v>INMETRO Toys System 5 - Ordinance 563 (Factory)</v>
      </c>
    </row>
    <row r="553">
      <c r="B553" s="186" t="str">
        <f>IFERROR(__xludf.DUMMYFUNCTION("""COMPUTED_VALUE"""),"PI5417Y")</f>
        <v>PI5417Y</v>
      </c>
      <c r="C553" s="186"/>
      <c r="D553" s="186" t="str">
        <f>IFERROR(__xludf.DUMMYFUNCTION("""COMPUTED_VALUE"""),"FALSO")</f>
        <v>FALSO</v>
      </c>
    </row>
    <row r="554">
      <c r="B554" s="186" t="str">
        <f>IFERROR(__xludf.DUMMYFUNCTION("""COMPUTED_VALUE"""),"PI6254Y")</f>
        <v>PI6254Y</v>
      </c>
      <c r="C554" s="186"/>
      <c r="D554" s="186" t="str">
        <f>IFERROR(__xludf.DUMMYFUNCTION("""COMPUTED_VALUE"""),"FALSO")</f>
        <v>FALSO</v>
      </c>
    </row>
    <row r="555">
      <c r="B555" s="186" t="str">
        <f>IFERROR(__xludf.DUMMYFUNCTION("""COMPUTED_VALUE"""),"PI7192Y")</f>
        <v>PI7192Y</v>
      </c>
      <c r="C555" s="186"/>
      <c r="D555" s="186" t="str">
        <f>IFERROR(__xludf.DUMMYFUNCTION("""COMPUTED_VALUE"""),"FALSO")</f>
        <v>FALSO</v>
      </c>
    </row>
    <row r="556">
      <c r="B556" s="186" t="str">
        <f>IFERROR(__xludf.DUMMYFUNCTION("""COMPUTED_VALUE"""),"CS2040")</f>
        <v>CS2040</v>
      </c>
      <c r="C556" s="186"/>
      <c r="D556" s="186" t="str">
        <f>IFERROR(__xludf.DUMMYFUNCTION("""COMPUTED_VALUE"""),"CHECKING")</f>
        <v>CHECKING</v>
      </c>
    </row>
    <row r="557">
      <c r="B557" s="186" t="str">
        <f>IFERROR(__xludf.DUMMYFUNCTION("""COMPUTED_VALUE"""),"PI5157Y")</f>
        <v>PI5157Y</v>
      </c>
      <c r="C557" s="186"/>
      <c r="D557" s="186" t="str">
        <f>IFERROR(__xludf.DUMMYFUNCTION("""COMPUTED_VALUE"""),"FALSO")</f>
        <v>FALSO</v>
      </c>
    </row>
    <row r="558">
      <c r="B558" s="186" t="str">
        <f>IFERROR(__xludf.DUMMYFUNCTION("""COMPUTED_VALUE"""),"PI5285")</f>
        <v>PI5285</v>
      </c>
      <c r="C558" s="186"/>
      <c r="D558" s="186" t="str">
        <f>IFERROR(__xludf.DUMMYFUNCTION("""COMPUTED_VALUE"""),"FALSO")</f>
        <v>FALSO</v>
      </c>
    </row>
    <row r="559">
      <c r="B559" s="186" t="str">
        <f>IFERROR(__xludf.DUMMYFUNCTION("""COMPUTED_VALUE"""),"PI5817Y")</f>
        <v>PI5817Y</v>
      </c>
      <c r="C559" s="186"/>
      <c r="D559" s="186" t="str">
        <f>IFERROR(__xludf.DUMMYFUNCTION("""COMPUTED_VALUE"""),"FALSO")</f>
        <v>FALSO</v>
      </c>
    </row>
    <row r="560">
      <c r="B560" s="186" t="str">
        <f>IFERROR(__xludf.DUMMYFUNCTION("""COMPUTED_VALUE"""),"PI6632Y")</f>
        <v>PI6632Y</v>
      </c>
      <c r="C560" s="186"/>
      <c r="D560" s="186" t="str">
        <f>IFERROR(__xludf.DUMMYFUNCTION("""COMPUTED_VALUE"""),"FALSO")</f>
        <v>FALSO</v>
      </c>
    </row>
    <row r="561">
      <c r="B561" s="186" t="str">
        <f>IFERROR(__xludf.DUMMYFUNCTION("""COMPUTED_VALUE"""),"PI6278Y")</f>
        <v>PI6278Y</v>
      </c>
      <c r="C561" s="186" t="str">
        <f>IFERROR(__xludf.DUMMYFUNCTION("""COMPUTED_VALUE"""),"CAFETEIRA ITALIANA FOCO FORÇA CAFÉ")</f>
        <v>CAFETEIRA ITALIANA FOCO FORÇA CAFÉ</v>
      </c>
      <c r="D561" s="186" t="str">
        <f>IFERROR(__xludf.DUMMYFUNCTION("""COMPUTED_VALUE"""),"FALSO")</f>
        <v>FALSO</v>
      </c>
    </row>
    <row r="562">
      <c r="B562" s="186" t="str">
        <f>IFERROR(__xludf.DUMMYFUNCTION("""COMPUTED_VALUE"""),"PI6277Y")</f>
        <v>PI6277Y</v>
      </c>
      <c r="C562" s="358" t="str">
        <f>IFERROR(__xludf.DUMMYFUNCTION("""COMPUTED_VALUE"""),"KIT CAFETEIRA ITALIANA POEMA EXPRESSO")</f>
        <v>KIT CAFETEIRA ITALIANA POEMA EXPRESSO</v>
      </c>
      <c r="D562" s="186" t="str">
        <f>IFERROR(__xludf.DUMMYFUNCTION("""COMPUTED_VALUE"""),"FALSO")</f>
        <v>FALSO</v>
      </c>
    </row>
    <row r="563">
      <c r="B563" s="186" t="str">
        <f>IFERROR(__xludf.DUMMYFUNCTION("""COMPUTED_VALUE"""),"PI5535Y")</f>
        <v>PI5535Y</v>
      </c>
      <c r="C563" s="358" t="str">
        <f>IFERROR(__xludf.DUMMYFUNCTION("""COMPUTED_VALUE"""),"JOGO JENGA COM COPOS E DOSE")</f>
        <v>JOGO JENGA COM COPOS E DOSE</v>
      </c>
      <c r="D563" s="186" t="str">
        <f>IFERROR(__xludf.DUMMYFUNCTION("""COMPUTED_VALUE"""),"FALSO")</f>
        <v>FALSO</v>
      </c>
    </row>
    <row r="564">
      <c r="B564" s="186" t="str">
        <f>IFERROR(__xludf.DUMMYFUNCTION("""COMPUTED_VALUE"""),"PI5248Y")</f>
        <v>PI5248Y</v>
      </c>
      <c r="C564" s="186"/>
      <c r="D564" s="186" t="str">
        <f>IFERROR(__xludf.DUMMYFUNCTION("""COMPUTED_VALUE"""),"FALSO")</f>
        <v>FALSO</v>
      </c>
    </row>
    <row r="565">
      <c r="B565" s="186" t="str">
        <f>IFERROR(__xludf.DUMMYFUNCTION("""COMPUTED_VALUE"""),"PI3942Y")</f>
        <v>PI3942Y</v>
      </c>
      <c r="C565" s="358" t="str">
        <f>IFERROR(__xludf.DUMMYFUNCTION("""COMPUTED_VALUE"""),"PORTA BIJOUX NADA COMO BRILHAR")</f>
        <v>PORTA BIJOUX NADA COMO BRILHAR</v>
      </c>
      <c r="D565" s="186" t="str">
        <f>IFERROR(__xludf.DUMMYFUNCTION("""COMPUTED_VALUE"""),"FALSO")</f>
        <v>FALSO</v>
      </c>
    </row>
    <row r="566">
      <c r="B566" s="186" t="str">
        <f>IFERROR(__xludf.DUMMYFUNCTION("""COMPUTED_VALUE"""),"PI5643Y")</f>
        <v>PI5643Y</v>
      </c>
      <c r="C566" s="186"/>
      <c r="D566" s="186" t="str">
        <f>IFERROR(__xludf.DUMMYFUNCTION("""COMPUTED_VALUE"""),"FALSO")</f>
        <v>FALSO</v>
      </c>
    </row>
    <row r="567">
      <c r="B567" s="186" t="str">
        <f>IFERROR(__xludf.DUMMYFUNCTION("""COMPUTED_VALUE"""),"PI5649Y")</f>
        <v>PI5649Y</v>
      </c>
      <c r="C567" s="186"/>
      <c r="D567" s="186" t="str">
        <f>IFERROR(__xludf.DUMMYFUNCTION("""COMPUTED_VALUE"""),"FALSO")</f>
        <v>FALSO</v>
      </c>
    </row>
    <row r="568">
      <c r="B568" s="186" t="str">
        <f>IFERROR(__xludf.DUMMYFUNCTION("""COMPUTED_VALUE"""),"PI6193Y")</f>
        <v>PI6193Y</v>
      </c>
      <c r="C568" s="186" t="str">
        <f>IFERROR(__xludf.DUMMYFUNCTION("""COMPUTED_VALUE"""),"PORTA BIJOUX NOVO COMEÇO")</f>
        <v>PORTA BIJOUX NOVO COMEÇO</v>
      </c>
      <c r="D568" s="186" t="str">
        <f>IFERROR(__xludf.DUMMYFUNCTION("""COMPUTED_VALUE"""),"FALSO")</f>
        <v>FALSO</v>
      </c>
    </row>
    <row r="569">
      <c r="B569" s="186" t="str">
        <f>IFERROR(__xludf.DUMMYFUNCTION("""COMPUTED_VALUE"""),"PI5297Y")</f>
        <v>PI5297Y</v>
      </c>
      <c r="C569" s="186"/>
      <c r="D569" s="186" t="str">
        <f>IFERROR(__xludf.DUMMYFUNCTION("""COMPUTED_VALUE"""),"FALSO")</f>
        <v>FALSO</v>
      </c>
    </row>
    <row r="570">
      <c r="B570" s="186" t="str">
        <f>IFERROR(__xludf.DUMMYFUNCTION("""COMPUTED_VALUE"""),"CS2136")</f>
        <v>CS2136</v>
      </c>
      <c r="C570" s="186" t="str">
        <f>IFERROR(__xludf.DUMMYFUNCTION("""COMPUTED_VALUE"""),"JOGO EU NUNCA STOP")</f>
        <v>JOGO EU NUNCA STOP</v>
      </c>
      <c r="D570" s="186" t="str">
        <f>IFERROR(__xludf.DUMMYFUNCTION("""COMPUTED_VALUE"""),"FALSO")</f>
        <v>FALSO</v>
      </c>
    </row>
    <row r="571">
      <c r="B571" s="186" t="str">
        <f>IFERROR(__xludf.DUMMYFUNCTION("""COMPUTED_VALUE"""),"CS2077")</f>
        <v>CS2077</v>
      </c>
      <c r="C571" s="186" t="str">
        <f>IFERROR(__xludf.DUMMYFUNCTION("""COMPUTED_VALUE"""),"JOGO KIT LIVRO 1 2 3 E JA")</f>
        <v>JOGO KIT LIVRO 1 2 3 E JA</v>
      </c>
      <c r="D571" s="186" t="str">
        <f>IFERROR(__xludf.DUMMYFUNCTION("""COMPUTED_VALUE"""),"FALSO")</f>
        <v>FALSO</v>
      </c>
    </row>
    <row r="572">
      <c r="B572" s="186" t="str">
        <f>IFERROR(__xludf.DUMMYFUNCTION("""COMPUTED_VALUE"""),"CS2160")</f>
        <v>CS2160</v>
      </c>
      <c r="C572" s="186" t="str">
        <f>IFERROR(__xludf.DUMMYFUNCTION("""COMPUTED_VALUE"""),"JOGO STARTER PACK DO BRASILEIRO")</f>
        <v>JOGO STARTER PACK DO BRASILEIRO</v>
      </c>
      <c r="D572" s="186" t="str">
        <f>IFERROR(__xludf.DUMMYFUNCTION("""COMPUTED_VALUE"""),"INMETRO BRINQUEDOS SISTEMA 1b - (LOTE) - PORTARIA 302")</f>
        <v>INMETRO BRINQUEDOS SISTEMA 1b - (LOTE) - PORTARIA 302</v>
      </c>
    </row>
    <row r="573">
      <c r="B573" s="186" t="str">
        <f>IFERROR(__xludf.DUMMYFUNCTION("""COMPUTED_VALUE"""),"PI6267Y")</f>
        <v>PI6267Y</v>
      </c>
      <c r="C573" s="186"/>
      <c r="D573" s="186" t="str">
        <f>IFERROR(__xludf.DUMMYFUNCTION("""COMPUTED_VALUE"""),"Anatel Category 2 - Bluetooth Module")</f>
        <v>Anatel Category 2 - Bluetooth Module</v>
      </c>
    </row>
    <row r="574">
      <c r="B574" s="186" t="str">
        <f>IFERROR(__xludf.DUMMYFUNCTION("""COMPUTED_VALUE"""),"PI7229Y")</f>
        <v>PI7229Y</v>
      </c>
      <c r="C574" s="186"/>
      <c r="D574" s="186" t="str">
        <f>IFERROR(__xludf.DUMMYFUNCTION("""COMPUTED_VALUE"""),"Anatel Category 2 - Bluetooth Module")</f>
        <v>Anatel Category 2 - Bluetooth Module</v>
      </c>
    </row>
    <row r="575">
      <c r="B575" s="186" t="str">
        <f>IFERROR(__xludf.DUMMYFUNCTION("""COMPUTED_VALUE"""),"PI7318Y")</f>
        <v>PI7318Y</v>
      </c>
      <c r="C575" s="186"/>
      <c r="D575" s="186" t="str">
        <f>IFERROR(__xludf.DUMMYFUNCTION("""COMPUTED_VALUE"""),"FALSO")</f>
        <v>FALSO</v>
      </c>
    </row>
    <row r="576">
      <c r="B576" s="186" t="str">
        <f>IFERROR(__xludf.DUMMYFUNCTION("""COMPUTED_VALUE"""),"PI6081Y")</f>
        <v>PI6081Y</v>
      </c>
      <c r="C576" s="186"/>
      <c r="D576" s="186" t="str">
        <f>IFERROR(__xludf.DUMMYFUNCTION("""COMPUTED_VALUE"""),"FALSO")</f>
        <v>FALSO</v>
      </c>
    </row>
    <row r="577">
      <c r="B577" s="186" t="str">
        <f>IFERROR(__xludf.DUMMYFUNCTION("""COMPUTED_VALUE"""),"PI7540Y")</f>
        <v>PI7540Y</v>
      </c>
      <c r="C577" s="186"/>
      <c r="D577" s="186" t="str">
        <f>IFERROR(__xludf.DUMMYFUNCTION("""COMPUTED_VALUE"""),"FALSO")</f>
        <v>FALSO</v>
      </c>
    </row>
    <row r="578">
      <c r="B578" s="186" t="str">
        <f>IFERROR(__xludf.DUMMYFUNCTION("""COMPUTED_VALUE"""),"PI6218Y")</f>
        <v>PI6218Y</v>
      </c>
      <c r="C578" s="186" t="str">
        <f>IFERROR(__xludf.DUMMYFUNCTION("""COMPUTED_VALUE"""),"CHAVEIRO JOGO DE ENCAIXE DESMONTANDO")</f>
        <v>CHAVEIRO JOGO DE ENCAIXE DESMONTANDO</v>
      </c>
      <c r="D578" s="186" t="str">
        <f>IFERROR(__xludf.DUMMYFUNCTION("""COMPUTED_VALUE"""),"INMETRO Toys System 5 - Ordinance 302")</f>
        <v>INMETRO Toys System 5 - Ordinance 302</v>
      </c>
    </row>
    <row r="579">
      <c r="B579" s="186" t="str">
        <f>IFERROR(__xludf.DUMMYFUNCTION("""COMPUTED_VALUE"""),"PI6199Y")</f>
        <v>PI6199Y</v>
      </c>
      <c r="C579" s="186" t="str">
        <f>IFERROR(__xludf.DUMMYFUNCTION("""COMPUTED_VALUE"""),"CHAVEIRO JOGO MEMORIA JÁ ESQUECI")</f>
        <v>CHAVEIRO JOGO MEMORIA JÁ ESQUECI</v>
      </c>
      <c r="D579" s="186" t="str">
        <f>IFERROR(__xludf.DUMMYFUNCTION("""COMPUTED_VALUE"""),"INMETRO Toys System 5 - Ordinance 302")</f>
        <v>INMETRO Toys System 5 - Ordinance 302</v>
      </c>
    </row>
    <row r="580">
      <c r="B580" s="186" t="str">
        <f>IFERROR(__xludf.DUMMYFUNCTION("""COMPUTED_VALUE"""),"PI6195Y")</f>
        <v>PI6195Y</v>
      </c>
      <c r="C580" s="186" t="str">
        <f>IFERROR(__xludf.DUMMYFUNCTION("""COMPUTED_VALUE"""),"CHAVEIRO DE JOGOS GAME ON")</f>
        <v>CHAVEIRO DE JOGOS GAME ON</v>
      </c>
      <c r="D580" s="186" t="str">
        <f>IFERROR(__xludf.DUMMYFUNCTION("""COMPUTED_VALUE"""),"INMETRO Toys System 5 - Ordinance 302")</f>
        <v>INMETRO Toys System 5 - Ordinance 302</v>
      </c>
    </row>
    <row r="581">
      <c r="B581" s="186" t="str">
        <f>IFERROR(__xludf.DUMMYFUNCTION("""COMPUTED_VALUE"""),"PI7252Y")</f>
        <v>PI7252Y</v>
      </c>
      <c r="C581" s="186"/>
      <c r="D581" s="186" t="str">
        <f>IFERROR(__xludf.DUMMYFUNCTION("""COMPUTED_VALUE"""),"FALSO")</f>
        <v>FALSO</v>
      </c>
    </row>
    <row r="582">
      <c r="B582" s="186" t="str">
        <f>IFERROR(__xludf.DUMMYFUNCTION("""COMPUTED_VALUE"""),"PI7250Y")</f>
        <v>PI7250Y</v>
      </c>
      <c r="C582" s="186"/>
      <c r="D582" s="186" t="str">
        <f>IFERROR(__xludf.DUMMYFUNCTION("""COMPUTED_VALUE"""),"FALSO")</f>
        <v>FALSO</v>
      </c>
    </row>
    <row r="583">
      <c r="B583" s="186" t="str">
        <f>IFERROR(__xludf.DUMMYFUNCTION("""COMPUTED_VALUE"""),"PI5370Y")</f>
        <v>PI5370Y</v>
      </c>
      <c r="C583" s="186"/>
      <c r="D583" s="186" t="str">
        <f>IFERROR(__xludf.DUMMYFUNCTION("""COMPUTED_VALUE"""),"FALSO")</f>
        <v>FALSO</v>
      </c>
    </row>
    <row r="584">
      <c r="B584" s="186" t="str">
        <f>IFERROR(__xludf.DUMMYFUNCTION("""COMPUTED_VALUE"""),"PI6219Y")</f>
        <v>PI6219Y</v>
      </c>
      <c r="C584" s="186" t="str">
        <f>IFERROR(__xludf.DUMMYFUNCTION("""COMPUTED_VALUE"""),"CHAVEIRO PET VIRTUAL OVO")</f>
        <v>CHAVEIRO PET VIRTUAL OVO</v>
      </c>
      <c r="D584" s="186" t="str">
        <f>IFERROR(__xludf.DUMMYFUNCTION("""COMPUTED_VALUE"""),"INMETRO Toys System 5 - Ordinance 302")</f>
        <v>INMETRO Toys System 5 - Ordinance 302</v>
      </c>
    </row>
    <row r="585">
      <c r="B585" s="186" t="str">
        <f>IFERROR(__xludf.DUMMYFUNCTION("""COMPUTED_VALUE"""),"PI7828Y")</f>
        <v>PI7828Y</v>
      </c>
      <c r="C585" s="186"/>
      <c r="D585" s="186" t="str">
        <f>IFERROR(__xludf.DUMMYFUNCTION("""COMPUTED_VALUE"""),"Anatel Category 2 - Bluetooth and Radiofrequency Comms")</f>
        <v>Anatel Category 2 - Bluetooth and Radiofrequency Comms</v>
      </c>
    </row>
    <row r="586">
      <c r="B586" s="186" t="str">
        <f>IFERROR(__xludf.DUMMYFUNCTION("""COMPUTED_VALUE"""),"PI5238Y")</f>
        <v>PI5238Y</v>
      </c>
      <c r="C586" s="186"/>
      <c r="D586" s="186" t="str">
        <f>IFERROR(__xludf.DUMMYFUNCTION("""COMPUTED_VALUE"""),"FALSO")</f>
        <v>FALSO</v>
      </c>
    </row>
    <row r="587">
      <c r="B587" s="186" t="str">
        <f>IFERROR(__xludf.DUMMYFUNCTION("""COMPUTED_VALUE"""),"PI5400Y")</f>
        <v>PI5400Y</v>
      </c>
      <c r="C587" s="186"/>
      <c r="D587" s="186" t="str">
        <f>IFERROR(__xludf.DUMMYFUNCTION("""COMPUTED_VALUE"""),"FALSO")</f>
        <v>FALSO</v>
      </c>
    </row>
    <row r="588">
      <c r="B588" s="186" t="str">
        <f>IFERROR(__xludf.DUMMYFUNCTION("""COMPUTED_VALUE"""),"PI6671Y")</f>
        <v>PI6671Y</v>
      </c>
      <c r="C588" s="186"/>
      <c r="D588" s="186" t="str">
        <f>IFERROR(__xludf.DUMMYFUNCTION("""COMPUTED_VALUE"""),"FALSO")</f>
        <v>FALSO</v>
      </c>
    </row>
    <row r="589">
      <c r="B589" s="186" t="str">
        <f>IFERROR(__xludf.DUMMYFUNCTION("""COMPUTED_VALUE"""),"PI7164Y")</f>
        <v>PI7164Y</v>
      </c>
      <c r="C589" s="186"/>
      <c r="D589" s="186" t="str">
        <f>IFERROR(__xludf.DUMMYFUNCTION("""COMPUTED_VALUE"""),"FALSO")</f>
        <v>FALSO</v>
      </c>
    </row>
    <row r="590">
      <c r="B590" s="186" t="str">
        <f>IFERROR(__xludf.DUMMYFUNCTION("""COMPUTED_VALUE"""),"PI5871Y")</f>
        <v>PI5871Y</v>
      </c>
      <c r="C590" s="186"/>
      <c r="D590" s="186" t="str">
        <f>IFERROR(__xludf.DUMMYFUNCTION("""COMPUTED_VALUE"""),"FALSO")</f>
        <v>FALSO</v>
      </c>
    </row>
    <row r="591">
      <c r="B591" s="186" t="str">
        <f>IFERROR(__xludf.DUMMYFUNCTION("""COMPUTED_VALUE"""),"PI6874Y")</f>
        <v>PI6874Y</v>
      </c>
      <c r="C591" s="186"/>
      <c r="D591" s="186" t="str">
        <f>IFERROR(__xludf.DUMMYFUNCTION("""COMPUTED_VALUE"""),"FALSO")</f>
        <v>FALSO</v>
      </c>
    </row>
    <row r="592">
      <c r="B592" s="186" t="str">
        <f>IFERROR(__xludf.DUMMYFUNCTION("""COMPUTED_VALUE"""),"PI6872Y")</f>
        <v>PI6872Y</v>
      </c>
      <c r="C592" s="186"/>
      <c r="D592" s="186" t="str">
        <f>IFERROR(__xludf.DUMMYFUNCTION("""COMPUTED_VALUE"""),"INMETRO SCHOOL ARTICLES - ORDINANCE 423")</f>
        <v>INMETRO SCHOOL ARTICLES - ORDINANCE 423</v>
      </c>
    </row>
    <row r="593">
      <c r="B593" s="186" t="str">
        <f>IFERROR(__xludf.DUMMYFUNCTION("""COMPUTED_VALUE"""),"PI6873Y")</f>
        <v>PI6873Y</v>
      </c>
      <c r="C593" s="186"/>
      <c r="D593" s="186" t="str">
        <f>IFERROR(__xludf.DUMMYFUNCTION("""COMPUTED_VALUE"""),"INMETRO SCHOOL ARTICLES - ORDINANCE 423")</f>
        <v>INMETRO SCHOOL ARTICLES - ORDINANCE 423</v>
      </c>
    </row>
    <row r="594">
      <c r="B594" s="186" t="str">
        <f>IFERROR(__xludf.DUMMYFUNCTION("""COMPUTED_VALUE"""),"PI6865Y")</f>
        <v>PI6865Y</v>
      </c>
      <c r="C594" s="186"/>
      <c r="D594" s="186" t="str">
        <f>IFERROR(__xludf.DUMMYFUNCTION("""COMPUTED_VALUE"""),"INMETRO SCHOOL ARTICLES - ORDINANCE 423")</f>
        <v>INMETRO SCHOOL ARTICLES - ORDINANCE 423</v>
      </c>
    </row>
    <row r="595">
      <c r="B595" s="186" t="str">
        <f>IFERROR(__xludf.DUMMYFUNCTION("""COMPUTED_VALUE"""),"CS2438")</f>
        <v>CS2438</v>
      </c>
      <c r="C595" s="186"/>
      <c r="D595" s="186" t="str">
        <f>IFERROR(__xludf.DUMMYFUNCTION("""COMPUTED_VALUE"""),"FALSO")</f>
        <v>FALSO</v>
      </c>
    </row>
    <row r="596">
      <c r="B596" s="186" t="str">
        <f>IFERROR(__xludf.DUMMYFUNCTION("""COMPUTED_VALUE"""),"PI5987Y")</f>
        <v>PI5987Y</v>
      </c>
      <c r="C596" s="186"/>
      <c r="D596" s="186" t="str">
        <f>IFERROR(__xludf.DUMMYFUNCTION("""COMPUTED_VALUE"""),"FALSO")</f>
        <v>FALSO</v>
      </c>
    </row>
    <row r="597">
      <c r="B597" s="186" t="str">
        <f>IFERROR(__xludf.DUMMYFUNCTION("""COMPUTED_VALUE"""),"CS2470")</f>
        <v>CS2470</v>
      </c>
      <c r="C597" s="186"/>
      <c r="D597" s="186" t="str">
        <f>IFERROR(__xludf.DUMMYFUNCTION("""COMPUTED_VALUE"""),"FALSO")</f>
        <v>FALSO</v>
      </c>
    </row>
    <row r="598">
      <c r="B598" s="186" t="str">
        <f>IFERROR(__xludf.DUMMYFUNCTION("""COMPUTED_VALUE"""),"PI6777Y")</f>
        <v>PI6777Y</v>
      </c>
      <c r="C598" s="186"/>
      <c r="D598" s="186" t="str">
        <f>IFERROR(__xludf.DUMMYFUNCTION("""COMPUTED_VALUE"""),"FALSO")</f>
        <v>FALSO</v>
      </c>
    </row>
    <row r="599">
      <c r="B599" s="186" t="str">
        <f>IFERROR(__xludf.DUMMYFUNCTION("""COMPUTED_VALUE"""),"CS2437")</f>
        <v>CS2437</v>
      </c>
      <c r="C599" s="186"/>
      <c r="D599" s="186" t="str">
        <f>IFERROR(__xludf.DUMMYFUNCTION("""COMPUTED_VALUE"""),"FALSO")</f>
        <v>FALSO</v>
      </c>
    </row>
    <row r="600">
      <c r="B600" s="186" t="str">
        <f>IFERROR(__xludf.DUMMYFUNCTION("""COMPUTED_VALUE"""),"CS2068")</f>
        <v>CS2068</v>
      </c>
      <c r="C600" s="186"/>
      <c r="D600" s="186" t="str">
        <f>IFERROR(__xludf.DUMMYFUNCTION("""COMPUTED_VALUE"""),"FALSO")</f>
        <v>FALSO</v>
      </c>
    </row>
    <row r="601">
      <c r="B601" s="186" t="str">
        <f>IFERROR(__xludf.DUMMYFUNCTION("""COMPUTED_VALUE"""),"CS2266")</f>
        <v>CS2266</v>
      </c>
      <c r="C601" s="186" t="str">
        <f>IFERROR(__xludf.DUMMYFUNCTION("""COMPUTED_VALUE"""),"KIT DE XÍCARAS EMPILHÁVEIS CAFÉ")</f>
        <v>KIT DE XÍCARAS EMPILHÁVEIS CAFÉ</v>
      </c>
      <c r="D601" s="186" t="str">
        <f>IFERROR(__xludf.DUMMYFUNCTION("""COMPUTED_VALUE"""),"FALSO")</f>
        <v>FALSO</v>
      </c>
    </row>
    <row r="602">
      <c r="B602" s="186" t="str">
        <f>IFERROR(__xludf.DUMMYFUNCTION("""COMPUTED_VALUE"""),"CS2266")</f>
        <v>CS2266</v>
      </c>
      <c r="C602" s="186" t="str">
        <f>IFERROR(__xludf.DUMMYFUNCTION("""COMPUTED_VALUE"""),"KIT DE XÍCARAS EMPILHÁVEIS CAFÉ")</f>
        <v>KIT DE XÍCARAS EMPILHÁVEIS CAFÉ</v>
      </c>
      <c r="D602" s="186" t="str">
        <f>IFERROR(__xludf.DUMMYFUNCTION("""COMPUTED_VALUE"""),"FALSO")</f>
        <v>FALSO</v>
      </c>
    </row>
    <row r="603">
      <c r="B603" s="186" t="str">
        <f>IFERROR(__xludf.DUMMYFUNCTION("""COMPUTED_VALUE"""),"CS2051")</f>
        <v>CS2051</v>
      </c>
      <c r="C603" s="186" t="str">
        <f>IFERROR(__xludf.DUMMYFUNCTION("""COMPUTED_VALUE"""),"KIT PANOS DE CERA DE ABELHA EQUILIBRIO")</f>
        <v>KIT PANOS DE CERA DE ABELHA EQUILIBRIO</v>
      </c>
      <c r="D603" s="186" t="str">
        <f>IFERROR(__xludf.DUMMYFUNCTION("""COMPUTED_VALUE"""),"FALSO")</f>
        <v>FALSO</v>
      </c>
    </row>
    <row r="604">
      <c r="B604" s="186" t="str">
        <f>IFERROR(__xludf.DUMMYFUNCTION("""COMPUTED_VALUE"""),"PI6508Y")</f>
        <v>PI6508Y</v>
      </c>
      <c r="C604" s="186" t="str">
        <f>IFERROR(__xludf.DUMMYFUNCTION("""COMPUTED_VALUE"""),"KIT DE CANECAS EMPILHAVEIS POAS")</f>
        <v>KIT DE CANECAS EMPILHAVEIS POAS</v>
      </c>
      <c r="D604" s="186" t="str">
        <f>IFERROR(__xludf.DUMMYFUNCTION("""COMPUTED_VALUE"""),"FALSO")</f>
        <v>FALSO</v>
      </c>
    </row>
    <row r="605">
      <c r="B605" s="186" t="str">
        <f>IFERROR(__xludf.DUMMYFUNCTION("""COMPUTED_VALUE"""),"CS2057")</f>
        <v>CS2057</v>
      </c>
      <c r="C605" s="186"/>
      <c r="D605" s="186" t="str">
        <f>IFERROR(__xludf.DUMMYFUNCTION("""COMPUTED_VALUE"""),"FALSO")</f>
        <v>FALSO</v>
      </c>
    </row>
    <row r="606">
      <c r="B606" s="186" t="str">
        <f>IFERROR(__xludf.DUMMYFUNCTION("""COMPUTED_VALUE"""),"PI7555Y")</f>
        <v>PI7555Y</v>
      </c>
      <c r="C606" s="186" t="str">
        <f>IFERROR(__xludf.DUMMYFUNCTION("""COMPUTED_VALUE"""),"CANETA GATINHOS AMIGOS")</f>
        <v>CANETA GATINHOS AMIGOS</v>
      </c>
      <c r="D606" s="186" t="str">
        <f>IFERROR(__xludf.DUMMYFUNCTION("""COMPUTED_VALUE"""),"INMETRO SCHOOL ARTICLES SYSTEM 5 - ORDINANCE 481")</f>
        <v>INMETRO SCHOOL ARTICLES SYSTEM 5 - ORDINANCE 481</v>
      </c>
    </row>
    <row r="607">
      <c r="B607" s="186" t="str">
        <f>IFERROR(__xludf.DUMMYFUNCTION("""COMPUTED_VALUE"""),"PI7108Y")</f>
        <v>PI7108Y</v>
      </c>
      <c r="C607" s="186"/>
      <c r="D607" s="186" t="str">
        <f>IFERROR(__xludf.DUMMYFUNCTION("""COMPUTED_VALUE"""),"FALSO")</f>
        <v>FALSO</v>
      </c>
    </row>
    <row r="608">
      <c r="B608" s="186" t="str">
        <f>IFERROR(__xludf.DUMMYFUNCTION("""COMPUTED_VALUE"""),"PI6822Y")</f>
        <v>PI6822Y</v>
      </c>
      <c r="C608" s="186" t="str">
        <f>IFERROR(__xludf.DUMMYFUNCTION("""COMPUTED_VALUE"""),"KIT COM 4 CANECAS HP CASAS HOGWARTS")</f>
        <v>KIT COM 4 CANECAS HP CASAS HOGWARTS</v>
      </c>
      <c r="D608" s="186" t="str">
        <f>IFERROR(__xludf.DUMMYFUNCTION("""COMPUTED_VALUE"""),"FALSO")</f>
        <v>FALSO</v>
      </c>
    </row>
    <row r="609">
      <c r="B609" s="186" t="str">
        <f>IFERROR(__xludf.DUMMYFUNCTION("""COMPUTED_VALUE"""),"PI5128Y")</f>
        <v>PI5128Y</v>
      </c>
      <c r="C609" s="186" t="str">
        <f>IFERROR(__xludf.DUMMYFUNCTION("""COMPUTED_VALUE"""),"KIT ETIQUETADORA MANUAL LILAS")</f>
        <v>KIT ETIQUETADORA MANUAL LILAS</v>
      </c>
      <c r="D609" s="186" t="str">
        <f>IFERROR(__xludf.DUMMYFUNCTION("""COMPUTED_VALUE"""),"FALSO")</f>
        <v>FALSO</v>
      </c>
    </row>
    <row r="610">
      <c r="B610" s="186" t="str">
        <f>IFERROR(__xludf.DUMMYFUNCTION("""COMPUTED_VALUE"""),"PI6698Y")</f>
        <v>PI6698Y</v>
      </c>
      <c r="C610" s="186"/>
      <c r="D610" s="186" t="str">
        <f>IFERROR(__xludf.DUMMYFUNCTION("""COMPUTED_VALUE"""),"FALSO")</f>
        <v>FALSO</v>
      </c>
    </row>
    <row r="611">
      <c r="B611" s="186" t="str">
        <f>IFERROR(__xludf.DUMMYFUNCTION("""COMPUTED_VALUE"""),"PI5357Y")</f>
        <v>PI5357Y</v>
      </c>
      <c r="C611" s="186" t="str">
        <f>IFERROR(__xludf.DUMMYFUNCTION("""COMPUTED_VALUE"""),"LUMINARIA TORNEIRA ME POUPE")</f>
        <v>LUMINARIA TORNEIRA ME POUPE</v>
      </c>
      <c r="D611" s="186" t="str">
        <f>IFERROR(__xludf.DUMMYFUNCTION("""COMPUTED_VALUE"""),"FALSO")</f>
        <v>FALSO</v>
      </c>
    </row>
    <row r="612">
      <c r="B612" s="186" t="str">
        <f>IFERROR(__xludf.DUMMYFUNCTION("""COMPUTED_VALUE"""),"PI6132Y")</f>
        <v>PI6132Y</v>
      </c>
      <c r="C612" s="186" t="str">
        <f>IFERROR(__xludf.DUMMYFUNCTION("""COMPUTED_VALUE"""),"LAMPADA DE FILAMENTO BRILHE")</f>
        <v>LAMPADA DE FILAMENTO BRILHE</v>
      </c>
      <c r="D612" s="186" t="str">
        <f>IFERROR(__xludf.DUMMYFUNCTION("""COMPUTED_VALUE"""),"FALSO")</f>
        <v>FALSO</v>
      </c>
    </row>
    <row r="613">
      <c r="B613" s="186" t="str">
        <f>IFERROR(__xludf.DUMMYFUNCTION("""COMPUTED_VALUE"""),"PI6131Y")</f>
        <v>PI6131Y</v>
      </c>
      <c r="C613" s="186" t="str">
        <f>IFERROR(__xludf.DUMMYFUNCTION("""COMPUTED_VALUE"""),"LAMPADA DE FILAMENTO SORRISO")</f>
        <v>LAMPADA DE FILAMENTO SORRISO</v>
      </c>
      <c r="D613" s="186" t="str">
        <f>IFERROR(__xludf.DUMMYFUNCTION("""COMPUTED_VALUE"""),"FALSO")</f>
        <v>FALSO</v>
      </c>
    </row>
    <row r="614">
      <c r="B614" s="186" t="str">
        <f>IFERROR(__xludf.DUMMYFUNCTION("""COMPUTED_VALUE"""),"PI5322Y")</f>
        <v>PI5322Y</v>
      </c>
      <c r="C614" s="186"/>
      <c r="D614" s="186" t="str">
        <f>IFERROR(__xludf.DUMMYFUNCTION("""COMPUTED_VALUE"""),"FALSO")</f>
        <v>FALSO</v>
      </c>
    </row>
    <row r="615">
      <c r="B615" s="186" t="str">
        <f>IFERROR(__xludf.DUMMYFUNCTION("""COMPUTED_VALUE"""),"PI3026Y")</f>
        <v>PI3026Y</v>
      </c>
      <c r="C615" s="186" t="str">
        <f>IFERROR(__xludf.DUMMYFUNCTION("""COMPUTED_VALUE"""),"LUMINARIA GATINHO")</f>
        <v>LUMINARIA GATINHO</v>
      </c>
      <c r="D615" s="186" t="str">
        <f>IFERROR(__xludf.DUMMYFUNCTION("""COMPUTED_VALUE"""),"FALSO")</f>
        <v>FALSO</v>
      </c>
    </row>
    <row r="616">
      <c r="B616" s="186" t="str">
        <f>IFERROR(__xludf.DUMMYFUNCTION("""COMPUTED_VALUE"""),"PI6788Y")</f>
        <v>PI6788Y</v>
      </c>
      <c r="C616" s="186" t="str">
        <f>IFERROR(__xludf.DUMMYFUNCTION("""COMPUTED_VALUE"""),"LUMINARIA COM BASE DE CERAMICA AZUL")</f>
        <v>LUMINARIA COM BASE DE CERAMICA AZUL</v>
      </c>
      <c r="D616" s="186" t="str">
        <f>IFERROR(__xludf.DUMMYFUNCTION("""COMPUTED_VALUE"""),"FALSO")</f>
        <v>FALSO</v>
      </c>
    </row>
    <row r="617">
      <c r="B617" s="186" t="str">
        <f>IFERROR(__xludf.DUMMYFUNCTION("""COMPUTED_VALUE"""),"PI5300Y")</f>
        <v>PI5300Y</v>
      </c>
      <c r="C617" s="186"/>
      <c r="D617" s="186" t="str">
        <f>IFERROR(__xludf.DUMMYFUNCTION("""COMPUTED_VALUE"""),"FALSO")</f>
        <v>FALSO</v>
      </c>
    </row>
    <row r="618">
      <c r="B618" s="186" t="str">
        <f>IFERROR(__xludf.DUMMYFUNCTION("""COMPUTED_VALUE"""),"PI5136Y")</f>
        <v>PI5136Y</v>
      </c>
      <c r="C618" s="186" t="str">
        <f>IFERROR(__xludf.DUMMYFUNCTION("""COMPUTED_VALUE"""),"LUMINARIA SPEAKER FITDANCE SO PRA DANCAR")</f>
        <v>LUMINARIA SPEAKER FITDANCE SO PRA DANCAR</v>
      </c>
      <c r="D618" s="186" t="str">
        <f>IFERROR(__xludf.DUMMYFUNCTION("""COMPUTED_VALUE"""),"Anatel Category 2 - Bluetooth Module")</f>
        <v>Anatel Category 2 - Bluetooth Module</v>
      </c>
    </row>
    <row r="619">
      <c r="B619" s="186" t="str">
        <f>IFERROR(__xludf.DUMMYFUNCTION("""COMPUTED_VALUE"""),"PI5070Y")</f>
        <v>PI5070Y</v>
      </c>
      <c r="C619" s="186"/>
      <c r="D619" s="186" t="str">
        <f>IFERROR(__xludf.DUMMYFUNCTION("""COMPUTED_VALUE"""),"FALSO")</f>
        <v>FALSO</v>
      </c>
    </row>
    <row r="620">
      <c r="B620" s="186" t="str">
        <f>IFERROR(__xludf.DUMMYFUNCTION("""COMPUTED_VALUE"""),"PI5227Y")</f>
        <v>PI5227Y</v>
      </c>
      <c r="C620" s="186"/>
      <c r="D620" s="186" t="str">
        <f>IFERROR(__xludf.DUMMYFUNCTION("""COMPUTED_VALUE"""),"FALSO")</f>
        <v>FALSO</v>
      </c>
    </row>
    <row r="621">
      <c r="B621" s="186" t="str">
        <f>IFERROR(__xludf.DUMMYFUNCTION("""COMPUTED_VALUE"""),"PI5766Y")</f>
        <v>PI5766Y</v>
      </c>
      <c r="C621" s="186"/>
      <c r="D621" s="186" t="str">
        <f>IFERROR(__xludf.DUMMYFUNCTION("""COMPUTED_VALUE"""),"FALSO")</f>
        <v>FALSO</v>
      </c>
    </row>
    <row r="622">
      <c r="B622" s="186" t="str">
        <f>IFERROR(__xludf.DUMMYFUNCTION("""COMPUTED_VALUE"""),"PI7332Y")</f>
        <v>PI7332Y</v>
      </c>
      <c r="C622" s="186" t="str">
        <f>IFERROR(__xludf.DUMMYFUNCTION("""COMPUTED_VALUE"""),"ESPELHO COM LED SEM FILTRO")</f>
        <v>ESPELHO COM LED SEM FILTRO</v>
      </c>
      <c r="D622" s="186" t="str">
        <f>IFERROR(__xludf.DUMMYFUNCTION("""COMPUTED_VALUE"""),"FALSO")</f>
        <v>FALSO</v>
      </c>
    </row>
    <row r="623">
      <c r="B623" s="186" t="str">
        <f>IFERROR(__xludf.DUMMYFUNCTION("""COMPUTED_VALUE"""),"PI7333Y")</f>
        <v>PI7333Y</v>
      </c>
      <c r="C623" s="186" t="str">
        <f>IFERROR(__xludf.DUMMYFUNCTION("""COMPUTED_VALUE"""),"ESPELHO COM LED PRONTA PARA BRILHAR")</f>
        <v>ESPELHO COM LED PRONTA PARA BRILHAR</v>
      </c>
      <c r="D623" s="186" t="str">
        <f>IFERROR(__xludf.DUMMYFUNCTION("""COMPUTED_VALUE"""),"FALSO")</f>
        <v>FALSO</v>
      </c>
    </row>
    <row r="624">
      <c r="B624" s="186" t="str">
        <f>IFERROR(__xludf.DUMMYFUNCTION("""COMPUTED_VALUE"""),"PI5362")</f>
        <v>PI5362</v>
      </c>
      <c r="C624" s="186"/>
      <c r="D624" s="186" t="str">
        <f>IFERROR(__xludf.DUMMYFUNCTION("""COMPUTED_VALUE"""),"FALSO")</f>
        <v>FALSO</v>
      </c>
    </row>
    <row r="625">
      <c r="B625" s="186" t="str">
        <f>IFERROR(__xludf.DUMMYFUNCTION("""COMPUTED_VALUE"""),"PI6109Y")</f>
        <v>PI6109Y</v>
      </c>
      <c r="C625" s="186" t="str">
        <f>IFERROR(__xludf.DUMMYFUNCTION("""COMPUTED_VALUE"""),"LUMINARIA LED NEON GAMEPAD")</f>
        <v>LUMINARIA LED NEON GAMEPAD</v>
      </c>
      <c r="D625" s="186" t="str">
        <f>IFERROR(__xludf.DUMMYFUNCTION("""COMPUTED_VALUE"""),"FALSO")</f>
        <v>FALSO</v>
      </c>
    </row>
    <row r="626">
      <c r="B626" s="186" t="str">
        <f>IFERROR(__xludf.DUMMYFUNCTION("""COMPUTED_VALUE"""),"PI6107Y")</f>
        <v>PI6107Y</v>
      </c>
      <c r="C626" s="186" t="str">
        <f>IFERROR(__xludf.DUMMYFUNCTION("""COMPUTED_VALUE"""),"LUMINARIA LED NEON COGUMELO")</f>
        <v>LUMINARIA LED NEON COGUMELO</v>
      </c>
      <c r="D626" s="186" t="str">
        <f>IFERROR(__xludf.DUMMYFUNCTION("""COMPUTED_VALUE"""),"FALSO")</f>
        <v>FALSO</v>
      </c>
    </row>
    <row r="627">
      <c r="B627" s="186" t="str">
        <f>IFERROR(__xludf.DUMMYFUNCTION("""COMPUTED_VALUE"""),"PI5834")</f>
        <v>PI5834</v>
      </c>
      <c r="C627" s="186"/>
      <c r="D627" s="186" t="str">
        <f>IFERROR(__xludf.DUMMYFUNCTION("""COMPUTED_VALUE"""),"FALSO")</f>
        <v>FALSO</v>
      </c>
    </row>
    <row r="628">
      <c r="B628" s="186" t="str">
        <f>IFERROR(__xludf.DUMMYFUNCTION("""COMPUTED_VALUE"""),"PI6226Y")</f>
        <v>PI6226Y</v>
      </c>
      <c r="C628" s="186"/>
      <c r="D628" s="186" t="str">
        <f>IFERROR(__xludf.DUMMYFUNCTION("""COMPUTED_VALUE"""),"FALSO")</f>
        <v>FALSO</v>
      </c>
    </row>
    <row r="629">
      <c r="B629" s="186" t="str">
        <f>IFERROR(__xludf.DUMMYFUNCTION("""COMPUTED_VALUE"""),"PI5245Y")</f>
        <v>PI5245Y</v>
      </c>
      <c r="C629" s="186"/>
      <c r="D629" s="186" t="str">
        <f>IFERROR(__xludf.DUMMYFUNCTION("""COMPUTED_VALUE"""),"Anatel Category 3 - Cell Phones")</f>
        <v>Anatel Category 3 - Cell Phones</v>
      </c>
    </row>
    <row r="630">
      <c r="B630" s="186" t="str">
        <f>IFERROR(__xludf.DUMMYFUNCTION("""COMPUTED_VALUE"""),"PI6781Y")</f>
        <v>PI6781Y</v>
      </c>
      <c r="C630" s="186"/>
      <c r="D630" s="186" t="str">
        <f>IFERROR(__xludf.DUMMYFUNCTION("""COMPUTED_VALUE"""),"FALSO")</f>
        <v>FALSO</v>
      </c>
    </row>
    <row r="631">
      <c r="B631" s="186" t="str">
        <f>IFERROR(__xludf.DUMMYFUNCTION("""COMPUTED_VALUE"""),"PI6782Y")</f>
        <v>PI6782Y</v>
      </c>
      <c r="C631" s="186"/>
      <c r="D631" s="186" t="str">
        <f>IFERROR(__xludf.DUMMYFUNCTION("""COMPUTED_VALUE"""),"FALSO")</f>
        <v>FALSO</v>
      </c>
    </row>
    <row r="632">
      <c r="B632" s="186" t="str">
        <f>IFERROR(__xludf.DUMMYFUNCTION("""COMPUTED_VALUE"""),"PI6783Y")</f>
        <v>PI6783Y</v>
      </c>
      <c r="C632" s="186"/>
      <c r="D632" s="186" t="str">
        <f>IFERROR(__xludf.DUMMYFUNCTION("""COMPUTED_VALUE"""),"FALSO")</f>
        <v>FALSO</v>
      </c>
    </row>
    <row r="633">
      <c r="B633" s="186" t="str">
        <f>IFERROR(__xludf.DUMMYFUNCTION("""COMPUTED_VALUE"""),"PI6784Y")</f>
        <v>PI6784Y</v>
      </c>
      <c r="C633" s="186"/>
      <c r="D633" s="186" t="str">
        <f>IFERROR(__xludf.DUMMYFUNCTION("""COMPUTED_VALUE"""),"FALSO")</f>
        <v>FALSO</v>
      </c>
    </row>
    <row r="634">
      <c r="B634" s="186" t="str">
        <f>IFERROR(__xludf.DUMMYFUNCTION("""COMPUTED_VALUE"""),"PI6785Y")</f>
        <v>PI6785Y</v>
      </c>
      <c r="C634" s="186"/>
      <c r="D634" s="186" t="str">
        <f>IFERROR(__xludf.DUMMYFUNCTION("""COMPUTED_VALUE"""),"FALSO")</f>
        <v>FALSO</v>
      </c>
    </row>
    <row r="635">
      <c r="B635" s="186" t="str">
        <f>IFERROR(__xludf.DUMMYFUNCTION("""COMPUTED_VALUE"""),"PI6786Y")</f>
        <v>PI6786Y</v>
      </c>
      <c r="C635" s="186"/>
      <c r="D635" s="186" t="str">
        <f>IFERROR(__xludf.DUMMYFUNCTION("""COMPUTED_VALUE"""),"FALSO")</f>
        <v>FALSO</v>
      </c>
    </row>
    <row r="636">
      <c r="B636" s="186" t="str">
        <f>IFERROR(__xludf.DUMMYFUNCTION("""COMPUTED_VALUE"""),"PI6787Y")</f>
        <v>PI6787Y</v>
      </c>
      <c r="C636" s="186"/>
      <c r="D636" s="186" t="str">
        <f>IFERROR(__xludf.DUMMYFUNCTION("""COMPUTED_VALUE"""),"FALSO")</f>
        <v>FALSO</v>
      </c>
    </row>
    <row r="637">
      <c r="B637" s="186" t="str">
        <f>IFERROR(__xludf.DUMMYFUNCTION("""COMPUTED_VALUE"""),"PI7447Y")</f>
        <v>PI7447Y</v>
      </c>
      <c r="C637" s="186"/>
      <c r="D637" s="186" t="str">
        <f>IFERROR(__xludf.DUMMYFUNCTION("""COMPUTED_VALUE"""),"FALSO")</f>
        <v>FALSO</v>
      </c>
    </row>
    <row r="638">
      <c r="B638" s="186" t="str">
        <f>IFERROR(__xludf.DUMMYFUNCTION("""COMPUTED_VALUE"""),"PI5867Y")</f>
        <v>PI5867Y</v>
      </c>
      <c r="C638" s="186"/>
      <c r="D638" s="186" t="str">
        <f>IFERROR(__xludf.DUMMYFUNCTION("""COMPUTED_VALUE"""),"FALSO")</f>
        <v>FALSO</v>
      </c>
    </row>
    <row r="639">
      <c r="B639" s="186" t="str">
        <f>IFERROR(__xludf.DUMMYFUNCTION("""COMPUTED_VALUE"""),"PI5217Y")</f>
        <v>PI5217Y</v>
      </c>
      <c r="C639" s="186"/>
      <c r="D639" s="186" t="str">
        <f>IFERROR(__xludf.DUMMYFUNCTION("""COMPUTED_VALUE"""),"FALSO")</f>
        <v>FALSO</v>
      </c>
    </row>
    <row r="640">
      <c r="B640" s="186" t="str">
        <f>IFERROR(__xludf.DUMMYFUNCTION("""COMPUTED_VALUE"""),"PI5859Y")</f>
        <v>PI5859Y</v>
      </c>
      <c r="C640" s="186"/>
      <c r="D640" s="186" t="str">
        <f>IFERROR(__xludf.DUMMYFUNCTION("""COMPUTED_VALUE"""),"FALSO")</f>
        <v>FALSO</v>
      </c>
    </row>
    <row r="641">
      <c r="B641" s="186" t="str">
        <f>IFERROR(__xludf.DUMMYFUNCTION("""COMPUTED_VALUE"""),"PI5879Y")</f>
        <v>PI5879Y</v>
      </c>
      <c r="C641" s="186"/>
      <c r="D641" s="186" t="str">
        <f>IFERROR(__xludf.DUMMYFUNCTION("""COMPUTED_VALUE"""),"FALSO")</f>
        <v>FALSO</v>
      </c>
    </row>
    <row r="642">
      <c r="B642" s="186" t="str">
        <f>IFERROR(__xludf.DUMMYFUNCTION("""COMPUTED_VALUE"""),"PI6069Y")</f>
        <v>PI6069Y</v>
      </c>
      <c r="C642" s="186"/>
      <c r="D642" s="186" t="str">
        <f>IFERROR(__xludf.DUMMYFUNCTION("""COMPUTED_VALUE"""),"FALSO")</f>
        <v>FALSO</v>
      </c>
    </row>
    <row r="643">
      <c r="B643" s="186" t="str">
        <f>IFERROR(__xludf.DUMMYFUNCTION("""COMPUTED_VALUE"""),"PI5258Y")</f>
        <v>PI5258Y</v>
      </c>
      <c r="C643" s="186"/>
      <c r="D643" s="186" t="str">
        <f>IFERROR(__xludf.DUMMYFUNCTION("""COMPUTED_VALUE"""),"FALSO")</f>
        <v>FALSO</v>
      </c>
    </row>
    <row r="644">
      <c r="B644" s="186" t="str">
        <f>IFERROR(__xludf.DUMMYFUNCTION("""COMPUTED_VALUE"""),"PI7006Y")</f>
        <v>PI7006Y</v>
      </c>
      <c r="C644" s="186"/>
      <c r="D644" s="186" t="str">
        <f>IFERROR(__xludf.DUMMYFUNCTION("""COMPUTED_VALUE"""),"FALSO")</f>
        <v>FALSO</v>
      </c>
    </row>
    <row r="645">
      <c r="B645" s="186" t="str">
        <f>IFERROR(__xludf.DUMMYFUNCTION("""COMPUTED_VALUE"""),"US0066")</f>
        <v>US0066</v>
      </c>
      <c r="C645" s="186" t="str">
        <f>IFERROR(__xludf.DUMMYFUNCTION("""COMPUTED_VALUE"""),"LUMINARIA BORIS")</f>
        <v>LUMINARIA BORIS</v>
      </c>
      <c r="D645" s="186" t="str">
        <f>IFERROR(__xludf.DUMMYFUNCTION("""COMPUTED_VALUE"""),"FALSO")</f>
        <v>FALSO</v>
      </c>
    </row>
    <row r="646">
      <c r="B646" s="186" t="str">
        <f>IFERROR(__xludf.DUMMYFUNCTION("""COMPUTED_VALUE"""),"US0060")</f>
        <v>US0060</v>
      </c>
      <c r="C646" s="186"/>
      <c r="D646" s="186" t="str">
        <f>IFERROR(__xludf.DUMMYFUNCTION("""COMPUTED_VALUE"""),"FALSO")</f>
        <v>FALSO</v>
      </c>
    </row>
    <row r="647">
      <c r="B647" s="186" t="str">
        <f>IFERROR(__xludf.DUMMYFUNCTION("""COMPUTED_VALUE"""),"PI7016Y")</f>
        <v>PI7016Y</v>
      </c>
      <c r="C647" s="186"/>
      <c r="D647" s="186" t="str">
        <f>IFERROR(__xludf.DUMMYFUNCTION("""COMPUTED_VALUE"""),"FALSO")</f>
        <v>FALSO</v>
      </c>
    </row>
    <row r="648">
      <c r="B648" s="186" t="str">
        <f>IFERROR(__xludf.DUMMYFUNCTION("""COMPUTED_VALUE"""),"US0067")</f>
        <v>US0067</v>
      </c>
      <c r="C648" s="186"/>
      <c r="D648" s="186" t="str">
        <f>IFERROR(__xludf.DUMMYFUNCTION("""COMPUTED_VALUE"""),"FALSO")</f>
        <v>FALSO</v>
      </c>
    </row>
    <row r="649">
      <c r="B649" s="186" t="str">
        <f>IFERROR(__xludf.DUMMYFUNCTION("""COMPUTED_VALUE"""),"US0069")</f>
        <v>US0069</v>
      </c>
      <c r="C649" s="186"/>
      <c r="D649" s="186" t="str">
        <f>IFERROR(__xludf.DUMMYFUNCTION("""COMPUTED_VALUE"""),"FALSO")</f>
        <v>FALSO</v>
      </c>
    </row>
    <row r="650">
      <c r="B650" s="186" t="str">
        <f>IFERROR(__xludf.DUMMYFUNCTION("""COMPUTED_VALUE"""),"PI7537Y")</f>
        <v>PI7537Y</v>
      </c>
      <c r="C650" s="186"/>
      <c r="D650" s="186" t="str">
        <f>IFERROR(__xludf.DUMMYFUNCTION("""COMPUTED_VALUE"""),"FALSO")</f>
        <v>FALSO</v>
      </c>
    </row>
    <row r="651">
      <c r="B651" s="186" t="str">
        <f>IFERROR(__xludf.DUMMYFUNCTION("""COMPUTED_VALUE"""),"PI7294Y")</f>
        <v>PI7294Y</v>
      </c>
      <c r="C651" s="186"/>
      <c r="D651" s="186" t="str">
        <f>IFERROR(__xludf.DUMMYFUNCTION("""COMPUTED_VALUE"""),"FALSO")</f>
        <v>FALSO</v>
      </c>
    </row>
    <row r="652">
      <c r="B652" s="186" t="str">
        <f>IFERROR(__xludf.DUMMYFUNCTION("""COMPUTED_VALUE"""),"PI7295Y")</f>
        <v>PI7295Y</v>
      </c>
      <c r="C652" s="186"/>
      <c r="D652" s="186" t="str">
        <f>IFERROR(__xludf.DUMMYFUNCTION("""COMPUTED_VALUE"""),"FALSO")</f>
        <v>FALSO</v>
      </c>
    </row>
    <row r="653">
      <c r="B653" s="186" t="str">
        <f>IFERROR(__xludf.DUMMYFUNCTION("""COMPUTED_VALUE"""),"PI7296Y")</f>
        <v>PI7296Y</v>
      </c>
      <c r="C653" s="186"/>
      <c r="D653" s="186" t="str">
        <f>IFERROR(__xludf.DUMMYFUNCTION("""COMPUTED_VALUE"""),"FALSO")</f>
        <v>FALSO</v>
      </c>
    </row>
    <row r="654">
      <c r="B654" s="186" t="str">
        <f>IFERROR(__xludf.DUMMYFUNCTION("""COMPUTED_VALUE"""),"PI7297Y")</f>
        <v>PI7297Y</v>
      </c>
      <c r="C654" s="186"/>
      <c r="D654" s="186" t="str">
        <f>IFERROR(__xludf.DUMMYFUNCTION("""COMPUTED_VALUE"""),"FALSO")</f>
        <v>FALSO</v>
      </c>
    </row>
    <row r="655">
      <c r="B655" s="186" t="str">
        <f>IFERROR(__xludf.DUMMYFUNCTION("""COMPUTED_VALUE"""),"PI5538Y")</f>
        <v>PI5538Y</v>
      </c>
      <c r="C655" s="186"/>
      <c r="D655" s="186" t="str">
        <f>IFERROR(__xludf.DUMMYFUNCTION("""COMPUTED_VALUE"""),"FALSO")</f>
        <v>FALSO</v>
      </c>
    </row>
    <row r="656">
      <c r="B656" s="186" t="str">
        <f>IFERROR(__xludf.DUMMYFUNCTION("""COMPUTED_VALUE"""),"PI7256Y")</f>
        <v>PI7256Y</v>
      </c>
      <c r="C656" s="186"/>
      <c r="D656" s="186" t="str">
        <f>IFERROR(__xludf.DUMMYFUNCTION("""COMPUTED_VALUE"""),"FALSO")</f>
        <v>FALSO</v>
      </c>
    </row>
    <row r="657">
      <c r="B657" s="186" t="str">
        <f>IFERROR(__xludf.DUMMYFUNCTION("""COMPUTED_VALUE"""),"PI5296Y")</f>
        <v>PI5296Y</v>
      </c>
      <c r="C657" s="186"/>
      <c r="D657" s="186" t="str">
        <f>IFERROR(__xludf.DUMMYFUNCTION("""COMPUTED_VALUE"""),"FALSO")</f>
        <v>FALSO</v>
      </c>
    </row>
    <row r="658">
      <c r="B658" s="186" t="str">
        <f>IFERROR(__xludf.DUMMYFUNCTION("""COMPUTED_VALUE"""),"PI7320Y")</f>
        <v>PI7320Y</v>
      </c>
      <c r="C658" s="186"/>
      <c r="D658" s="186" t="str">
        <f>IFERROR(__xludf.DUMMYFUNCTION("""COMPUTED_VALUE"""),"FALSO")</f>
        <v>FALSO</v>
      </c>
    </row>
    <row r="659">
      <c r="B659" s="186" t="str">
        <f>IFERROR(__xludf.DUMMYFUNCTION("""COMPUTED_VALUE"""),"PI7636Y")</f>
        <v>PI7636Y</v>
      </c>
      <c r="C659" s="186"/>
      <c r="D659" s="186" t="str">
        <f>IFERROR(__xludf.DUMMYFUNCTION("""COMPUTED_VALUE"""),"FALSO")</f>
        <v>FALSO</v>
      </c>
    </row>
    <row r="660">
      <c r="B660" s="186" t="str">
        <f>IFERROR(__xludf.DUMMYFUNCTION("""COMPUTED_VALUE"""),"PI5655Y")</f>
        <v>PI5655Y</v>
      </c>
      <c r="C660" s="186" t="str">
        <f>IFERROR(__xludf.DUMMYFUNCTION("""COMPUTED_VALUE"""),"ABRIDOR DE CERVEJA IMA ABERTO 24H")</f>
        <v>ABRIDOR DE CERVEJA IMA ABERTO 24H</v>
      </c>
      <c r="D660" s="186" t="str">
        <f>IFERROR(__xludf.DUMMYFUNCTION("""COMPUTED_VALUE"""),"FALSO")</f>
        <v>FALSO</v>
      </c>
    </row>
    <row r="661">
      <c r="B661" s="186" t="str">
        <f>IFERROR(__xludf.DUMMYFUNCTION("""COMPUTED_VALUE"""),"PI6295Y")</f>
        <v>PI6295Y</v>
      </c>
      <c r="C661" s="186" t="str">
        <f>IFERROR(__xludf.DUMMYFUNCTION("""COMPUTED_VALUE"""),"JOGO DE DARDO MAGNETICO")</f>
        <v>JOGO DE DARDO MAGNETICO</v>
      </c>
      <c r="D661" s="186" t="str">
        <f>IFERROR(__xludf.DUMMYFUNCTION("""COMPUTED_VALUE"""),"PENDING")</f>
        <v>PENDING</v>
      </c>
    </row>
    <row r="662">
      <c r="B662" s="186" t="str">
        <f>IFERROR(__xludf.DUMMYFUNCTION("""COMPUTED_VALUE"""),"PI6542Y")</f>
        <v>PI6542Y</v>
      </c>
      <c r="C662" s="186" t="str">
        <f>IFERROR(__xludf.DUMMYFUNCTION("""COMPUTED_VALUE"""),"LUMINARIA MAGNETICA NUVEM")</f>
        <v>LUMINARIA MAGNETICA NUVEM</v>
      </c>
      <c r="D662" s="186" t="str">
        <f>IFERROR(__xludf.DUMMYFUNCTION("""COMPUTED_VALUE"""),"FALSO")</f>
        <v>FALSO</v>
      </c>
    </row>
    <row r="663">
      <c r="B663" s="186" t="str">
        <f>IFERROR(__xludf.DUMMYFUNCTION("""COMPUTED_VALUE"""),"PI6534Y")</f>
        <v>PI6534Y</v>
      </c>
      <c r="C663" s="186" t="str">
        <f>IFERROR(__xludf.DUMMYFUNCTION("""COMPUTED_VALUE"""),"LUMINARIA COM IMA PONTOS DE EQUILIBRIO")</f>
        <v>LUMINARIA COM IMA PONTOS DE EQUILIBRIO</v>
      </c>
      <c r="D663" s="186" t="str">
        <f>IFERROR(__xludf.DUMMYFUNCTION("""COMPUTED_VALUE"""),"FALSO")</f>
        <v>FALSO</v>
      </c>
    </row>
    <row r="664">
      <c r="B664" s="186" t="str">
        <f>IFERROR(__xludf.DUMMYFUNCTION("""COMPUTED_VALUE"""),"PI5904Y")</f>
        <v>PI5904Y</v>
      </c>
      <c r="C664" s="186"/>
      <c r="D664" s="186" t="str">
        <f>IFERROR(__xludf.DUMMYFUNCTION("""COMPUTED_VALUE"""),"FALSO")</f>
        <v>FALSO</v>
      </c>
    </row>
    <row r="665">
      <c r="B665" s="186" t="str">
        <f>IFERROR(__xludf.DUMMYFUNCTION("""COMPUTED_VALUE"""),"PI5904Y")</f>
        <v>PI5904Y</v>
      </c>
      <c r="C665" s="186"/>
      <c r="D665" s="186" t="str">
        <f>IFERROR(__xludf.DUMMYFUNCTION("""COMPUTED_VALUE"""),"FALSO")</f>
        <v>FALSO</v>
      </c>
    </row>
    <row r="666">
      <c r="B666" s="186" t="str">
        <f>IFERROR(__xludf.DUMMYFUNCTION("""COMPUTED_VALUE"""),"PI6684Y")</f>
        <v>PI6684Y</v>
      </c>
      <c r="C666" s="186" t="str">
        <f>IFERROR(__xludf.DUMMYFUNCTION("""COMPUTED_VALUE"""),"PORTA RETRATO MAGNETICO ESTAR PRESENTE")</f>
        <v>PORTA RETRATO MAGNETICO ESTAR PRESENTE</v>
      </c>
      <c r="D666" s="186" t="str">
        <f>IFERROR(__xludf.DUMMYFUNCTION("""COMPUTED_VALUE"""),"FALSO")</f>
        <v>FALSO</v>
      </c>
    </row>
    <row r="667">
      <c r="B667" s="186" t="str">
        <f>IFERROR(__xludf.DUMMYFUNCTION("""COMPUTED_VALUE"""),"PI5260Y")</f>
        <v>PI5260Y</v>
      </c>
      <c r="C667" s="186"/>
      <c r="D667" s="186" t="str">
        <f>IFERROR(__xludf.DUMMYFUNCTION("""COMPUTED_VALUE"""),"FALSO")</f>
        <v>FALSO</v>
      </c>
    </row>
    <row r="668">
      <c r="B668" s="186" t="str">
        <f>IFERROR(__xludf.DUMMYFUNCTION("""COMPUTED_VALUE"""),"PI7796Y")</f>
        <v>PI7796Y</v>
      </c>
      <c r="C668" s="186"/>
      <c r="D668" s="186" t="str">
        <f>IFERROR(__xludf.DUMMYFUNCTION("""COMPUTED_VALUE"""),"FALSO")</f>
        <v>FALSO</v>
      </c>
    </row>
    <row r="669">
      <c r="B669" s="186" t="str">
        <f>IFERROR(__xludf.DUMMYFUNCTION("""COMPUTED_VALUE"""),"PI7594Y")</f>
        <v>PI7594Y</v>
      </c>
      <c r="C669" s="186"/>
      <c r="D669" s="186" t="str">
        <f>IFERROR(__xludf.DUMMYFUNCTION("""COMPUTED_VALUE"""),"FALSO")</f>
        <v>FALSO</v>
      </c>
    </row>
    <row r="670">
      <c r="B670" s="186" t="str">
        <f>IFERROR(__xludf.DUMMYFUNCTION("""COMPUTED_VALUE"""),"CS2321")</f>
        <v>CS2321</v>
      </c>
      <c r="C670" s="186"/>
      <c r="D670" s="186" t="str">
        <f>IFERROR(__xludf.DUMMYFUNCTION("""COMPUTED_VALUE"""),"FALSO")</f>
        <v>FALSO</v>
      </c>
    </row>
    <row r="671">
      <c r="B671" s="186" t="str">
        <f>IFERROR(__xludf.DUMMYFUNCTION("""COMPUTED_VALUE"""),"PI7777Y")</f>
        <v>PI7777Y</v>
      </c>
      <c r="C671" s="186" t="str">
        <f>IFERROR(__xludf.DUMMYFUNCTION("""COMPUTED_VALUE"""),"VELA NO POTE HP MANDRAGORA")</f>
        <v>VELA NO POTE HP MANDRAGORA</v>
      </c>
      <c r="D671" s="186" t="str">
        <f>IFERROR(__xludf.DUMMYFUNCTION("""COMPUTED_VALUE"""),"FALSO")</f>
        <v>FALSO</v>
      </c>
    </row>
    <row r="672">
      <c r="B672" s="186" t="str">
        <f>IFERROR(__xludf.DUMMYFUNCTION("""COMPUTED_VALUE"""),"PI7511Y")</f>
        <v>PI7511Y</v>
      </c>
      <c r="C672" s="186"/>
      <c r="D672" s="186" t="str">
        <f>IFERROR(__xludf.DUMMYFUNCTION("""COMPUTED_VALUE"""),"FALSO")</f>
        <v>FALSO</v>
      </c>
    </row>
    <row r="673">
      <c r="B673" s="186" t="str">
        <f>IFERROR(__xludf.DUMMYFUNCTION("""COMPUTED_VALUE"""),"PI6991Y")</f>
        <v>PI6991Y</v>
      </c>
      <c r="C673" s="186"/>
      <c r="D673" s="186" t="str">
        <f>IFERROR(__xludf.DUMMYFUNCTION("""COMPUTED_VALUE"""),"FALSO")</f>
        <v>FALSO</v>
      </c>
    </row>
    <row r="674">
      <c r="B674" s="186" t="str">
        <f>IFERROR(__xludf.DUMMYFUNCTION("""COMPUTED_VALUE"""),"PI7037Y")</f>
        <v>PI7037Y</v>
      </c>
      <c r="C674" s="186"/>
      <c r="D674" s="186" t="str">
        <f>IFERROR(__xludf.DUMMYFUNCTION("""COMPUTED_VALUE"""),"FALSO")</f>
        <v>FALSO</v>
      </c>
    </row>
    <row r="675">
      <c r="B675" s="186" t="str">
        <f>IFERROR(__xludf.DUMMYFUNCTION("""COMPUTED_VALUE"""),"PI5651")</f>
        <v>PI5651</v>
      </c>
      <c r="C675" s="186" t="str">
        <f>IFERROR(__xludf.DUMMYFUNCTION("""COMPUTED_VALUE"""),"COPO DE MARTINI COM CANUDO BONS DRINKS")</f>
        <v>COPO DE MARTINI COM CANUDO BONS DRINKS</v>
      </c>
      <c r="D675" s="186" t="str">
        <f>IFERROR(__xludf.DUMMYFUNCTION("""COMPUTED_VALUE"""),"FALSO")</f>
        <v>FALSO</v>
      </c>
    </row>
    <row r="676">
      <c r="B676" s="186" t="str">
        <f>IFERROR(__xludf.DUMMYFUNCTION("""COMPUTED_VALUE"""),"PI5986")</f>
        <v>PI5986</v>
      </c>
      <c r="C676" s="186"/>
      <c r="D676" s="186" t="str">
        <f>IFERROR(__xludf.DUMMYFUNCTION("""COMPUTED_VALUE"""),"FALSO")</f>
        <v>FALSO</v>
      </c>
    </row>
    <row r="677">
      <c r="B677" s="186" t="str">
        <f>IFERROR(__xludf.DUMMYFUNCTION("""COMPUTED_VALUE"""),"CS2052")</f>
        <v>CS2052</v>
      </c>
      <c r="C677" s="186"/>
      <c r="D677" s="186" t="str">
        <f>IFERROR(__xludf.DUMMYFUNCTION("""COMPUTED_VALUE"""),"FALSO")</f>
        <v>FALSO</v>
      </c>
    </row>
    <row r="678">
      <c r="B678" s="186" t="str">
        <f>IFERROR(__xludf.DUMMYFUNCTION("""COMPUTED_VALUE"""),"PI6936Y")</f>
        <v>PI6936Y</v>
      </c>
      <c r="C678" s="186"/>
      <c r="D678" s="186" t="str">
        <f>IFERROR(__xludf.DUMMYFUNCTION("""COMPUTED_VALUE"""),"INMETRO Toys System 5 - Ordinance 302")</f>
        <v>INMETRO Toys System 5 - Ordinance 302</v>
      </c>
    </row>
    <row r="679">
      <c r="B679" s="186" t="str">
        <f>IFERROR(__xludf.DUMMYFUNCTION("""COMPUTED_VALUE"""),"PI6938Y")</f>
        <v>PI6938Y</v>
      </c>
      <c r="C679" s="186"/>
      <c r="D679" s="186" t="str">
        <f>IFERROR(__xludf.DUMMYFUNCTION("""COMPUTED_VALUE"""),"INMETRO Toys System 5 - Ordinance 302")</f>
        <v>INMETRO Toys System 5 - Ordinance 302</v>
      </c>
    </row>
    <row r="680">
      <c r="B680" s="186" t="str">
        <f>IFERROR(__xludf.DUMMYFUNCTION("""COMPUTED_VALUE"""),"PI7065Y")</f>
        <v>PI7065Y</v>
      </c>
      <c r="C680" s="186"/>
      <c r="D680" s="186" t="str">
        <f>IFERROR(__xludf.DUMMYFUNCTION("""COMPUTED_VALUE"""),"INMETRO Toys System 5 - Ordinance 302")</f>
        <v>INMETRO Toys System 5 - Ordinance 302</v>
      </c>
    </row>
    <row r="681">
      <c r="B681" s="186" t="str">
        <f>IFERROR(__xludf.DUMMYFUNCTION("""COMPUTED_VALUE"""),"PI6935Y")</f>
        <v>PI6935Y</v>
      </c>
      <c r="C681" s="186"/>
      <c r="D681" s="186" t="str">
        <f>IFERROR(__xludf.DUMMYFUNCTION("""COMPUTED_VALUE"""),"INMETRO Toys System 5 - Ordinance 302")</f>
        <v>INMETRO Toys System 5 - Ordinance 302</v>
      </c>
    </row>
    <row r="682">
      <c r="B682" s="186" t="str">
        <f>IFERROR(__xludf.DUMMYFUNCTION("""COMPUTED_VALUE"""),"PI7066Y")</f>
        <v>PI7066Y</v>
      </c>
      <c r="C682" s="186"/>
      <c r="D682" s="186" t="str">
        <f>IFERROR(__xludf.DUMMYFUNCTION("""COMPUTED_VALUE"""),"INMETRO Toys System 5 - Ordinance 302")</f>
        <v>INMETRO Toys System 5 - Ordinance 302</v>
      </c>
    </row>
    <row r="683">
      <c r="B683" s="186" t="str">
        <f>IFERROR(__xludf.DUMMYFUNCTION("""COMPUTED_VALUE"""),"PI6916Y")</f>
        <v>PI6916Y</v>
      </c>
      <c r="C683" s="186"/>
      <c r="D683" s="186" t="str">
        <f>IFERROR(__xludf.DUMMYFUNCTION("""COMPUTED_VALUE"""),"INMETRO Toys System 5 - Ordinance 302")</f>
        <v>INMETRO Toys System 5 - Ordinance 302</v>
      </c>
    </row>
    <row r="684">
      <c r="B684" s="186" t="str">
        <f>IFERROR(__xludf.DUMMYFUNCTION("""COMPUTED_VALUE"""),"PI6917Y")</f>
        <v>PI6917Y</v>
      </c>
      <c r="C684" s="186"/>
      <c r="D684" s="186" t="str">
        <f>IFERROR(__xludf.DUMMYFUNCTION("""COMPUTED_VALUE"""),"INMETRO Toys System 5 - Ordinance 302")</f>
        <v>INMETRO Toys System 5 - Ordinance 302</v>
      </c>
    </row>
    <row r="685">
      <c r="B685" s="186" t="str">
        <f>IFERROR(__xludf.DUMMYFUNCTION("""COMPUTED_VALUE"""),"PI6918Y")</f>
        <v>PI6918Y</v>
      </c>
      <c r="C685" s="186"/>
      <c r="D685" s="186" t="str">
        <f>IFERROR(__xludf.DUMMYFUNCTION("""COMPUTED_VALUE"""),"INMETRO Toys System 5 - Ordinance 302")</f>
        <v>INMETRO Toys System 5 - Ordinance 302</v>
      </c>
    </row>
    <row r="686">
      <c r="B686" s="186" t="str">
        <f>IFERROR(__xludf.DUMMYFUNCTION("""COMPUTED_VALUE"""),"PI6919Y")</f>
        <v>PI6919Y</v>
      </c>
      <c r="C686" s="186"/>
      <c r="D686" s="186" t="str">
        <f>IFERROR(__xludf.DUMMYFUNCTION("""COMPUTED_VALUE"""),"INMETRO Toys System 5 - Ordinance 302")</f>
        <v>INMETRO Toys System 5 - Ordinance 302</v>
      </c>
    </row>
    <row r="687">
      <c r="B687" s="186" t="str">
        <f>IFERROR(__xludf.DUMMYFUNCTION("""COMPUTED_VALUE"""),"PI7519Y")</f>
        <v>PI7519Y</v>
      </c>
      <c r="C687" s="186"/>
      <c r="D687" s="186" t="str">
        <f>IFERROR(__xludf.DUMMYFUNCTION("""COMPUTED_VALUE"""),"FALSO")</f>
        <v>FALSO</v>
      </c>
    </row>
    <row r="688">
      <c r="B688" s="186" t="str">
        <f>IFERROR(__xludf.DUMMYFUNCTION("""COMPUTED_VALUE"""),"PI7520Y")</f>
        <v>PI7520Y</v>
      </c>
      <c r="C688" s="186"/>
      <c r="D688" s="186" t="str">
        <f>IFERROR(__xludf.DUMMYFUNCTION("""COMPUTED_VALUE"""),"FALSO")</f>
        <v>FALSO</v>
      </c>
    </row>
    <row r="689">
      <c r="B689" s="186" t="str">
        <f>IFERROR(__xludf.DUMMYFUNCTION("""COMPUTED_VALUE"""),"PI5255Y")</f>
        <v>PI5255Y</v>
      </c>
      <c r="C689" s="186"/>
      <c r="D689" s="186" t="str">
        <f>IFERROR(__xludf.DUMMYFUNCTION("""COMPUTED_VALUE"""),"FALSO")</f>
        <v>FALSO</v>
      </c>
    </row>
    <row r="690">
      <c r="B690" s="186" t="str">
        <f>IFERROR(__xludf.DUMMYFUNCTION("""COMPUTED_VALUE"""),"PI7288Y")</f>
        <v>PI7288Y</v>
      </c>
      <c r="C690" s="186" t="str">
        <f>IFERROR(__xludf.DUMMYFUNCTION("""COMPUTED_VALUE"""),"ALMOFADA MASSAGEADORA MODO AVIAO")</f>
        <v>ALMOFADA MASSAGEADORA MODO AVIAO</v>
      </c>
      <c r="D690" s="186" t="str">
        <f>IFERROR(__xludf.DUMMYFUNCTION("""COMPUTED_VALUE"""),"FALSO")</f>
        <v>FALSO</v>
      </c>
    </row>
    <row r="691">
      <c r="B691" s="186" t="str">
        <f>IFERROR(__xludf.DUMMYFUNCTION("""COMPUTED_VALUE"""),"PI7288Y")</f>
        <v>PI7288Y</v>
      </c>
      <c r="C691" s="186" t="str">
        <f>IFERROR(__xludf.DUMMYFUNCTION("""COMPUTED_VALUE"""),"ALMOFADA MASSAGEADORA MODO AVIAO")</f>
        <v>ALMOFADA MASSAGEADORA MODO AVIAO</v>
      </c>
      <c r="D691" s="186" t="str">
        <f>IFERROR(__xludf.DUMMYFUNCTION("""COMPUTED_VALUE"""),"FALSO")</f>
        <v>FALSO</v>
      </c>
    </row>
    <row r="692">
      <c r="B692" s="186" t="str">
        <f>IFERROR(__xludf.DUMMYFUNCTION("""COMPUTED_VALUE"""),"PI2964Y")</f>
        <v>PI2964Y</v>
      </c>
      <c r="C692" s="186" t="str">
        <f>IFERROR(__xludf.DUMMYFUNCTION("""COMPUTED_VALUE"""),"ALMOFADA MASSAGEADORA HP GRIFINORIA")</f>
        <v>ALMOFADA MASSAGEADORA HP GRIFINORIA</v>
      </c>
      <c r="D692" s="186" t="str">
        <f>IFERROR(__xludf.DUMMYFUNCTION("""COMPUTED_VALUE"""),"FALSO")</f>
        <v>FALSO</v>
      </c>
    </row>
    <row r="693">
      <c r="B693" s="186" t="str">
        <f>IFERROR(__xludf.DUMMYFUNCTION("""COMPUTED_VALUE"""),"PI3422Y")</f>
        <v>PI3422Y</v>
      </c>
      <c r="C693" s="186" t="str">
        <f>IFERROR(__xludf.DUMMYFUNCTION("""COMPUTED_VALUE"""),"ALMOFADA MASSAGEADORA HP LUFA LUFA")</f>
        <v>ALMOFADA MASSAGEADORA HP LUFA LUFA</v>
      </c>
      <c r="D693" s="186" t="str">
        <f>IFERROR(__xludf.DUMMYFUNCTION("""COMPUTED_VALUE"""),"FALSO")</f>
        <v>FALSO</v>
      </c>
    </row>
    <row r="694">
      <c r="B694" s="186" t="str">
        <f>IFERROR(__xludf.DUMMYFUNCTION("""COMPUTED_VALUE"""),"PI3421Y")</f>
        <v>PI3421Y</v>
      </c>
      <c r="C694" s="186" t="str">
        <f>IFERROR(__xludf.DUMMYFUNCTION("""COMPUTED_VALUE"""),"ALMOFADA MASSAGEADORA HP CORVINAL")</f>
        <v>ALMOFADA MASSAGEADORA HP CORVINAL</v>
      </c>
      <c r="D694" s="186" t="str">
        <f>IFERROR(__xludf.DUMMYFUNCTION("""COMPUTED_VALUE"""),"FALSO")</f>
        <v>FALSO</v>
      </c>
    </row>
    <row r="695">
      <c r="B695" s="186" t="str">
        <f>IFERROR(__xludf.DUMMYFUNCTION("""COMPUTED_VALUE"""),"PI3420Y")</f>
        <v>PI3420Y</v>
      </c>
      <c r="C695" s="186" t="str">
        <f>IFERROR(__xludf.DUMMYFUNCTION("""COMPUTED_VALUE"""),"ALMOFADA MASSAGEADORA HP SONSERINA")</f>
        <v>ALMOFADA MASSAGEADORA HP SONSERINA</v>
      </c>
      <c r="D695" s="186" t="str">
        <f>IFERROR(__xludf.DUMMYFUNCTION("""COMPUTED_VALUE"""),"FALSO")</f>
        <v>FALSO</v>
      </c>
    </row>
    <row r="696">
      <c r="B696" s="186" t="str">
        <f>IFERROR(__xludf.DUMMYFUNCTION("""COMPUTED_VALUE"""),"PI6476Y")</f>
        <v>PI6476Y</v>
      </c>
      <c r="C696" s="186" t="str">
        <f>IFERROR(__xludf.DUMMYFUNCTION("""COMPUTED_VALUE"""),"KIT MASSAGEADOR AMO ME CUIDAR")</f>
        <v>KIT MASSAGEADOR AMO ME CUIDAR</v>
      </c>
      <c r="D696" s="186" t="str">
        <f>IFERROR(__xludf.DUMMYFUNCTION("""COMPUTED_VALUE"""),"FALSO")</f>
        <v>FALSO</v>
      </c>
    </row>
    <row r="697">
      <c r="B697" s="186" t="str">
        <f>IFERROR(__xludf.DUMMYFUNCTION("""COMPUTED_VALUE"""),"PI6572Y")</f>
        <v>PI6572Y</v>
      </c>
      <c r="C697" s="186" t="str">
        <f>IFERROR(__xludf.DUMMYFUNCTION("""COMPUTED_VALUE"""),"MASSAGEADOR - EMBALAGEM PRESENTEAVEL")</f>
        <v>MASSAGEADOR - EMBALAGEM PRESENTEAVEL</v>
      </c>
      <c r="D697" s="186" t="str">
        <f>IFERROR(__xludf.DUMMYFUNCTION("""COMPUTED_VALUE"""),"FALSO")</f>
        <v>FALSO</v>
      </c>
    </row>
    <row r="698">
      <c r="B698" s="186" t="str">
        <f>IFERROR(__xludf.DUMMYFUNCTION("""COMPUTED_VALUE"""),"PI6140Y")</f>
        <v>PI6140Y</v>
      </c>
      <c r="C698" s="186"/>
      <c r="D698" s="186" t="str">
        <f>IFERROR(__xludf.DUMMYFUNCTION("""COMPUTED_VALUE"""),"FALSO")</f>
        <v>FALSO</v>
      </c>
    </row>
    <row r="699">
      <c r="B699" s="186" t="str">
        <f>IFERROR(__xludf.DUMMYFUNCTION("""COMPUTED_VALUE"""),"PI7022Y")</f>
        <v>PI7022Y</v>
      </c>
      <c r="C699" s="186"/>
      <c r="D699" s="186" t="str">
        <f>IFERROR(__xludf.DUMMYFUNCTION("""COMPUTED_VALUE"""),"FALSO")</f>
        <v>FALSO</v>
      </c>
    </row>
    <row r="700">
      <c r="B700" s="186" t="str">
        <f>IFERROR(__xludf.DUMMYFUNCTION("""COMPUTED_VALUE"""),"PI6040Y")</f>
        <v>PI6040Y</v>
      </c>
      <c r="C700" s="186"/>
      <c r="D700" s="186" t="str">
        <f>IFERROR(__xludf.DUMMYFUNCTION("""COMPUTED_VALUE"""),"FALSO")</f>
        <v>FALSO</v>
      </c>
    </row>
    <row r="701">
      <c r="B701" s="186" t="str">
        <f>IFERROR(__xludf.DUMMYFUNCTION("""COMPUTED_VALUE"""),"PI6191Y")</f>
        <v>PI6191Y</v>
      </c>
      <c r="C701" s="186"/>
      <c r="D701" s="186" t="str">
        <f>IFERROR(__xludf.DUMMYFUNCTION("""COMPUTED_VALUE"""),"FALSO")</f>
        <v>FALSO</v>
      </c>
    </row>
    <row r="702">
      <c r="B702" s="186" t="str">
        <f>IFERROR(__xludf.DUMMYFUNCTION("""COMPUTED_VALUE"""),"PI6192Y")</f>
        <v>PI6192Y</v>
      </c>
      <c r="C702" s="186"/>
      <c r="D702" s="186" t="str">
        <f>IFERROR(__xludf.DUMMYFUNCTION("""COMPUTED_VALUE"""),"FALSO")</f>
        <v>FALSO</v>
      </c>
    </row>
    <row r="703">
      <c r="B703" s="186" t="str">
        <f>IFERROR(__xludf.DUMMYFUNCTION("""COMPUTED_VALUE"""),"PI6190Y")</f>
        <v>PI6190Y</v>
      </c>
      <c r="C703" s="186"/>
      <c r="D703" s="186" t="str">
        <f>IFERROR(__xludf.DUMMYFUNCTION("""COMPUTED_VALUE"""),"FALSO")</f>
        <v>FALSO</v>
      </c>
    </row>
    <row r="704">
      <c r="B704" s="186" t="str">
        <f>IFERROR(__xludf.DUMMYFUNCTION("""COMPUTED_VALUE"""),"PI6619Y")</f>
        <v>PI6619Y</v>
      </c>
      <c r="C704" s="186" t="str">
        <f>IFERROR(__xludf.DUMMYFUNCTION("""COMPUTED_VALUE"""),"MEIA CHAMPAGNE")</f>
        <v>MEIA CHAMPAGNE</v>
      </c>
      <c r="D704" s="186" t="str">
        <f>IFERROR(__xludf.DUMMYFUNCTION("""COMPUTED_VALUE"""),"FALSO")</f>
        <v>FALSO</v>
      </c>
    </row>
    <row r="705">
      <c r="B705" s="186" t="str">
        <f>IFERROR(__xludf.DUMMYFUNCTION("""COMPUTED_VALUE"""),"PI6118Y")</f>
        <v>PI6118Y</v>
      </c>
      <c r="C705" s="186"/>
      <c r="D705" s="186" t="str">
        <f>IFERROR(__xludf.DUMMYFUNCTION("""COMPUTED_VALUE"""),"FALSO")</f>
        <v>FALSO</v>
      </c>
    </row>
    <row r="706">
      <c r="B706" s="186" t="str">
        <f>IFERROR(__xludf.DUMMYFUNCTION("""COMPUTED_VALUE"""),"PI6124Y")</f>
        <v>PI6124Y</v>
      </c>
      <c r="C706" s="186"/>
      <c r="D706" s="186" t="str">
        <f>IFERROR(__xludf.DUMMYFUNCTION("""COMPUTED_VALUE"""),"FALSO")</f>
        <v>FALSO</v>
      </c>
    </row>
    <row r="707">
      <c r="B707" s="186" t="str">
        <f>IFERROR(__xludf.DUMMYFUNCTION("""COMPUTED_VALUE"""),"CS2194")</f>
        <v>CS2194</v>
      </c>
      <c r="C707" s="186"/>
      <c r="D707" s="186" t="str">
        <f>IFERROR(__xludf.DUMMYFUNCTION("""COMPUTED_VALUE"""),"FALSO")</f>
        <v>FALSO</v>
      </c>
    </row>
    <row r="708">
      <c r="B708" s="186" t="str">
        <f>IFERROR(__xludf.DUMMYFUNCTION("""COMPUTED_VALUE"""),"PI7973Y")</f>
        <v>PI7973Y</v>
      </c>
      <c r="C708" s="186"/>
      <c r="D708" s="186" t="str">
        <f>IFERROR(__xludf.DUMMYFUNCTION("""COMPUTED_VALUE"""),"FALSO")</f>
        <v>FALSO</v>
      </c>
    </row>
    <row r="709">
      <c r="B709" s="186" t="str">
        <f>IFERROR(__xludf.DUMMYFUNCTION("""COMPUTED_VALUE"""),"PI6510Y")</f>
        <v>PI6510Y</v>
      </c>
      <c r="C709" s="186" t="str">
        <f>IFERROR(__xludf.DUMMYFUNCTION("""COMPUTED_VALUE"""),"PORTA BIJOUX DE METAL ROSTO")</f>
        <v>PORTA BIJOUX DE METAL ROSTO</v>
      </c>
      <c r="D709" s="186" t="str">
        <f>IFERROR(__xludf.DUMMYFUNCTION("""COMPUTED_VALUE"""),"FALSO")</f>
        <v>FALSO</v>
      </c>
    </row>
    <row r="710">
      <c r="B710" s="186" t="str">
        <f>IFERROR(__xludf.DUMMYFUNCTION("""COMPUTED_VALUE"""),"PI5906Y")</f>
        <v>PI5906Y</v>
      </c>
      <c r="C710" s="186"/>
      <c r="D710" s="186" t="str">
        <f>IFERROR(__xludf.DUMMYFUNCTION("""COMPUTED_VALUE"""),"FALSO")</f>
        <v>FALSO</v>
      </c>
    </row>
    <row r="711">
      <c r="B711" s="186" t="str">
        <f>IFERROR(__xludf.DUMMYFUNCTION("""COMPUTED_VALUE"""),"PI6689Y")</f>
        <v>PI6689Y</v>
      </c>
      <c r="C711" s="186"/>
      <c r="D711" s="186" t="str">
        <f>IFERROR(__xludf.DUMMYFUNCTION("""COMPUTED_VALUE"""),"FALSO")</f>
        <v>FALSO</v>
      </c>
    </row>
    <row r="712">
      <c r="B712" s="186" t="str">
        <f>IFERROR(__xludf.DUMMYFUNCTION("""COMPUTED_VALUE"""),"PI7817Y")</f>
        <v>PI7817Y</v>
      </c>
      <c r="C712" s="186"/>
      <c r="D712" s="186" t="str">
        <f>IFERROR(__xludf.DUMMYFUNCTION("""COMPUTED_VALUE"""),"FALSO")</f>
        <v>FALSO</v>
      </c>
    </row>
    <row r="713">
      <c r="B713" s="186" t="str">
        <f>IFERROR(__xludf.DUMMYFUNCTION("""COMPUTED_VALUE"""),"PI7804Y")</f>
        <v>PI7804Y</v>
      </c>
      <c r="C713" s="186"/>
      <c r="D713" s="186" t="str">
        <f>IFERROR(__xludf.DUMMYFUNCTION("""COMPUTED_VALUE"""),"FALSO")</f>
        <v>FALSO</v>
      </c>
    </row>
    <row r="714">
      <c r="B714" s="186" t="str">
        <f>IFERROR(__xludf.DUMMYFUNCTION("""COMPUTED_VALUE"""),"PI7805Y")</f>
        <v>PI7805Y</v>
      </c>
      <c r="C714" s="186"/>
      <c r="D714" s="186" t="str">
        <f>IFERROR(__xludf.DUMMYFUNCTION("""COMPUTED_VALUE"""),"FALSO")</f>
        <v>FALSO</v>
      </c>
    </row>
    <row r="715">
      <c r="B715" s="186" t="str">
        <f>IFERROR(__xludf.DUMMYFUNCTION("""COMPUTED_VALUE"""),"PI5911Y")</f>
        <v>PI5911Y</v>
      </c>
      <c r="C715" s="186"/>
      <c r="D715" s="186" t="str">
        <f>IFERROR(__xludf.DUMMYFUNCTION("""COMPUTED_VALUE"""),"FALSO")</f>
        <v>FALSO</v>
      </c>
    </row>
    <row r="716">
      <c r="B716" s="186" t="str">
        <f>IFERROR(__xludf.DUMMYFUNCTION("""COMPUTED_VALUE"""),"PI5911Y")</f>
        <v>PI5911Y</v>
      </c>
      <c r="C716" s="186"/>
      <c r="D716" s="186" t="str">
        <f>IFERROR(__xludf.DUMMYFUNCTION("""COMPUTED_VALUE"""),"FALSO")</f>
        <v>FALSO</v>
      </c>
    </row>
    <row r="717">
      <c r="B717" s="186" t="str">
        <f>IFERROR(__xludf.DUMMYFUNCTION("""COMPUTED_VALUE"""),"PI7474Y")</f>
        <v>PI7474Y</v>
      </c>
      <c r="C717" s="186"/>
      <c r="D717" s="186" t="str">
        <f>IFERROR(__xludf.DUMMYFUNCTION("""COMPUTED_VALUE"""),"FALSO")</f>
        <v>FALSO</v>
      </c>
    </row>
    <row r="718">
      <c r="B718" s="186" t="str">
        <f>IFERROR(__xludf.DUMMYFUNCTION("""COMPUTED_VALUE"""),"PI5395Y")</f>
        <v>PI5395Y</v>
      </c>
      <c r="C718" s="186"/>
      <c r="D718" s="186" t="str">
        <f>IFERROR(__xludf.DUMMYFUNCTION("""COMPUTED_VALUE"""),"FALSO")</f>
        <v>FALSO</v>
      </c>
    </row>
    <row r="719">
      <c r="B719" s="186" t="str">
        <f>IFERROR(__xludf.DUMMYFUNCTION("""COMPUTED_VALUE"""),"PI5900Y")</f>
        <v>PI5900Y</v>
      </c>
      <c r="C719" s="186"/>
      <c r="D719" s="186" t="str">
        <f>IFERROR(__xludf.DUMMYFUNCTION("""COMPUTED_VALUE"""),"FALSO")</f>
        <v>FALSO</v>
      </c>
    </row>
    <row r="720">
      <c r="B720" s="186" t="str">
        <f>IFERROR(__xludf.DUMMYFUNCTION("""COMPUTED_VALUE"""),"PI7350Y")</f>
        <v>PI7350Y</v>
      </c>
      <c r="C720" s="186"/>
      <c r="D720" s="186" t="str">
        <f>IFERROR(__xludf.DUMMYFUNCTION("""COMPUTED_VALUE"""),"FALSO")</f>
        <v>FALSO</v>
      </c>
    </row>
    <row r="721">
      <c r="B721" s="186" t="str">
        <f>IFERROR(__xludf.DUMMYFUNCTION("""COMPUTED_VALUE"""),"PI5371Y")</f>
        <v>PI5371Y</v>
      </c>
      <c r="C721" s="186"/>
      <c r="D721" s="186" t="str">
        <f>IFERROR(__xludf.DUMMYFUNCTION("""COMPUTED_VALUE"""),"FALSO")</f>
        <v>FALSO</v>
      </c>
    </row>
    <row r="722">
      <c r="B722" s="186" t="str">
        <f>IFERROR(__xludf.DUMMYFUNCTION("""COMPUTED_VALUE"""),"PI5399Y")</f>
        <v>PI5399Y</v>
      </c>
      <c r="C722" s="186"/>
      <c r="D722" s="186" t="str">
        <f>IFERROR(__xludf.DUMMYFUNCTION("""COMPUTED_VALUE"""),"CHECKING")</f>
        <v>CHECKING</v>
      </c>
    </row>
    <row r="723">
      <c r="B723" s="186" t="str">
        <f>IFERROR(__xludf.DUMMYFUNCTION("""COMPUTED_VALUE"""),"PI7581Y")</f>
        <v>PI7581Y</v>
      </c>
      <c r="C723" s="186"/>
      <c r="D723" s="186" t="str">
        <f>IFERROR(__xludf.DUMMYFUNCTION("""COMPUTED_VALUE"""),"Anatel Category 2 - Bluetooth Module")</f>
        <v>Anatel Category 2 - Bluetooth Module</v>
      </c>
    </row>
    <row r="724">
      <c r="B724" s="186" t="str">
        <f>IFERROR(__xludf.DUMMYFUNCTION("""COMPUTED_VALUE"""),"PI7222Y")</f>
        <v>PI7222Y</v>
      </c>
      <c r="C724" s="186"/>
      <c r="D724" s="186" t="str">
        <f>IFERROR(__xludf.DUMMYFUNCTION("""COMPUTED_VALUE"""),"FALSO")</f>
        <v>FALSO</v>
      </c>
    </row>
    <row r="725">
      <c r="B725" s="186" t="str">
        <f>IFERROR(__xludf.DUMMYFUNCTION("""COMPUTED_VALUE"""),"PI5381Y")</f>
        <v>PI5381Y</v>
      </c>
      <c r="C725" s="186"/>
      <c r="D725" s="186" t="str">
        <f>IFERROR(__xludf.DUMMYFUNCTION("""COMPUTED_VALUE"""),"FALSO")</f>
        <v>FALSO</v>
      </c>
    </row>
    <row r="726">
      <c r="B726" s="186" t="str">
        <f>IFERROR(__xludf.DUMMYFUNCTION("""COMPUTED_VALUE"""),"PI5382Y")</f>
        <v>PI5382Y</v>
      </c>
      <c r="C726" s="186"/>
      <c r="D726" s="186" t="str">
        <f>IFERROR(__xludf.DUMMYFUNCTION("""COMPUTED_VALUE"""),"FALSO")</f>
        <v>FALSO</v>
      </c>
    </row>
    <row r="727">
      <c r="B727" s="186" t="str">
        <f>IFERROR(__xludf.DUMMYFUNCTION("""COMPUTED_VALUE"""),"PI5387Y")</f>
        <v>PI5387Y</v>
      </c>
      <c r="C727" s="186"/>
      <c r="D727" s="186" t="str">
        <f>IFERROR(__xludf.DUMMYFUNCTION("""COMPUTED_VALUE"""),"FALSO")</f>
        <v>FALSO</v>
      </c>
    </row>
    <row r="728">
      <c r="B728" s="186" t="str">
        <f>IFERROR(__xludf.DUMMYFUNCTION("""COMPUTED_VALUE"""),"PI5383Y")</f>
        <v>PI5383Y</v>
      </c>
      <c r="C728" s="186"/>
      <c r="D728" s="186" t="str">
        <f>IFERROR(__xludf.DUMMYFUNCTION("""COMPUTED_VALUE"""),"FALSO")</f>
        <v>FALSO</v>
      </c>
    </row>
    <row r="729">
      <c r="B729" s="186" t="str">
        <f>IFERROR(__xludf.DUMMYFUNCTION("""COMPUTED_VALUE"""),"PI5336Y")</f>
        <v>PI5336Y</v>
      </c>
      <c r="C729" s="186"/>
      <c r="D729" s="186" t="str">
        <f>IFERROR(__xludf.DUMMYFUNCTION("""COMPUTED_VALUE"""),"FALSO")</f>
        <v>FALSO</v>
      </c>
    </row>
    <row r="730">
      <c r="B730" s="186" t="str">
        <f>IFERROR(__xludf.DUMMYFUNCTION("""COMPUTED_VALUE"""),"PI7322Y")</f>
        <v>PI7322Y</v>
      </c>
      <c r="C730" s="186"/>
      <c r="D730" s="186" t="str">
        <f>IFERROR(__xludf.DUMMYFUNCTION("""COMPUTED_VALUE"""),"FALSO")</f>
        <v>FALSO</v>
      </c>
    </row>
    <row r="731">
      <c r="B731" s="186" t="str">
        <f>IFERROR(__xludf.DUMMYFUNCTION("""COMPUTED_VALUE"""),"PI5432Y")</f>
        <v>PI5432Y</v>
      </c>
      <c r="C731" s="186"/>
      <c r="D731" s="186" t="str">
        <f>IFERROR(__xludf.DUMMYFUNCTION("""COMPUTED_VALUE"""),"FALSO")</f>
        <v>FALSO</v>
      </c>
    </row>
    <row r="732">
      <c r="B732" s="186" t="str">
        <f>IFERROR(__xludf.DUMMYFUNCTION("""COMPUTED_VALUE"""),"PI7215")</f>
        <v>PI7215</v>
      </c>
      <c r="C732" s="186"/>
      <c r="D732" s="186" t="str">
        <f>IFERROR(__xludf.DUMMYFUNCTION("""COMPUTED_VALUE"""),"FALSO")</f>
        <v>FALSO</v>
      </c>
    </row>
    <row r="733">
      <c r="B733" s="186" t="str">
        <f>IFERROR(__xludf.DUMMYFUNCTION("""COMPUTED_VALUE"""),"PI7155")</f>
        <v>PI7155</v>
      </c>
      <c r="C733" s="186"/>
      <c r="D733" s="186" t="str">
        <f>IFERROR(__xludf.DUMMYFUNCTION("""COMPUTED_VALUE"""),"FALSO")</f>
        <v>FALSO</v>
      </c>
    </row>
    <row r="734">
      <c r="B734" s="186" t="str">
        <f>IFERROR(__xludf.DUMMYFUNCTION("""COMPUTED_VALUE"""),"PI4655Y")</f>
        <v>PI4655Y</v>
      </c>
      <c r="C734" s="186" t="str">
        <f>IFERROR(__xludf.DUMMYFUNCTION("""COMPUTED_VALUE"""),"PORTA BIJOUX COM ESPELHO PRO QUE QUISER")</f>
        <v>PORTA BIJOUX COM ESPELHO PRO QUE QUISER</v>
      </c>
      <c r="D734" s="186" t="str">
        <f>IFERROR(__xludf.DUMMYFUNCTION("""COMPUTED_VALUE"""),"FALSO")</f>
        <v>FALSO</v>
      </c>
    </row>
    <row r="735">
      <c r="B735" s="186" t="str">
        <f>IFERROR(__xludf.DUMMYFUNCTION("""COMPUTED_VALUE"""),"PI5050Y")</f>
        <v>PI5050Y</v>
      </c>
      <c r="C735" s="186"/>
      <c r="D735" s="186" t="str">
        <f>IFERROR(__xludf.DUMMYFUNCTION("""COMPUTED_VALUE"""),"FALSO")</f>
        <v>FALSO</v>
      </c>
    </row>
    <row r="736">
      <c r="B736" s="186" t="str">
        <f>IFERROR(__xludf.DUMMYFUNCTION("""COMPUTED_VALUE"""),"PI7334Y")</f>
        <v>PI7334Y</v>
      </c>
      <c r="C736" s="186"/>
      <c r="D736" s="186" t="str">
        <f>IFERROR(__xludf.DUMMYFUNCTION("""COMPUTED_VALUE"""),"FALSO")</f>
        <v>FALSO</v>
      </c>
    </row>
    <row r="737">
      <c r="B737" s="186" t="str">
        <f>IFERROR(__xludf.DUMMYFUNCTION("""COMPUTED_VALUE"""),"PI5291")</f>
        <v>PI5291</v>
      </c>
      <c r="C737" s="186"/>
      <c r="D737" s="186" t="str">
        <f>IFERROR(__xludf.DUMMYFUNCTION("""COMPUTED_VALUE"""),"FALSO")</f>
        <v>FALSO</v>
      </c>
    </row>
    <row r="738">
      <c r="B738" s="186" t="str">
        <f>IFERROR(__xludf.DUMMYFUNCTION("""COMPUTED_VALUE"""),"PI5769")</f>
        <v>PI5769</v>
      </c>
      <c r="C738" s="186" t="str">
        <f>IFERROR(__xludf.DUMMYFUNCTION("""COMPUTED_VALUE"""),"ESPELHO DE MESA MISTICO CONTEMPLACAO")</f>
        <v>ESPELHO DE MESA MISTICO CONTEMPLACAO</v>
      </c>
      <c r="D738" s="186" t="str">
        <f>IFERROR(__xludf.DUMMYFUNCTION("""COMPUTED_VALUE"""),"FALSO")</f>
        <v>FALSO</v>
      </c>
    </row>
    <row r="739">
      <c r="B739" s="186" t="str">
        <f>IFERROR(__xludf.DUMMYFUNCTION("""COMPUTED_VALUE"""),"PI5902")</f>
        <v>PI5902</v>
      </c>
      <c r="C739" s="186"/>
      <c r="D739" s="186" t="str">
        <f>IFERROR(__xludf.DUMMYFUNCTION("""COMPUTED_VALUE"""),"FALSO")</f>
        <v>FALSO</v>
      </c>
    </row>
    <row r="740">
      <c r="B740" s="186" t="str">
        <f>IFERROR(__xludf.DUMMYFUNCTION("""COMPUTED_VALUE"""),"PI5902")</f>
        <v>PI5902</v>
      </c>
      <c r="C740" s="186"/>
      <c r="D740" s="186" t="str">
        <f>IFERROR(__xludf.DUMMYFUNCTION("""COMPUTED_VALUE"""),"FALSO")</f>
        <v>FALSO</v>
      </c>
    </row>
    <row r="741">
      <c r="B741" s="186" t="str">
        <f>IFERROR(__xludf.DUMMYFUNCTION("""COMPUTED_VALUE"""),"PI7216")</f>
        <v>PI7216</v>
      </c>
      <c r="C741" s="186"/>
      <c r="D741" s="186" t="str">
        <f>IFERROR(__xludf.DUMMYFUNCTION("""COMPUTED_VALUE"""),"FALSO")</f>
        <v>FALSO</v>
      </c>
    </row>
    <row r="742">
      <c r="B742" s="186" t="str">
        <f>IFERROR(__xludf.DUMMYFUNCTION("""COMPUTED_VALUE"""),"PI6990Y")</f>
        <v>PI6990Y</v>
      </c>
      <c r="C742" s="186"/>
      <c r="D742" s="186" t="str">
        <f>IFERROR(__xludf.DUMMYFUNCTION("""COMPUTED_VALUE"""),"FALSO")</f>
        <v>FALSO</v>
      </c>
    </row>
    <row r="743">
      <c r="B743" s="186" t="str">
        <f>IFERROR(__xludf.DUMMYFUNCTION("""COMPUTED_VALUE"""),"PI6601Y")</f>
        <v>PI6601Y</v>
      </c>
      <c r="C743" s="186" t="str">
        <f>IFERROR(__xludf.DUMMYFUNCTION("""COMPUTED_VALUE"""),"COPO MIXER")</f>
        <v>COPO MIXER</v>
      </c>
      <c r="D743" s="186" t="str">
        <f>IFERROR(__xludf.DUMMYFUNCTION("""COMPUTED_VALUE"""),"INMETRO Electrical Security System 5 (Factory)")</f>
        <v>INMETRO Electrical Security System 5 (Factory)</v>
      </c>
    </row>
    <row r="744">
      <c r="B744" s="186" t="str">
        <f>IFERROR(__xludf.DUMMYFUNCTION("""COMPUTED_VALUE"""),"PI7319Y")</f>
        <v>PI7319Y</v>
      </c>
      <c r="C744" s="186"/>
      <c r="D744" s="186" t="str">
        <f>IFERROR(__xludf.DUMMYFUNCTION("""COMPUTED_VALUE"""),"FALSO")</f>
        <v>FALSO</v>
      </c>
    </row>
    <row r="745">
      <c r="B745" s="186" t="str">
        <f>IFERROR(__xludf.DUMMYFUNCTION("""COMPUTED_VALUE"""),"CS2320")</f>
        <v>CS2320</v>
      </c>
      <c r="C745" s="186"/>
      <c r="D745" s="186" t="str">
        <f>IFERROR(__xludf.DUMMYFUNCTION("""COMPUTED_VALUE"""),"FALSO")</f>
        <v>FALSO</v>
      </c>
    </row>
    <row r="746">
      <c r="B746" s="186" t="str">
        <f>IFERROR(__xludf.DUMMYFUNCTION("""COMPUTED_VALUE"""),"CS2319")</f>
        <v>CS2319</v>
      </c>
      <c r="C746" s="186"/>
      <c r="D746" s="186" t="str">
        <f>IFERROR(__xludf.DUMMYFUNCTION("""COMPUTED_VALUE"""),"FALSO")</f>
        <v>FALSO</v>
      </c>
    </row>
    <row r="747">
      <c r="B747" s="186" t="str">
        <f>IFERROR(__xludf.DUMMYFUNCTION("""COMPUTED_VALUE"""),"CS2469")</f>
        <v>CS2469</v>
      </c>
      <c r="C747" s="186"/>
      <c r="D747" s="186" t="str">
        <f>IFERROR(__xludf.DUMMYFUNCTION("""COMPUTED_VALUE"""),"FALSO")</f>
        <v>FALSO</v>
      </c>
    </row>
    <row r="748">
      <c r="B748" s="186" t="str">
        <f>IFERROR(__xludf.DUMMYFUNCTION("""COMPUTED_VALUE"""),"PI6007Y")</f>
        <v>PI6007Y</v>
      </c>
      <c r="C748" s="186"/>
      <c r="D748" s="186" t="str">
        <f>IFERROR(__xludf.DUMMYFUNCTION("""COMPUTED_VALUE"""),"FALSO")</f>
        <v>FALSO</v>
      </c>
    </row>
    <row r="749">
      <c r="B749" s="186" t="str">
        <f>IFERROR(__xludf.DUMMYFUNCTION("""COMPUTED_VALUE"""),"PI7785Y")</f>
        <v>PI7785Y</v>
      </c>
      <c r="C749" s="186"/>
      <c r="D749" s="186" t="str">
        <f>IFERROR(__xludf.DUMMYFUNCTION("""COMPUTED_VALUE"""),"FALSO")</f>
        <v>FALSO</v>
      </c>
    </row>
    <row r="750">
      <c r="B750" s="186" t="str">
        <f>IFERROR(__xludf.DUMMYFUNCTION("""COMPUTED_VALUE"""),"PI7786Y")</f>
        <v>PI7786Y</v>
      </c>
      <c r="C750" s="186"/>
      <c r="D750" s="186" t="str">
        <f>IFERROR(__xludf.DUMMYFUNCTION("""COMPUTED_VALUE"""),"FALSO")</f>
        <v>FALSO</v>
      </c>
    </row>
    <row r="751">
      <c r="B751" s="186" t="str">
        <f>IFERROR(__xludf.DUMMYFUNCTION("""COMPUTED_VALUE"""),"PI7787Y")</f>
        <v>PI7787Y</v>
      </c>
      <c r="C751" s="186"/>
      <c r="D751" s="186" t="str">
        <f>IFERROR(__xludf.DUMMYFUNCTION("""COMPUTED_VALUE"""),"FALSO")</f>
        <v>FALSO</v>
      </c>
    </row>
    <row r="752">
      <c r="B752" s="186" t="str">
        <f>IFERROR(__xludf.DUMMYFUNCTION("""COMPUTED_VALUE"""),"PI5884Y")</f>
        <v>PI5884Y</v>
      </c>
      <c r="C752" s="186"/>
      <c r="D752" s="186" t="str">
        <f>IFERROR(__xludf.DUMMYFUNCTION("""COMPUTED_VALUE"""),"FALSO")</f>
        <v>FALSO</v>
      </c>
    </row>
    <row r="753">
      <c r="B753" s="186" t="str">
        <f>IFERROR(__xludf.DUMMYFUNCTION("""COMPUTED_VALUE"""),"PI5884Y")</f>
        <v>PI5884Y</v>
      </c>
      <c r="C753" s="186"/>
      <c r="D753" s="186" t="str">
        <f>IFERROR(__xludf.DUMMYFUNCTION("""COMPUTED_VALUE"""),"FALSO")</f>
        <v>FALSO</v>
      </c>
    </row>
    <row r="754">
      <c r="B754" s="186" t="str">
        <f>IFERROR(__xludf.DUMMYFUNCTION("""COMPUTED_VALUE"""),"PI7755Y")</f>
        <v>PI7755Y</v>
      </c>
      <c r="C754" s="186"/>
      <c r="D754" s="186" t="str">
        <f>IFERROR(__xludf.DUMMYFUNCTION("""COMPUTED_VALUE"""),"FALSO")</f>
        <v>FALSO</v>
      </c>
    </row>
    <row r="755">
      <c r="B755" s="186" t="str">
        <f>IFERROR(__xludf.DUMMYFUNCTION("""COMPUTED_VALUE"""),"PI7764Y")</f>
        <v>PI7764Y</v>
      </c>
      <c r="C755" s="186"/>
      <c r="D755" s="186" t="str">
        <f>IFERROR(__xludf.DUMMYFUNCTION("""COMPUTED_VALUE"""),"FALSO")</f>
        <v>FALSO</v>
      </c>
    </row>
    <row r="756">
      <c r="B756" s="186" t="str">
        <f>IFERROR(__xludf.DUMMYFUNCTION("""COMPUTED_VALUE"""),"PI7386Y")</f>
        <v>PI7386Y</v>
      </c>
      <c r="C756" s="186"/>
      <c r="D756" s="186" t="str">
        <f>IFERROR(__xludf.DUMMYFUNCTION("""COMPUTED_VALUE"""),"FALSO")</f>
        <v>FALSO</v>
      </c>
    </row>
    <row r="757">
      <c r="B757" s="186" t="str">
        <f>IFERROR(__xludf.DUMMYFUNCTION("""COMPUTED_VALUE"""),"PI5084Y")</f>
        <v>PI5084Y</v>
      </c>
      <c r="C757" s="186"/>
      <c r="D757" s="186" t="str">
        <f>IFERROR(__xludf.DUMMYFUNCTION("""COMPUTED_VALUE"""),"FALSO")</f>
        <v>FALSO</v>
      </c>
    </row>
    <row r="758">
      <c r="B758" s="186" t="str">
        <f>IFERROR(__xludf.DUMMYFUNCTION("""COMPUTED_VALUE"""),"PI5109Y")</f>
        <v>PI5109Y</v>
      </c>
      <c r="C758" s="186"/>
      <c r="D758" s="186" t="str">
        <f>IFERROR(__xludf.DUMMYFUNCTION("""COMPUTED_VALUE"""),"FALSO")</f>
        <v>FALSO</v>
      </c>
    </row>
    <row r="759">
      <c r="B759" s="186" t="str">
        <f>IFERROR(__xludf.DUMMYFUNCTION("""COMPUTED_VALUE"""),"PI6026Y")</f>
        <v>PI6026Y</v>
      </c>
      <c r="C759" s="186" t="str">
        <f>IFERROR(__xludf.DUMMYFUNCTION("""COMPUTED_VALUE"""),"CANECO PRA VIAGEM NAO ESQUENTA TA GELADA")</f>
        <v>CANECO PRA VIAGEM NAO ESQUENTA TA GELADA</v>
      </c>
      <c r="D759" s="186" t="str">
        <f>IFERROR(__xludf.DUMMYFUNCTION("""COMPUTED_VALUE"""),"FALSO")</f>
        <v>FALSO</v>
      </c>
    </row>
    <row r="760">
      <c r="B760" s="186" t="str">
        <f>IFERROR(__xludf.DUMMYFUNCTION("""COMPUTED_VALUE"""),"PI5965Y")</f>
        <v>PI5965Y</v>
      </c>
      <c r="C760" s="186"/>
      <c r="D760" s="186" t="str">
        <f>IFERROR(__xludf.DUMMYFUNCTION("""COMPUTED_VALUE"""),"FALSO")</f>
        <v>FALSO</v>
      </c>
    </row>
    <row r="761">
      <c r="B761" s="186" t="str">
        <f>IFERROR(__xludf.DUMMYFUNCTION("""COMPUTED_VALUE"""),"PI6011Y")</f>
        <v>PI6011Y</v>
      </c>
      <c r="C761" s="186"/>
      <c r="D761" s="186" t="str">
        <f>IFERROR(__xludf.DUMMYFUNCTION("""COMPUTED_VALUE"""),"FALSO")</f>
        <v>FALSO</v>
      </c>
    </row>
    <row r="762">
      <c r="B762" s="186" t="str">
        <f>IFERROR(__xludf.DUMMYFUNCTION("""COMPUTED_VALUE"""),"PI7663Y")</f>
        <v>PI7663Y</v>
      </c>
      <c r="C762" s="186" t="str">
        <f>IFERROR(__xludf.DUMMYFUNCTION("""COMPUTED_VALUE"""),"MASSAGEADOR MULTIFUNCIONAL MEU BEM ESTAR")</f>
        <v>MASSAGEADOR MULTIFUNCIONAL MEU BEM ESTAR</v>
      </c>
      <c r="D762" s="186" t="str">
        <f>IFERROR(__xludf.DUMMYFUNCTION("""COMPUTED_VALUE"""),"FALSO")</f>
        <v>FALSO</v>
      </c>
    </row>
    <row r="763">
      <c r="B763" s="186" t="str">
        <f>IFERROR(__xludf.DUMMYFUNCTION("""COMPUTED_VALUE"""),"PI5581Y")</f>
        <v>PI5581Y</v>
      </c>
      <c r="C763" s="186"/>
      <c r="D763" s="186" t="str">
        <f>IFERROR(__xludf.DUMMYFUNCTION("""COMPUTED_VALUE"""),"FALSO")</f>
        <v>FALSO</v>
      </c>
    </row>
    <row r="764">
      <c r="B764" s="186"/>
      <c r="C764" s="186"/>
      <c r="D764" s="186"/>
    </row>
    <row r="765">
      <c r="B765" s="186" t="str">
        <f>IFERROR(__xludf.DUMMYFUNCTION("""COMPUTED_VALUE"""),"PI5582Y")</f>
        <v>PI5582Y</v>
      </c>
      <c r="C765" s="186"/>
      <c r="D765" s="186" t="str">
        <f>IFERROR(__xludf.DUMMYFUNCTION("""COMPUTED_VALUE"""),"FALSO")</f>
        <v>FALSO</v>
      </c>
    </row>
    <row r="766">
      <c r="B766" s="186"/>
      <c r="C766" s="186"/>
      <c r="D766" s="186"/>
    </row>
    <row r="767">
      <c r="B767" s="186" t="str">
        <f>IFERROR(__xludf.DUMMYFUNCTION("""COMPUTED_VALUE"""),"PI7482Y")</f>
        <v>PI7482Y</v>
      </c>
      <c r="C767" s="186"/>
      <c r="D767" s="186" t="str">
        <f>IFERROR(__xludf.DUMMYFUNCTION("""COMPUTED_VALUE"""),"FALSO")</f>
        <v>FALSO</v>
      </c>
    </row>
    <row r="768">
      <c r="B768" s="186" t="str">
        <f>IFERROR(__xludf.DUMMYFUNCTION("""COMPUTED_VALUE"""),"PI5335Y")</f>
        <v>PI5335Y</v>
      </c>
      <c r="C768" s="186"/>
      <c r="D768" s="186" t="str">
        <f>IFERROR(__xludf.DUMMYFUNCTION("""COMPUTED_VALUE"""),"FALSO")</f>
        <v>FALSO</v>
      </c>
    </row>
    <row r="769">
      <c r="B769" s="186" t="str">
        <f>IFERROR(__xludf.DUMMYFUNCTION("""COMPUTED_VALUE"""),"PI7977Y")</f>
        <v>PI7977Y</v>
      </c>
      <c r="C769" s="186"/>
      <c r="D769" s="186" t="str">
        <f>IFERROR(__xludf.DUMMYFUNCTION("""COMPUTED_VALUE"""),"FALSO")</f>
        <v>FALSO</v>
      </c>
    </row>
    <row r="770">
      <c r="B770" s="186" t="str">
        <f>IFERROR(__xludf.DUMMYFUNCTION("""COMPUTED_VALUE"""),"PI7974Y")</f>
        <v>PI7974Y</v>
      </c>
      <c r="C770" s="186"/>
      <c r="D770" s="186" t="str">
        <f>IFERROR(__xludf.DUMMYFUNCTION("""COMPUTED_VALUE"""),"FALSO")</f>
        <v>FALSO</v>
      </c>
    </row>
    <row r="771">
      <c r="B771" s="186" t="str">
        <f>IFERROR(__xludf.DUMMYFUNCTION("""COMPUTED_VALUE"""),"PI6080Y")</f>
        <v>PI6080Y</v>
      </c>
      <c r="C771" s="186"/>
      <c r="D771" s="186" t="str">
        <f>IFERROR(__xludf.DUMMYFUNCTION("""COMPUTED_VALUE"""),"FALSO")</f>
        <v>FALSO</v>
      </c>
    </row>
    <row r="772">
      <c r="B772" s="186" t="str">
        <f>IFERROR(__xludf.DUMMYFUNCTION("""COMPUTED_VALUE"""),"PI6215Y")</f>
        <v>PI6215Y</v>
      </c>
      <c r="C772" s="186"/>
      <c r="D772" s="186" t="str">
        <f>IFERROR(__xludf.DUMMYFUNCTION("""COMPUTED_VALUE"""),"FALSO")</f>
        <v>FALSO</v>
      </c>
    </row>
    <row r="773">
      <c r="B773" s="186" t="str">
        <f>IFERROR(__xludf.DUMMYFUNCTION("""COMPUTED_VALUE"""),"PI6216Y")</f>
        <v>PI6216Y</v>
      </c>
      <c r="C773" s="186"/>
      <c r="D773" s="186" t="str">
        <f>IFERROR(__xludf.DUMMYFUNCTION("""COMPUTED_VALUE"""),"FALSO")</f>
        <v>FALSO</v>
      </c>
    </row>
    <row r="774">
      <c r="B774" s="186" t="str">
        <f>IFERROR(__xludf.DUMMYFUNCTION("""COMPUTED_VALUE"""),"PI6141Y")</f>
        <v>PI6141Y</v>
      </c>
      <c r="C774" s="186"/>
      <c r="D774" s="186" t="str">
        <f>IFERROR(__xludf.DUMMYFUNCTION("""COMPUTED_VALUE"""),"FALSO")</f>
        <v>FALSO</v>
      </c>
    </row>
    <row r="775">
      <c r="B775" s="186" t="str">
        <f>IFERROR(__xludf.DUMMYFUNCTION("""COMPUTED_VALUE"""),"PI7454Y")</f>
        <v>PI7454Y</v>
      </c>
      <c r="C775" s="186"/>
      <c r="D775" s="186" t="str">
        <f>IFERROR(__xludf.DUMMYFUNCTION("""COMPUTED_VALUE"""),"FALSO")</f>
        <v>FALSO</v>
      </c>
    </row>
    <row r="776">
      <c r="B776" s="186" t="str">
        <f>IFERROR(__xludf.DUMMYFUNCTION("""COMPUTED_VALUE"""),"PI5866Y")</f>
        <v>PI5866Y</v>
      </c>
      <c r="C776" s="186"/>
      <c r="D776" s="186" t="str">
        <f>IFERROR(__xludf.DUMMYFUNCTION("""COMPUTED_VALUE"""),"FALSO")</f>
        <v>FALSO</v>
      </c>
    </row>
    <row r="777">
      <c r="B777" s="186" t="str">
        <f>IFERROR(__xludf.DUMMYFUNCTION("""COMPUTED_VALUE"""),"PI7715Y")</f>
        <v>PI7715Y</v>
      </c>
      <c r="C777" s="186" t="str">
        <f>IFERROR(__xludf.DUMMYFUNCTION("""COMPUTED_VALUE"""),"ALMOFADA DE PESCOCO GATINHO PRETO")</f>
        <v>ALMOFADA DE PESCOCO GATINHO PRETO</v>
      </c>
      <c r="D777" s="186" t="str">
        <f>IFERROR(__xludf.DUMMYFUNCTION("""COMPUTED_VALUE"""),"FALSO")</f>
        <v>FALSO</v>
      </c>
    </row>
    <row r="778">
      <c r="B778" s="186" t="str">
        <f>IFERROR(__xludf.DUMMYFUNCTION("""COMPUTED_VALUE"""),"PI7509Y")</f>
        <v>PI7509Y</v>
      </c>
      <c r="C778" s="186"/>
      <c r="D778" s="186" t="str">
        <f>IFERROR(__xludf.DUMMYFUNCTION("""COMPUTED_VALUE"""),"FALSO")</f>
        <v>FALSO</v>
      </c>
    </row>
    <row r="779">
      <c r="B779" s="186" t="str">
        <f>IFERROR(__xludf.DUMMYFUNCTION("""COMPUTED_VALUE"""),"PI6145Y")</f>
        <v>PI6145Y</v>
      </c>
      <c r="C779" s="186"/>
      <c r="D779" s="186" t="str">
        <f>IFERROR(__xludf.DUMMYFUNCTION("""COMPUTED_VALUE"""),"FALSO")</f>
        <v>FALSO</v>
      </c>
    </row>
    <row r="780">
      <c r="B780" s="186" t="str">
        <f>IFERROR(__xludf.DUMMYFUNCTION("""COMPUTED_VALUE"""),"PI7233Y")</f>
        <v>PI7233Y</v>
      </c>
      <c r="C780" s="186" t="str">
        <f>IFERROR(__xludf.DUMMYFUNCTION("""COMPUTED_VALUE"""),"ALMOFADA DE PESCOCO MEU DESTINO")</f>
        <v>ALMOFADA DE PESCOCO MEU DESTINO</v>
      </c>
      <c r="D780" s="186" t="str">
        <f>IFERROR(__xludf.DUMMYFUNCTION("""COMPUTED_VALUE"""),"FALSO")</f>
        <v>FALSO</v>
      </c>
    </row>
    <row r="781">
      <c r="B781" s="186" t="str">
        <f>IFERROR(__xludf.DUMMYFUNCTION("""COMPUTED_VALUE"""),"PI5261Y")</f>
        <v>PI5261Y</v>
      </c>
      <c r="C781" s="186"/>
      <c r="D781" s="186" t="str">
        <f>IFERROR(__xludf.DUMMYFUNCTION("""COMPUTED_VALUE"""),"FALSO")</f>
        <v>FALSO</v>
      </c>
    </row>
    <row r="782">
      <c r="B782" s="186" t="str">
        <f>IFERROR(__xludf.DUMMYFUNCTION("""COMPUTED_VALUE"""),"PI5534Y")</f>
        <v>PI5534Y</v>
      </c>
      <c r="C782" s="186" t="str">
        <f>IFERROR(__xludf.DUMMYFUNCTION("""COMPUTED_VALUE"""),"LUMINARIA LED NEON CORACAO Y2K")</f>
        <v>LUMINARIA LED NEON CORACAO Y2K</v>
      </c>
      <c r="D782" s="186" t="str">
        <f>IFERROR(__xludf.DUMMYFUNCTION("""COMPUTED_VALUE"""),"FALSO")</f>
        <v>FALSO</v>
      </c>
    </row>
    <row r="783">
      <c r="B783" s="186" t="str">
        <f>IFERROR(__xludf.DUMMYFUNCTION("""COMPUTED_VALUE"""),"PI5533Y")</f>
        <v>PI5533Y</v>
      </c>
      <c r="C783" s="186"/>
      <c r="D783" s="186" t="str">
        <f>IFERROR(__xludf.DUMMYFUNCTION("""COMPUTED_VALUE"""),"FALSO")</f>
        <v>FALSO</v>
      </c>
    </row>
    <row r="784">
      <c r="B784" s="186" t="str">
        <f>IFERROR(__xludf.DUMMYFUNCTION("""COMPUTED_VALUE"""),"PI5863Y")</f>
        <v>PI5863Y</v>
      </c>
      <c r="C784" s="186"/>
      <c r="D784" s="186" t="str">
        <f>IFERROR(__xludf.DUMMYFUNCTION("""COMPUTED_VALUE"""),"FALSO")</f>
        <v>FALSO</v>
      </c>
    </row>
    <row r="785">
      <c r="B785" s="186" t="str">
        <f>IFERROR(__xludf.DUMMYFUNCTION("""COMPUTED_VALUE"""),"PI5899Y")</f>
        <v>PI5899Y</v>
      </c>
      <c r="C785" s="186"/>
      <c r="D785" s="186" t="str">
        <f>IFERROR(__xludf.DUMMYFUNCTION("""COMPUTED_VALUE"""),"FALSO")</f>
        <v>FALSO</v>
      </c>
    </row>
    <row r="786">
      <c r="B786" s="186" t="str">
        <f>IFERROR(__xludf.DUMMYFUNCTION("""COMPUTED_VALUE"""),"PI5899Y")</f>
        <v>PI5899Y</v>
      </c>
      <c r="C786" s="186"/>
      <c r="D786" s="186" t="str">
        <f>IFERROR(__xludf.DUMMYFUNCTION("""COMPUTED_VALUE"""),"FALSO")</f>
        <v>FALSO</v>
      </c>
    </row>
    <row r="787">
      <c r="B787" s="186" t="str">
        <f>IFERROR(__xludf.DUMMYFUNCTION("""COMPUTED_VALUE"""),"PI5912Y")</f>
        <v>PI5912Y</v>
      </c>
      <c r="C787" s="186"/>
      <c r="D787" s="186" t="str">
        <f>IFERROR(__xludf.DUMMYFUNCTION("""COMPUTED_VALUE"""),"FALSO")</f>
        <v>FALSO</v>
      </c>
    </row>
    <row r="788">
      <c r="B788" s="186" t="str">
        <f>IFERROR(__xludf.DUMMYFUNCTION("""COMPUTED_VALUE"""),"PI5912Y")</f>
        <v>PI5912Y</v>
      </c>
      <c r="C788" s="186"/>
      <c r="D788" s="186" t="str">
        <f>IFERROR(__xludf.DUMMYFUNCTION("""COMPUTED_VALUE"""),"FALSO")</f>
        <v>FALSO</v>
      </c>
    </row>
    <row r="789">
      <c r="B789" s="186" t="str">
        <f>IFERROR(__xludf.DUMMYFUNCTION("""COMPUTED_VALUE"""),"PI7766Y")</f>
        <v>PI7766Y</v>
      </c>
      <c r="C789" s="186"/>
      <c r="D789" s="186" t="str">
        <f>IFERROR(__xludf.DUMMYFUNCTION("""COMPUTED_VALUE"""),"FALSO")</f>
        <v>FALSO</v>
      </c>
    </row>
    <row r="790">
      <c r="B790" s="186" t="str">
        <f>IFERROR(__xludf.DUMMYFUNCTION("""COMPUTED_VALUE"""),"PI5126Y")</f>
        <v>PI5126Y</v>
      </c>
      <c r="C790" s="186"/>
      <c r="D790" s="186" t="str">
        <f>IFERROR(__xludf.DUMMYFUNCTION("""COMPUTED_VALUE"""),"FALSO")</f>
        <v>FALSO</v>
      </c>
    </row>
    <row r="791">
      <c r="B791" s="186" t="str">
        <f>IFERROR(__xludf.DUMMYFUNCTION("""COMPUTED_VALUE"""),"PI7775Y")</f>
        <v>PI7775Y</v>
      </c>
      <c r="C791" s="186"/>
      <c r="D791" s="186" t="str">
        <f>IFERROR(__xludf.DUMMYFUNCTION("""COMPUTED_VALUE"""),"FALSO")</f>
        <v>FALSO</v>
      </c>
    </row>
    <row r="792">
      <c r="B792" s="186" t="str">
        <f>IFERROR(__xludf.DUMMYFUNCTION("""COMPUTED_VALUE"""),"PI6828Y")</f>
        <v>PI6828Y</v>
      </c>
      <c r="C792" s="186"/>
      <c r="D792" s="186" t="str">
        <f>IFERROR(__xludf.DUMMYFUNCTION("""COMPUTED_VALUE"""),"FALSO")</f>
        <v>FALSO</v>
      </c>
    </row>
    <row r="793">
      <c r="B793" s="186" t="str">
        <f>IFERROR(__xludf.DUMMYFUNCTION("""COMPUTED_VALUE"""),"PI5222Y")</f>
        <v>PI5222Y</v>
      </c>
      <c r="C793" s="186"/>
      <c r="D793" s="186" t="str">
        <f>IFERROR(__xludf.DUMMYFUNCTION("""COMPUTED_VALUE"""),"FALSO")</f>
        <v>FALSO</v>
      </c>
    </row>
    <row r="794">
      <c r="B794" s="186" t="str">
        <f>IFERROR(__xludf.DUMMYFUNCTION("""COMPUTED_VALUE"""),"PI7123Y")</f>
        <v>PI7123Y</v>
      </c>
      <c r="C794" s="186"/>
      <c r="D794" s="186" t="str">
        <f>IFERROR(__xludf.DUMMYFUNCTION("""COMPUTED_VALUE"""),"FALSO")</f>
        <v>FALSO</v>
      </c>
    </row>
    <row r="795">
      <c r="B795" s="186" t="str">
        <f>IFERROR(__xludf.DUMMYFUNCTION("""COMPUTED_VALUE"""),"PI7157")</f>
        <v>PI7157</v>
      </c>
      <c r="C795" s="186"/>
      <c r="D795" s="186" t="str">
        <f>IFERROR(__xludf.DUMMYFUNCTION("""COMPUTED_VALUE"""),"FALSO")</f>
        <v>FALSO</v>
      </c>
    </row>
    <row r="796">
      <c r="B796" s="186" t="str">
        <f>IFERROR(__xludf.DUMMYFUNCTION("""COMPUTED_VALUE"""),"PI7802Y")</f>
        <v>PI7802Y</v>
      </c>
      <c r="C796" s="186"/>
      <c r="D796" s="186" t="str">
        <f>IFERROR(__xludf.DUMMYFUNCTION("""COMPUTED_VALUE"""),"FALSO")</f>
        <v>FALSO</v>
      </c>
    </row>
    <row r="797">
      <c r="B797" s="186" t="str">
        <f>IFERROR(__xludf.DUMMYFUNCTION("""COMPUTED_VALUE"""),"PI5491Y")</f>
        <v>PI5491Y</v>
      </c>
      <c r="C797" s="186"/>
      <c r="D797" s="186" t="str">
        <f>IFERROR(__xludf.DUMMYFUNCTION("""COMPUTED_VALUE"""),"FALSO")</f>
        <v>FALSO</v>
      </c>
    </row>
    <row r="798">
      <c r="B798" s="186" t="str">
        <f>IFERROR(__xludf.DUMMYFUNCTION("""COMPUTED_VALUE"""),"PI5824Y")</f>
        <v>PI5824Y</v>
      </c>
      <c r="C798" s="186"/>
      <c r="D798" s="186" t="str">
        <f>IFERROR(__xludf.DUMMYFUNCTION("""COMPUTED_VALUE"""),"FALSO")</f>
        <v>FALSO</v>
      </c>
    </row>
    <row r="799">
      <c r="B799" s="186" t="str">
        <f>IFERROR(__xludf.DUMMYFUNCTION("""COMPUTED_VALUE"""),"PI5540Y")</f>
        <v>PI5540Y</v>
      </c>
      <c r="C799" s="186"/>
      <c r="D799" s="186" t="str">
        <f>IFERROR(__xludf.DUMMYFUNCTION("""COMPUTED_VALUE"""),"FALSO")</f>
        <v>FALSO</v>
      </c>
    </row>
    <row r="800">
      <c r="B800" s="186" t="str">
        <f>IFERROR(__xludf.DUMMYFUNCTION("""COMPUTED_VALUE"""),"PI5542Y")</f>
        <v>PI5542Y</v>
      </c>
      <c r="C800" s="186"/>
      <c r="D800" s="186" t="str">
        <f>IFERROR(__xludf.DUMMYFUNCTION("""COMPUTED_VALUE"""),"FALSO")</f>
        <v>FALSO</v>
      </c>
    </row>
    <row r="801">
      <c r="B801" s="186" t="str">
        <f>IFERROR(__xludf.DUMMYFUNCTION("""COMPUTED_VALUE"""),"PI7827Y")</f>
        <v>PI7827Y</v>
      </c>
      <c r="C801" s="186"/>
      <c r="D801" s="186" t="str">
        <f>IFERROR(__xludf.DUMMYFUNCTION("""COMPUTED_VALUE"""),"FALSO")</f>
        <v>FALSO</v>
      </c>
    </row>
    <row r="802">
      <c r="B802" s="186" t="str">
        <f>IFERROR(__xludf.DUMMYFUNCTION("""COMPUTED_VALUE"""),"PI6514Y")</f>
        <v>PI6514Y</v>
      </c>
      <c r="C802" s="186" t="str">
        <f>IFERROR(__xludf.DUMMYFUNCTION("""COMPUTED_VALUE"""),"NOVO MASSAGEADOR 1")</f>
        <v>NOVO MASSAGEADOR 1</v>
      </c>
      <c r="D802" s="186" t="str">
        <f>IFERROR(__xludf.DUMMYFUNCTION("""COMPUTED_VALUE"""),"FALSO")</f>
        <v>FALSO</v>
      </c>
    </row>
    <row r="803">
      <c r="B803" s="186" t="str">
        <f>IFERROR(__xludf.DUMMYFUNCTION("""COMPUTED_VALUE"""),"PI6515Y")</f>
        <v>PI6515Y</v>
      </c>
      <c r="C803" s="186" t="str">
        <f>IFERROR(__xludf.DUMMYFUNCTION("""COMPUTED_VALUE"""),"NOVO MASSAGEADOR 2")</f>
        <v>NOVO MASSAGEADOR 2</v>
      </c>
      <c r="D803" s="186" t="str">
        <f>IFERROR(__xludf.DUMMYFUNCTION("""COMPUTED_VALUE"""),"FALSO")</f>
        <v>FALSO</v>
      </c>
    </row>
    <row r="804">
      <c r="B804" s="186" t="str">
        <f>IFERROR(__xludf.DUMMYFUNCTION("""COMPUTED_VALUE"""),"PI6513Y")</f>
        <v>PI6513Y</v>
      </c>
      <c r="C804" s="186" t="str">
        <f>IFERROR(__xludf.DUMMYFUNCTION("""COMPUTED_VALUE"""),"NOVO MASSAGEADOR FACIAL")</f>
        <v>NOVO MASSAGEADOR FACIAL</v>
      </c>
      <c r="D804" s="186" t="str">
        <f>IFERROR(__xludf.DUMMYFUNCTION("""COMPUTED_VALUE"""),"FALSO")</f>
        <v>FALSO</v>
      </c>
    </row>
    <row r="805">
      <c r="B805" s="186" t="str">
        <f>IFERROR(__xludf.DUMMYFUNCTION("""COMPUTED_VALUE"""),"PI6756Y")</f>
        <v>PI6756Y</v>
      </c>
      <c r="C805" s="186"/>
      <c r="D805" s="186" t="str">
        <f>IFERROR(__xludf.DUMMYFUNCTION("""COMPUTED_VALUE"""),"FALSO")</f>
        <v>FALSO</v>
      </c>
    </row>
    <row r="806">
      <c r="B806" s="186" t="str">
        <f>IFERROR(__xludf.DUMMYFUNCTION("""COMPUTED_VALUE"""),"PI7352Y")</f>
        <v>PI7352Y</v>
      </c>
      <c r="C806" s="186"/>
      <c r="D806" s="186" t="str">
        <f>IFERROR(__xludf.DUMMYFUNCTION("""COMPUTED_VALUE"""),"FALSO")</f>
        <v>FALSO</v>
      </c>
    </row>
    <row r="807">
      <c r="B807" s="186" t="str">
        <f>IFERROR(__xludf.DUMMYFUNCTION("""COMPUTED_VALUE"""),"PI7353Y")</f>
        <v>PI7353Y</v>
      </c>
      <c r="C807" s="186"/>
      <c r="D807" s="186" t="str">
        <f>IFERROR(__xludf.DUMMYFUNCTION("""COMPUTED_VALUE"""),"FALSO")</f>
        <v>FALSO</v>
      </c>
    </row>
    <row r="808">
      <c r="B808" s="186" t="str">
        <f>IFERROR(__xludf.DUMMYFUNCTION("""COMPUTED_VALUE"""),"PI7354Y")</f>
        <v>PI7354Y</v>
      </c>
      <c r="C808" s="186"/>
      <c r="D808" s="186" t="str">
        <f>IFERROR(__xludf.DUMMYFUNCTION("""COMPUTED_VALUE"""),"FALSO")</f>
        <v>FALSO</v>
      </c>
    </row>
    <row r="809">
      <c r="B809" s="186" t="str">
        <f>IFERROR(__xludf.DUMMYFUNCTION("""COMPUTED_VALUE"""),"CS2478")</f>
        <v>CS2478</v>
      </c>
      <c r="C809" s="186"/>
      <c r="D809" s="186" t="str">
        <f>IFERROR(__xludf.DUMMYFUNCTION("""COMPUTED_VALUE"""),"FALSO")</f>
        <v>FALSO</v>
      </c>
    </row>
    <row r="810">
      <c r="B810" s="186" t="str">
        <f>IFERROR(__xludf.DUMMYFUNCTION("""COMPUTED_VALUE"""),"PI7975Y")</f>
        <v>PI7975Y</v>
      </c>
      <c r="C810" s="186"/>
      <c r="D810" s="186" t="str">
        <f>IFERROR(__xludf.DUMMYFUNCTION("""COMPUTED_VALUE"""),"FALSO")</f>
        <v>FALSO</v>
      </c>
    </row>
    <row r="811">
      <c r="B811" s="186" t="str">
        <f>IFERROR(__xludf.DUMMYFUNCTION("""COMPUTED_VALUE"""),"PI7803Y")</f>
        <v>PI7803Y</v>
      </c>
      <c r="C811" s="186"/>
      <c r="D811" s="186" t="str">
        <f>IFERROR(__xludf.DUMMYFUNCTION("""COMPUTED_VALUE"""),"FALSO")</f>
        <v>FALSO</v>
      </c>
    </row>
    <row r="812">
      <c r="B812" s="186" t="str">
        <f>IFERROR(__xludf.DUMMYFUNCTION("""COMPUTED_VALUE"""),"PI7348Y")</f>
        <v>PI7348Y</v>
      </c>
      <c r="C812" s="186"/>
      <c r="D812" s="186" t="str">
        <f>IFERROR(__xludf.DUMMYFUNCTION("""COMPUTED_VALUE"""),"FALSO")</f>
        <v>FALSO</v>
      </c>
    </row>
    <row r="813">
      <c r="B813" s="186" t="str">
        <f>IFERROR(__xludf.DUMMYFUNCTION("""COMPUTED_VALUE"""),"PI7484Y")</f>
        <v>PI7484Y</v>
      </c>
      <c r="C813" s="186"/>
      <c r="D813" s="186" t="str">
        <f>IFERROR(__xludf.DUMMYFUNCTION("""COMPUTED_VALUE"""),"FALSO")</f>
        <v>FALSO</v>
      </c>
    </row>
    <row r="814">
      <c r="B814" s="186" t="str">
        <f>IFERROR(__xludf.DUMMYFUNCTION("""COMPUTED_VALUE"""),"PI7489Y")</f>
        <v>PI7489Y</v>
      </c>
      <c r="C814" s="186"/>
      <c r="D814" s="186" t="str">
        <f>IFERROR(__xludf.DUMMYFUNCTION("""COMPUTED_VALUE"""),"FALSO")</f>
        <v>FALSO</v>
      </c>
    </row>
    <row r="815">
      <c r="B815" s="186" t="str">
        <f>IFERROR(__xludf.DUMMYFUNCTION("""COMPUTED_VALUE"""),"PI5388Y")</f>
        <v>PI5388Y</v>
      </c>
      <c r="C815" s="186"/>
      <c r="D815" s="186" t="str">
        <f>IFERROR(__xludf.DUMMYFUNCTION("""COMPUTED_VALUE"""),"FALSO")</f>
        <v>FALSO</v>
      </c>
    </row>
    <row r="816">
      <c r="B816" s="186" t="str">
        <f>IFERROR(__xludf.DUMMYFUNCTION("""COMPUTED_VALUE"""),"PI6257Y")</f>
        <v>PI6257Y</v>
      </c>
      <c r="C816" s="186"/>
      <c r="D816" s="186" t="str">
        <f>IFERROR(__xludf.DUMMYFUNCTION("""COMPUTED_VALUE"""),"FALSO")</f>
        <v>FALSO</v>
      </c>
    </row>
    <row r="817">
      <c r="B817" s="186" t="str">
        <f>IFERROR(__xludf.DUMMYFUNCTION("""COMPUTED_VALUE"""),"PI5462Y")</f>
        <v>PI5462Y</v>
      </c>
      <c r="C817" s="186"/>
      <c r="D817" s="186" t="str">
        <f>IFERROR(__xludf.DUMMYFUNCTION("""COMPUTED_VALUE"""),"FALSO")</f>
        <v>FALSO</v>
      </c>
    </row>
    <row r="818">
      <c r="B818" s="186" t="str">
        <f>IFERROR(__xludf.DUMMYFUNCTION("""COMPUTED_VALUE"""),"PI7978Y")</f>
        <v>PI7978Y</v>
      </c>
      <c r="C818" s="186"/>
      <c r="D818" s="186" t="str">
        <f>IFERROR(__xludf.DUMMYFUNCTION("""COMPUTED_VALUE"""),"FALSO")</f>
        <v>FALSO</v>
      </c>
    </row>
    <row r="819">
      <c r="B819" s="186" t="str">
        <f>IFERROR(__xludf.DUMMYFUNCTION("""COMPUTED_VALUE"""),"PI7801Y")</f>
        <v>PI7801Y</v>
      </c>
      <c r="C819" s="186"/>
      <c r="D819" s="186" t="str">
        <f>IFERROR(__xludf.DUMMYFUNCTION("""COMPUTED_VALUE"""),"FALSO")</f>
        <v>FALSO</v>
      </c>
    </row>
    <row r="820">
      <c r="B820" s="186" t="str">
        <f>IFERROR(__xludf.DUMMYFUNCTION("""COMPUTED_VALUE"""),"PI5380Y")</f>
        <v>PI5380Y</v>
      </c>
      <c r="C820" s="186"/>
      <c r="D820" s="186" t="str">
        <f>IFERROR(__xludf.DUMMYFUNCTION("""COMPUTED_VALUE"""),"CHECKING")</f>
        <v>CHECKING</v>
      </c>
    </row>
    <row r="821">
      <c r="B821" s="186" t="str">
        <f>IFERROR(__xludf.DUMMYFUNCTION("""COMPUTED_VALUE"""),"PI6214Y")</f>
        <v>PI6214Y</v>
      </c>
      <c r="C821" s="186"/>
      <c r="D821" s="186" t="str">
        <f>IFERROR(__xludf.DUMMYFUNCTION("""COMPUTED_VALUE"""),"FALSO")</f>
        <v>FALSO</v>
      </c>
    </row>
    <row r="822">
      <c r="B822" s="186" t="str">
        <f>IFERROR(__xludf.DUMMYFUNCTION("""COMPUTED_VALUE"""),"PI5954Y")</f>
        <v>PI5954Y</v>
      </c>
      <c r="C822" s="186"/>
      <c r="D822" s="186" t="str">
        <f>IFERROR(__xludf.DUMMYFUNCTION("""COMPUTED_VALUE"""),"FALSO")</f>
        <v>FALSO</v>
      </c>
    </row>
    <row r="823">
      <c r="B823" s="186" t="str">
        <f>IFERROR(__xludf.DUMMYFUNCTION("""COMPUTED_VALUE"""),"PI5955Y")</f>
        <v>PI5955Y</v>
      </c>
      <c r="C823" s="186"/>
      <c r="D823" s="186" t="str">
        <f>IFERROR(__xludf.DUMMYFUNCTION("""COMPUTED_VALUE"""),"FALSO")</f>
        <v>FALSO</v>
      </c>
    </row>
    <row r="824">
      <c r="B824" s="186" t="str">
        <f>IFERROR(__xludf.DUMMYFUNCTION("""COMPUTED_VALUE"""),"PI7090Y")</f>
        <v>PI7090Y</v>
      </c>
      <c r="C824" s="186"/>
      <c r="D824" s="186" t="str">
        <f>IFERROR(__xludf.DUMMYFUNCTION("""COMPUTED_VALUE"""),"FALSO")</f>
        <v>FALSO</v>
      </c>
    </row>
    <row r="825">
      <c r="B825" s="186" t="str">
        <f>IFERROR(__xludf.DUMMYFUNCTION("""COMPUTED_VALUE"""),"PI7024Y")</f>
        <v>PI7024Y</v>
      </c>
      <c r="C825" s="186"/>
      <c r="D825" s="186" t="str">
        <f>IFERROR(__xludf.DUMMYFUNCTION("""COMPUTED_VALUE"""),"FALSO")</f>
        <v>FALSO</v>
      </c>
    </row>
    <row r="826">
      <c r="B826" s="186" t="str">
        <f>IFERROR(__xludf.DUMMYFUNCTION("""COMPUTED_VALUE"""),"PI7038Y")</f>
        <v>PI7038Y</v>
      </c>
      <c r="C826" s="186"/>
      <c r="D826" s="186" t="str">
        <f>IFERROR(__xludf.DUMMYFUNCTION("""COMPUTED_VALUE"""),"FALSO")</f>
        <v>FALSO</v>
      </c>
    </row>
    <row r="827">
      <c r="B827" s="186" t="str">
        <f>IFERROR(__xludf.DUMMYFUNCTION("""COMPUTED_VALUE"""),"PI6827Y")</f>
        <v>PI6827Y</v>
      </c>
      <c r="C827" s="186"/>
      <c r="D827" s="186" t="str">
        <f>IFERROR(__xludf.DUMMYFUNCTION("""COMPUTED_VALUE"""),"FALSO")</f>
        <v>FALSO</v>
      </c>
    </row>
    <row r="828">
      <c r="B828" s="186" t="str">
        <f>IFERROR(__xludf.DUMMYFUNCTION("""COMPUTED_VALUE"""),"PI5292Y")</f>
        <v>PI5292Y</v>
      </c>
      <c r="C828" s="186"/>
      <c r="D828" s="186" t="str">
        <f>IFERROR(__xludf.DUMMYFUNCTION("""COMPUTED_VALUE"""),"FALSO")</f>
        <v>FALSO</v>
      </c>
    </row>
    <row r="829">
      <c r="B829" s="186" t="str">
        <f>IFERROR(__xludf.DUMMYFUNCTION("""COMPUTED_VALUE"""),"PI5252Y")</f>
        <v>PI5252Y</v>
      </c>
      <c r="C829" s="186" t="str">
        <f>IFERROR(__xludf.DUMMYFUNCTION("""COMPUTED_VALUE"""),"BLOCO DE NOTAS COM LED IDEIAS BRILHANTES")</f>
        <v>BLOCO DE NOTAS COM LED IDEIAS BRILHANTES</v>
      </c>
      <c r="D829" s="186" t="str">
        <f>IFERROR(__xludf.DUMMYFUNCTION("""COMPUTED_VALUE"""),"FALSO")</f>
        <v>FALSO</v>
      </c>
    </row>
    <row r="830">
      <c r="B830" s="186" t="str">
        <f>IFERROR(__xludf.DUMMYFUNCTION("""COMPUTED_VALUE"""),"CS2495")</f>
        <v>CS2495</v>
      </c>
      <c r="C830" s="186"/>
      <c r="D830" s="186" t="str">
        <f>IFERROR(__xludf.DUMMYFUNCTION("""COMPUTED_VALUE"""),"FALSO")</f>
        <v>FALSO</v>
      </c>
    </row>
    <row r="831">
      <c r="B831" s="186" t="str">
        <f>IFERROR(__xludf.DUMMYFUNCTION("""COMPUTED_VALUE"""),"CS2060")</f>
        <v>CS2060</v>
      </c>
      <c r="C831" s="186"/>
      <c r="D831" s="186" t="str">
        <f>IFERROR(__xludf.DUMMYFUNCTION("""COMPUTED_VALUE"""),"FALSO")</f>
        <v>FALSO</v>
      </c>
    </row>
    <row r="832">
      <c r="B832" s="186" t="str">
        <f>IFERROR(__xludf.DUMMYFUNCTION("""COMPUTED_VALUE"""),"CS2061")</f>
        <v>CS2061</v>
      </c>
      <c r="C832" s="186"/>
      <c r="D832" s="186" t="str">
        <f>IFERROR(__xludf.DUMMYFUNCTION("""COMPUTED_VALUE"""),"FALSO")</f>
        <v>FALSO</v>
      </c>
    </row>
    <row r="833">
      <c r="B833" s="186" t="str">
        <f>IFERROR(__xludf.DUMMYFUNCTION("""COMPUTED_VALUE"""),"PI6674Y")</f>
        <v>PI6674Y</v>
      </c>
      <c r="C833" s="186"/>
      <c r="D833" s="186" t="str">
        <f>IFERROR(__xludf.DUMMYFUNCTION("""COMPUTED_VALUE"""),"FALSO")</f>
        <v>FALSO</v>
      </c>
    </row>
    <row r="834">
      <c r="B834" s="186" t="str">
        <f>IFERROR(__xludf.DUMMYFUNCTION("""COMPUTED_VALUE"""),"PI6770Y")</f>
        <v>PI6770Y</v>
      </c>
      <c r="C834" s="186" t="str">
        <f>IFERROR(__xludf.DUMMYFUNCTION("""COMPUTED_VALUE"""),"CASTICAL DE CERAMICA LARANJA COM VELA")</f>
        <v>CASTICAL DE CERAMICA LARANJA COM VELA</v>
      </c>
      <c r="D834" s="186" t="str">
        <f>IFERROR(__xludf.DUMMYFUNCTION("""COMPUTED_VALUE"""),"FALSO")</f>
        <v>FALSO</v>
      </c>
    </row>
    <row r="835">
      <c r="B835" s="186" t="str">
        <f>IFERROR(__xludf.DUMMYFUNCTION("""COMPUTED_VALUE"""),"PI6188Y")</f>
        <v>PI6188Y</v>
      </c>
      <c r="C835" s="186"/>
      <c r="D835" s="186" t="str">
        <f>IFERROR(__xludf.DUMMYFUNCTION("""COMPUTED_VALUE"""),"FALSO")</f>
        <v>FALSO</v>
      </c>
    </row>
    <row r="836">
      <c r="B836" s="186" t="str">
        <f>IFERROR(__xludf.DUMMYFUNCTION("""COMPUTED_VALUE"""),"PI5937Y")</f>
        <v>PI5937Y</v>
      </c>
      <c r="C836" s="186"/>
      <c r="D836" s="186" t="str">
        <f>IFERROR(__xludf.DUMMYFUNCTION("""COMPUTED_VALUE"""),"FALSO")</f>
        <v>FALSO</v>
      </c>
    </row>
    <row r="837">
      <c r="B837" s="186" t="str">
        <f>IFERROR(__xludf.DUMMYFUNCTION("""COMPUTED_VALUE"""),"PI6235Y")</f>
        <v>PI6235Y</v>
      </c>
      <c r="C837" s="186" t="str">
        <f>IFERROR(__xludf.DUMMYFUNCTION("""COMPUTED_VALUE"""),"KIT ORGANIZADOR DE MALA ORGANIZAR")</f>
        <v>KIT ORGANIZADOR DE MALA ORGANIZAR</v>
      </c>
      <c r="D837" s="186" t="str">
        <f>IFERROR(__xludf.DUMMYFUNCTION("""COMPUTED_VALUE"""),"FALSO")</f>
        <v>FALSO</v>
      </c>
    </row>
    <row r="838">
      <c r="B838" s="186" t="str">
        <f>IFERROR(__xludf.DUMMYFUNCTION("""COMPUTED_VALUE"""),"PI7385Y")</f>
        <v>PI7385Y</v>
      </c>
      <c r="C838" s="186"/>
      <c r="D838" s="186" t="str">
        <f>IFERROR(__xludf.DUMMYFUNCTION("""COMPUTED_VALUE"""),"FALSO")</f>
        <v>FALSO</v>
      </c>
    </row>
    <row r="839">
      <c r="B839" s="186" t="str">
        <f>IFERROR(__xludf.DUMMYFUNCTION("""COMPUTED_VALUE"""),"PI5127Y")</f>
        <v>PI5127Y</v>
      </c>
      <c r="C839" s="186"/>
      <c r="D839" s="186" t="str">
        <f>IFERROR(__xludf.DUMMYFUNCTION("""COMPUTED_VALUE"""),"FALSO")</f>
        <v>FALSO</v>
      </c>
    </row>
    <row r="840">
      <c r="B840" s="186" t="str">
        <f>IFERROR(__xludf.DUMMYFUNCTION("""COMPUTED_VALUE"""),"PI5172Y")</f>
        <v>PI5172Y</v>
      </c>
      <c r="C840" s="186" t="str">
        <f>IFERROR(__xludf.DUMMYFUNCTION("""COMPUTED_VALUE"""),"TENDA OUTDOOR PROTECAO SOLAR LA FLORA")</f>
        <v>TENDA OUTDOOR PROTECAO SOLAR LA FLORA</v>
      </c>
      <c r="D840" s="186" t="str">
        <f>IFERROR(__xludf.DUMMYFUNCTION("""COMPUTED_VALUE"""),"FALSO")</f>
        <v>FALSO</v>
      </c>
    </row>
    <row r="841">
      <c r="B841" s="186" t="str">
        <f>IFERROR(__xludf.DUMMYFUNCTION("""COMPUTED_VALUE"""),"CS2105")</f>
        <v>CS2105</v>
      </c>
      <c r="C841" s="186"/>
      <c r="D841" s="186" t="str">
        <f>IFERROR(__xludf.DUMMYFUNCTION("""COMPUTED_VALUE"""),"FALSO")</f>
        <v>FALSO</v>
      </c>
    </row>
    <row r="842">
      <c r="B842" s="186" t="str">
        <f>IFERROR(__xludf.DUMMYFUNCTION("""COMPUTED_VALUE"""),"CS2033")</f>
        <v>CS2033</v>
      </c>
      <c r="C842" s="186"/>
      <c r="D842" s="186" t="str">
        <f>IFERROR(__xludf.DUMMYFUNCTION("""COMPUTED_VALUE"""),"FALSO")</f>
        <v>FALSO</v>
      </c>
    </row>
    <row r="843">
      <c r="B843" s="186" t="str">
        <f>IFERROR(__xludf.DUMMYFUNCTION("""COMPUTED_VALUE"""),"PI7781Y")</f>
        <v>PI7781Y</v>
      </c>
      <c r="C843" s="186" t="str">
        <f>IFERROR(__xludf.DUMMYFUNCTION("""COMPUTED_VALUE"""),"INCORRECT CODE")</f>
        <v>INCORRECT CODE</v>
      </c>
      <c r="D843" s="186" t="str">
        <f>IFERROR(__xludf.DUMMYFUNCTION("""COMPUTED_VALUE"""),"FALSO")</f>
        <v>FALSO</v>
      </c>
    </row>
    <row r="844">
      <c r="B844" s="186" t="str">
        <f>IFERROR(__xludf.DUMMYFUNCTION("""COMPUTED_VALUE"""),"PI7793")</f>
        <v>PI7793</v>
      </c>
      <c r="C844" s="186" t="str">
        <f>IFERROR(__xludf.DUMMYFUNCTION("""COMPUTED_VALUE"""),"KIT TACAS COM TINTA BRINDAR E CRIAR")</f>
        <v>KIT TACAS COM TINTA BRINDAR E CRIAR</v>
      </c>
      <c r="D844" s="186" t="str">
        <f>IFERROR(__xludf.DUMMYFUNCTION("""COMPUTED_VALUE"""),"FALSO")</f>
        <v>FALSO</v>
      </c>
    </row>
    <row r="845">
      <c r="B845" s="186" t="str">
        <f>IFERROR(__xludf.DUMMYFUNCTION("""COMPUTED_VALUE"""),"PI5864Y")</f>
        <v>PI5864Y</v>
      </c>
      <c r="C845" s="186"/>
      <c r="D845" s="186" t="str">
        <f>IFERROR(__xludf.DUMMYFUNCTION("""COMPUTED_VALUE"""),"INMETRO Toys System 5 - Ordinance 302")</f>
        <v>INMETRO Toys System 5 - Ordinance 302</v>
      </c>
    </row>
    <row r="846">
      <c r="B846" s="186" t="str">
        <f>IFERROR(__xludf.DUMMYFUNCTION("""COMPUTED_VALUE"""),"PI7491Y")</f>
        <v>PI7491Y</v>
      </c>
      <c r="C846" s="186"/>
      <c r="D846" s="186" t="str">
        <f>IFERROR(__xludf.DUMMYFUNCTION("""COMPUTED_VALUE"""),"FALSO")</f>
        <v>FALSO</v>
      </c>
    </row>
    <row r="847">
      <c r="B847" s="186" t="str">
        <f>IFERROR(__xludf.DUMMYFUNCTION("""COMPUTED_VALUE"""),"PI7529Y")</f>
        <v>PI7529Y</v>
      </c>
      <c r="C847" s="186"/>
      <c r="D847" s="186" t="str">
        <f>IFERROR(__xludf.DUMMYFUNCTION("""COMPUTED_VALUE"""),"FALSO")</f>
        <v>FALSO</v>
      </c>
    </row>
    <row r="848">
      <c r="B848" s="186" t="str">
        <f>IFERROR(__xludf.DUMMYFUNCTION("""COMPUTED_VALUE"""),"PI7944Y")</f>
        <v>PI7944Y</v>
      </c>
      <c r="C848" s="186"/>
      <c r="D848" s="186" t="str">
        <f>IFERROR(__xludf.DUMMYFUNCTION("""COMPUTED_VALUE"""),"FALSO")</f>
        <v>FALSO</v>
      </c>
    </row>
    <row r="849">
      <c r="B849" s="186" t="str">
        <f>IFERROR(__xludf.DUMMYFUNCTION("""COMPUTED_VALUE"""),"PI5781Y")</f>
        <v>PI5781Y</v>
      </c>
      <c r="C849" s="186" t="str">
        <f>IFERROR(__xludf.DUMMYFUNCTION("""COMPUTED_VALUE"""),"PAINEL DE FOTOS CORRENTE MISTICO LUA")</f>
        <v>PAINEL DE FOTOS CORRENTE MISTICO LUA</v>
      </c>
      <c r="D849" s="186" t="str">
        <f>IFERROR(__xludf.DUMMYFUNCTION("""COMPUTED_VALUE"""),"FALSO")</f>
        <v>FALSO</v>
      </c>
    </row>
    <row r="850">
      <c r="B850" s="186" t="str">
        <f>IFERROR(__xludf.DUMMYFUNCTION("""COMPUTED_VALUE"""),"PI5431Y")</f>
        <v>PI5431Y</v>
      </c>
      <c r="C850" s="186"/>
      <c r="D850" s="186" t="str">
        <f>IFERROR(__xludf.DUMMYFUNCTION("""COMPUTED_VALUE"""),"FALSO")</f>
        <v>FALSO</v>
      </c>
    </row>
    <row r="851">
      <c r="B851" s="186" t="str">
        <f>IFERROR(__xludf.DUMMYFUNCTION("""COMPUTED_VALUE"""),"CS2204")</f>
        <v>CS2204</v>
      </c>
      <c r="C851" s="186" t="str">
        <f>IFERROR(__xludf.DUMMYFUNCTION("""COMPUTED_VALUE"""),"PANTUFA P CORACAO LADO A LADO")</f>
        <v>PANTUFA P CORACAO LADO A LADO</v>
      </c>
      <c r="D851" s="186" t="str">
        <f>IFERROR(__xludf.DUMMYFUNCTION("""COMPUTED_VALUE"""),"FALSO")</f>
        <v>FALSO</v>
      </c>
    </row>
    <row r="852">
      <c r="B852" s="186" t="str">
        <f>IFERROR(__xludf.DUMMYFUNCTION("""COMPUTED_VALUE"""),"CS2204")</f>
        <v>CS2204</v>
      </c>
      <c r="C852" s="186"/>
      <c r="D852" s="186" t="str">
        <f>IFERROR(__xludf.DUMMYFUNCTION("""COMPUTED_VALUE"""),"FALSO")</f>
        <v>FALSO</v>
      </c>
    </row>
    <row r="853">
      <c r="B853" s="186" t="str">
        <f>IFERROR(__xludf.DUMMYFUNCTION("""COMPUTED_VALUE"""),"CS2231")</f>
        <v>CS2231</v>
      </c>
      <c r="C853" s="186" t="str">
        <f>IFERROR(__xludf.DUMMYFUNCTION("""COMPUTED_VALUE"""),"PANTUFA G CORACAO LADO A LADO")</f>
        <v>PANTUFA G CORACAO LADO A LADO</v>
      </c>
      <c r="D853" s="186" t="str">
        <f>IFERROR(__xludf.DUMMYFUNCTION("""COMPUTED_VALUE"""),"FALSO")</f>
        <v>FALSO</v>
      </c>
    </row>
    <row r="854">
      <c r="B854" s="186" t="str">
        <f>IFERROR(__xludf.DUMMYFUNCTION("""COMPUTED_VALUE"""),"CS2394")</f>
        <v>CS2394</v>
      </c>
      <c r="C854" s="186"/>
      <c r="D854" s="186" t="str">
        <f>IFERROR(__xludf.DUMMYFUNCTION("""COMPUTED_VALUE"""),"FALSO")</f>
        <v>FALSO</v>
      </c>
    </row>
    <row r="855">
      <c r="B855" s="186" t="str">
        <f>IFERROR(__xludf.DUMMYFUNCTION("""COMPUTED_VALUE"""),"PI7603Y")</f>
        <v>PI7603Y</v>
      </c>
      <c r="C855" s="186" t="str">
        <f>IFERROR(__xludf.DUMMYFUNCTION("""COMPUTED_VALUE"""),"PORTA PASSAPORTE E TAG MALA PONTO CRUZ")</f>
        <v>PORTA PASSAPORTE E TAG MALA PONTO CRUZ</v>
      </c>
      <c r="D855" s="186" t="str">
        <f>IFERROR(__xludf.DUMMYFUNCTION("""COMPUTED_VALUE"""),"FALSO")</f>
        <v>FALSO</v>
      </c>
    </row>
    <row r="856">
      <c r="B856" s="186" t="str">
        <f>IFERROR(__xludf.DUMMYFUNCTION("""COMPUTED_VALUE"""),"AC2185Y")</f>
        <v>AC2185Y</v>
      </c>
      <c r="C856" s="186"/>
      <c r="D856" s="186" t="str">
        <f>IFERROR(__xludf.DUMMYFUNCTION("""COMPUTED_VALUE"""),"FALSO")</f>
        <v>FALSO</v>
      </c>
    </row>
    <row r="857">
      <c r="B857" s="186" t="str">
        <f>IFERROR(__xludf.DUMMYFUNCTION("""COMPUTED_VALUE"""),"PI7504Y")</f>
        <v>PI7504Y</v>
      </c>
      <c r="C857" s="186"/>
      <c r="D857" s="186" t="str">
        <f>IFERROR(__xludf.DUMMYFUNCTION("""COMPUTED_VALUE"""),"FALSO")</f>
        <v>FALSO</v>
      </c>
    </row>
    <row r="858">
      <c r="B858" s="186" t="str">
        <f>IFERROR(__xludf.DUMMYFUNCTION("""COMPUTED_VALUE"""),"PI7505Y")</f>
        <v>PI7505Y</v>
      </c>
      <c r="C858" s="186"/>
      <c r="D858" s="186" t="str">
        <f>IFERROR(__xludf.DUMMYFUNCTION("""COMPUTED_VALUE"""),"FALSO")</f>
        <v>FALSO</v>
      </c>
    </row>
    <row r="859">
      <c r="B859" s="186" t="str">
        <f>IFERROR(__xludf.DUMMYFUNCTION("""COMPUTED_VALUE"""),"PI7025Y")</f>
        <v>PI7025Y</v>
      </c>
      <c r="C859" s="186"/>
      <c r="D859" s="186" t="str">
        <f>IFERROR(__xludf.DUMMYFUNCTION("""COMPUTED_VALUE"""),"FALSO")</f>
        <v>FALSO</v>
      </c>
    </row>
    <row r="860">
      <c r="B860" s="186" t="str">
        <f>IFERROR(__xludf.DUMMYFUNCTION("""COMPUTED_VALUE"""),"PI5017Y")</f>
        <v>PI5017Y</v>
      </c>
      <c r="C860" s="186"/>
      <c r="D860" s="186" t="str">
        <f>IFERROR(__xludf.DUMMYFUNCTION("""COMPUTED_VALUE"""),"FALSO")</f>
        <v>FALSO</v>
      </c>
    </row>
    <row r="861">
      <c r="B861" s="186" t="str">
        <f>IFERROR(__xludf.DUMMYFUNCTION("""COMPUTED_VALUE"""),"PI6693Y")</f>
        <v>PI6693Y</v>
      </c>
      <c r="C861" s="186"/>
      <c r="D861" s="186" t="str">
        <f>IFERROR(__xludf.DUMMYFUNCTION("""COMPUTED_VALUE"""),"FALSO")</f>
        <v>FALSO</v>
      </c>
    </row>
    <row r="862">
      <c r="B862" s="186" t="str">
        <f>IFERROR(__xludf.DUMMYFUNCTION("""COMPUTED_VALUE"""),"AC2158Y")</f>
        <v>AC2158Y</v>
      </c>
      <c r="C862" s="186" t="str">
        <f>IFERROR(__xludf.DUMMYFUNCTION("""COMPUTED_VALUE"""),"AC CANETA PARA PI5037Y")</f>
        <v>AC CANETA PARA PI5037Y</v>
      </c>
      <c r="D862" s="186" t="str">
        <f>IFERROR(__xludf.DUMMYFUNCTION("""COMPUTED_VALUE"""),"FALSO")</f>
        <v>FALSO</v>
      </c>
    </row>
    <row r="863">
      <c r="B863" s="186" t="str">
        <f>IFERROR(__xludf.DUMMYFUNCTION("""COMPUTED_VALUE"""),"PI5072Y")</f>
        <v>PI5072Y</v>
      </c>
      <c r="C863" s="186"/>
      <c r="D863" s="186" t="str">
        <f>IFERROR(__xludf.DUMMYFUNCTION("""COMPUTED_VALUE"""),"FALSO")</f>
        <v>FALSO</v>
      </c>
    </row>
    <row r="864">
      <c r="B864" s="186" t="str">
        <f>IFERROR(__xludf.DUMMYFUNCTION("""COMPUTED_VALUE"""),"PI7220Y")</f>
        <v>PI7220Y</v>
      </c>
      <c r="C864" s="186"/>
      <c r="D864" s="186" t="str">
        <f>IFERROR(__xludf.DUMMYFUNCTION("""COMPUTED_VALUE"""),"FALSO")</f>
        <v>FALSO</v>
      </c>
    </row>
    <row r="865">
      <c r="B865" s="186" t="str">
        <f>IFERROR(__xludf.DUMMYFUNCTION("""COMPUTED_VALUE"""),"PI5504Y")</f>
        <v>PI5504Y</v>
      </c>
      <c r="C865" s="186"/>
      <c r="D865" s="186" t="str">
        <f>IFERROR(__xludf.DUMMYFUNCTION("""COMPUTED_VALUE"""),"FALSO")</f>
        <v>FALSO</v>
      </c>
    </row>
    <row r="866">
      <c r="B866" s="186" t="str">
        <f>IFERROR(__xludf.DUMMYFUNCTION("""COMPUTED_VALUE"""),"PI6962Y")</f>
        <v>PI6962Y</v>
      </c>
      <c r="C866" s="186"/>
      <c r="D866" s="186" t="str">
        <f>IFERROR(__xludf.DUMMYFUNCTION("""COMPUTED_VALUE"""),"FALSO")</f>
        <v>FALSO</v>
      </c>
    </row>
    <row r="867">
      <c r="B867" s="186" t="str">
        <f>IFERROR(__xludf.DUMMYFUNCTION("""COMPUTED_VALUE"""),"PI7510Y")</f>
        <v>PI7510Y</v>
      </c>
      <c r="C867" s="186"/>
      <c r="D867" s="186" t="str">
        <f>IFERROR(__xludf.DUMMYFUNCTION("""COMPUTED_VALUE"""),"FALSO")</f>
        <v>FALSO</v>
      </c>
    </row>
    <row r="868">
      <c r="B868" s="186" t="str">
        <f>IFERROR(__xludf.DUMMYFUNCTION("""COMPUTED_VALUE"""),"PI5250Y")</f>
        <v>PI5250Y</v>
      </c>
      <c r="C868" s="186" t="str">
        <f>IFERROR(__xludf.DUMMYFUNCTION("""COMPUTED_VALUE"""),"CAMA COLCHONETE PET HP PROFETA DIARIO")</f>
        <v>CAMA COLCHONETE PET HP PROFETA DIARIO</v>
      </c>
      <c r="D868" s="186" t="str">
        <f>IFERROR(__xludf.DUMMYFUNCTION("""COMPUTED_VALUE"""),"FALSO")</f>
        <v>FALSO</v>
      </c>
    </row>
    <row r="869">
      <c r="B869" s="186" t="str">
        <f>IFERROR(__xludf.DUMMYFUNCTION("""COMPUTED_VALUE"""),"PI6170Y")</f>
        <v>PI6170Y</v>
      </c>
      <c r="C869" s="186"/>
      <c r="D869" s="186" t="str">
        <f>IFERROR(__xludf.DUMMYFUNCTION("""COMPUTED_VALUE"""),"FALSO")</f>
        <v>FALSO</v>
      </c>
    </row>
    <row r="870">
      <c r="B870" s="186" t="str">
        <f>IFERROR(__xludf.DUMMYFUNCTION("""COMPUTED_VALUE"""),"PI6286Y")</f>
        <v>PI6286Y</v>
      </c>
      <c r="C870" s="186"/>
      <c r="D870" s="186" t="str">
        <f>IFERROR(__xludf.DUMMYFUNCTION("""COMPUTED_VALUE"""),"FALSO")</f>
        <v>FALSO</v>
      </c>
    </row>
    <row r="871">
      <c r="B871" s="186" t="str">
        <f>IFERROR(__xludf.DUMMYFUNCTION("""COMPUTED_VALUE"""),"PI5240Y")</f>
        <v>PI5240Y</v>
      </c>
      <c r="C871" s="186"/>
      <c r="D871" s="186" t="str">
        <f>IFERROR(__xludf.DUMMYFUNCTION("""COMPUTED_VALUE"""),"FALSO")</f>
        <v>FALSO</v>
      </c>
    </row>
    <row r="872">
      <c r="B872" s="186" t="str">
        <f>IFERROR(__xludf.DUMMYFUNCTION("""COMPUTED_VALUE"""),"PI5875Y")</f>
        <v>PI5875Y</v>
      </c>
      <c r="C872" s="186" t="str">
        <f>IFERROR(__xludf.DUMMYFUNCTION("""COMPUTED_VALUE"""),"ALBUM DE FOTOS PARECE QUE FOI ONTEM")</f>
        <v>ALBUM DE FOTOS PARECE QUE FOI ONTEM</v>
      </c>
      <c r="D872" s="186" t="str">
        <f>IFERROR(__xludf.DUMMYFUNCTION("""COMPUTED_VALUE"""),"FALSO")</f>
        <v>FALSO</v>
      </c>
    </row>
    <row r="873">
      <c r="B873" s="186" t="str">
        <f>IFERROR(__xludf.DUMMYFUNCTION("""COMPUTED_VALUE"""),"PI5875Y")</f>
        <v>PI5875Y</v>
      </c>
      <c r="C873" s="186" t="str">
        <f>IFERROR(__xludf.DUMMYFUNCTION("""COMPUTED_VALUE"""),"ALBUM DE FOTOS PARECE QUE FOI ONTEM")</f>
        <v>ALBUM DE FOTOS PARECE QUE FOI ONTEM</v>
      </c>
      <c r="D873" s="186" t="str">
        <f>IFERROR(__xludf.DUMMYFUNCTION("""COMPUTED_VALUE"""),"FALSO")</f>
        <v>FALSO</v>
      </c>
    </row>
    <row r="874">
      <c r="B874" s="186" t="str">
        <f>IFERROR(__xludf.DUMMYFUNCTION("""COMPUTED_VALUE"""),"PI7666Y")</f>
        <v>PI7666Y</v>
      </c>
      <c r="C874" s="186" t="str">
        <f>IFERROR(__xludf.DUMMYFUNCTION("""COMPUTED_VALUE"""),"ALBUM DE FOTOS POSTAL AVENTURAS")</f>
        <v>ALBUM DE FOTOS POSTAL AVENTURAS</v>
      </c>
      <c r="D874" s="186" t="str">
        <f>IFERROR(__xludf.DUMMYFUNCTION("""COMPUTED_VALUE"""),"FALSO")</f>
        <v>FALSO</v>
      </c>
    </row>
    <row r="875">
      <c r="B875" s="186" t="str">
        <f>IFERROR(__xludf.DUMMYFUNCTION("""COMPUTED_VALUE"""),"PI6996Y")</f>
        <v>PI6996Y</v>
      </c>
      <c r="C875" s="186"/>
      <c r="D875" s="186" t="str">
        <f>IFERROR(__xludf.DUMMYFUNCTION("""COMPUTED_VALUE"""),"FALSO")</f>
        <v>FALSO</v>
      </c>
    </row>
    <row r="876">
      <c r="B876" s="186" t="str">
        <f>IFERROR(__xludf.DUMMYFUNCTION("""COMPUTED_VALUE"""),"PI5808Y")</f>
        <v>PI5808Y</v>
      </c>
      <c r="C876" s="186" t="str">
        <f>IFERROR(__xludf.DUMMYFUNCTION("""COMPUTED_VALUE"""),"PORTA RETRATO BEBE 1 ANO BEBEGRAM")</f>
        <v>PORTA RETRATO BEBE 1 ANO BEBEGRAM</v>
      </c>
      <c r="D876" s="186" t="str">
        <f>IFERROR(__xludf.DUMMYFUNCTION("""COMPUTED_VALUE"""),"FALSO")</f>
        <v>FALSO</v>
      </c>
    </row>
    <row r="877">
      <c r="B877" s="186" t="str">
        <f>IFERROR(__xludf.DUMMYFUNCTION("""COMPUTED_VALUE"""),"PI5933Y")</f>
        <v>PI5933Y</v>
      </c>
      <c r="C877" s="186"/>
      <c r="D877" s="186" t="str">
        <f>IFERROR(__xludf.DUMMYFUNCTION("""COMPUTED_VALUE"""),"FALSO")</f>
        <v>FALSO</v>
      </c>
    </row>
    <row r="878">
      <c r="B878" s="186" t="str">
        <f>IFERROR(__xludf.DUMMYFUNCTION("""COMPUTED_VALUE"""),"PI5860Y")</f>
        <v>PI5860Y</v>
      </c>
      <c r="C878" s="186"/>
      <c r="D878" s="186" t="str">
        <f>IFERROR(__xludf.DUMMYFUNCTION("""COMPUTED_VALUE"""),"FALSO")</f>
        <v>FALSO</v>
      </c>
    </row>
    <row r="879">
      <c r="B879" s="186" t="str">
        <f>IFERROR(__xludf.DUMMYFUNCTION("""COMPUTED_VALUE"""),"PI5897Y")</f>
        <v>PI5897Y</v>
      </c>
      <c r="C879" s="186"/>
      <c r="D879" s="186" t="str">
        <f>IFERROR(__xludf.DUMMYFUNCTION("""COMPUTED_VALUE"""),"FALSO")</f>
        <v>FALSO</v>
      </c>
    </row>
    <row r="880">
      <c r="B880" s="186" t="str">
        <f>IFERROR(__xludf.DUMMYFUNCTION("""COMPUTED_VALUE"""),"PI5897Y")</f>
        <v>PI5897Y</v>
      </c>
      <c r="C880" s="186"/>
      <c r="D880" s="186" t="str">
        <f>IFERROR(__xludf.DUMMYFUNCTION("""COMPUTED_VALUE"""),"FALSO")</f>
        <v>FALSO</v>
      </c>
    </row>
    <row r="881">
      <c r="B881" s="186" t="str">
        <f>IFERROR(__xludf.DUMMYFUNCTION("""COMPUTED_VALUE"""),"PI3776")</f>
        <v>PI3776</v>
      </c>
      <c r="C881" s="186" t="str">
        <f>IFERROR(__xludf.DUMMYFUNCTION("""COMPUTED_VALUE"""),"ESPELHO PORTA RETRATO REFLITO")</f>
        <v>ESPELHO PORTA RETRATO REFLITO</v>
      </c>
      <c r="D881" s="186" t="str">
        <f>IFERROR(__xludf.DUMMYFUNCTION("""COMPUTED_VALUE"""),"FALSO")</f>
        <v>FALSO</v>
      </c>
    </row>
    <row r="882">
      <c r="B882" s="186" t="str">
        <f>IFERROR(__xludf.DUMMYFUNCTION("""COMPUTED_VALUE"""),"PI3292Y")</f>
        <v>PI3292Y</v>
      </c>
      <c r="C882" s="186" t="str">
        <f>IFERROR(__xludf.DUMMYFUNCTION("""COMPUTED_VALUE"""),"PORTA RETRATO MUITO AMOR DESDE")</f>
        <v>PORTA RETRATO MUITO AMOR DESDE</v>
      </c>
      <c r="D882" s="186" t="str">
        <f>IFERROR(__xludf.DUMMYFUNCTION("""COMPUTED_VALUE"""),"FALSO")</f>
        <v>FALSO</v>
      </c>
    </row>
    <row r="883">
      <c r="B883" s="186" t="str">
        <f>IFERROR(__xludf.DUMMYFUNCTION("""COMPUTED_VALUE"""),"PI5782Y")</f>
        <v>PI5782Y</v>
      </c>
      <c r="C883" s="186" t="str">
        <f>IFERROR(__xludf.DUMMYFUNCTION("""COMPUTED_VALUE"""),"PORTA RETRATO MISTICO MEMORAVEL")</f>
        <v>PORTA RETRATO MISTICO MEMORAVEL</v>
      </c>
      <c r="D883" s="186" t="str">
        <f>IFERROR(__xludf.DUMMYFUNCTION("""COMPUTED_VALUE"""),"FALSO")</f>
        <v>FALSO</v>
      </c>
    </row>
    <row r="884">
      <c r="B884" s="186" t="str">
        <f>IFERROR(__xludf.DUMMYFUNCTION("""COMPUTED_VALUE"""),"PI5908Y")</f>
        <v>PI5908Y</v>
      </c>
      <c r="C884" s="186"/>
      <c r="D884" s="186" t="str">
        <f>IFERROR(__xludf.DUMMYFUNCTION("""COMPUTED_VALUE"""),"FALSO")</f>
        <v>FALSO</v>
      </c>
    </row>
    <row r="885">
      <c r="B885" s="186" t="str">
        <f>IFERROR(__xludf.DUMMYFUNCTION("""COMPUTED_VALUE"""),"PI5908Y")</f>
        <v>PI5908Y</v>
      </c>
      <c r="C885" s="186"/>
      <c r="D885" s="186" t="str">
        <f>IFERROR(__xludf.DUMMYFUNCTION("""COMPUTED_VALUE"""),"FALSO")</f>
        <v>FALSO</v>
      </c>
    </row>
    <row r="886">
      <c r="B886" s="186" t="str">
        <f>IFERROR(__xludf.DUMMYFUNCTION("""COMPUTED_VALUE"""),"PI6223Y")</f>
        <v>PI6223Y</v>
      </c>
      <c r="C886" s="186" t="str">
        <f>IFERROR(__xludf.DUMMYFUNCTION("""COMPUTED_VALUE"""),"PORTA-RETRATO GATINHO SORRISO")</f>
        <v>PORTA-RETRATO GATINHO SORRISO</v>
      </c>
      <c r="D886" s="186" t="str">
        <f>IFERROR(__xludf.DUMMYFUNCTION("""COMPUTED_VALUE"""),"FALSO")</f>
        <v>FALSO</v>
      </c>
    </row>
    <row r="887">
      <c r="B887" s="186" t="str">
        <f>IFERROR(__xludf.DUMMYFUNCTION("""COMPUTED_VALUE"""),"PI5896Y")</f>
        <v>PI5896Y</v>
      </c>
      <c r="C887" s="186"/>
      <c r="D887" s="186" t="str">
        <f>IFERROR(__xludf.DUMMYFUNCTION("""COMPUTED_VALUE"""),"FALSO")</f>
        <v>FALSO</v>
      </c>
    </row>
    <row r="888">
      <c r="B888" s="186" t="str">
        <f>IFERROR(__xludf.DUMMYFUNCTION("""COMPUTED_VALUE"""),"PI5895Y")</f>
        <v>PI5895Y</v>
      </c>
      <c r="C888" s="186"/>
      <c r="D888" s="186" t="str">
        <f>IFERROR(__xludf.DUMMYFUNCTION("""COMPUTED_VALUE"""),"FALSO")</f>
        <v>FALSO</v>
      </c>
    </row>
    <row r="889">
      <c r="B889" s="186" t="str">
        <f>IFERROR(__xludf.DUMMYFUNCTION("""COMPUTED_VALUE"""),"PI5895Y")</f>
        <v>PI5895Y</v>
      </c>
      <c r="C889" s="186"/>
      <c r="D889" s="186" t="str">
        <f>IFERROR(__xludf.DUMMYFUNCTION("""COMPUTED_VALUE"""),"FALSO")</f>
        <v>FALSO</v>
      </c>
    </row>
    <row r="890">
      <c r="B890" s="186" t="str">
        <f>IFERROR(__xludf.DUMMYFUNCTION("""COMPUTED_VALUE"""),"PI5898Y")</f>
        <v>PI5898Y</v>
      </c>
      <c r="C890" s="186"/>
      <c r="D890" s="186" t="str">
        <f>IFERROR(__xludf.DUMMYFUNCTION("""COMPUTED_VALUE"""),"FALSO")</f>
        <v>FALSO</v>
      </c>
    </row>
    <row r="891">
      <c r="B891" s="186" t="str">
        <f>IFERROR(__xludf.DUMMYFUNCTION("""COMPUTED_VALUE"""),"PI5898Y")</f>
        <v>PI5898Y</v>
      </c>
      <c r="C891" s="186"/>
      <c r="D891" s="186" t="str">
        <f>IFERROR(__xludf.DUMMYFUNCTION("""COMPUTED_VALUE"""),"FALSO")</f>
        <v>FALSO</v>
      </c>
    </row>
    <row r="892">
      <c r="B892" s="186" t="str">
        <f>IFERROR(__xludf.DUMMYFUNCTION("""COMPUTED_VALUE"""),"PI5086Y")</f>
        <v>PI5086Y</v>
      </c>
      <c r="C892" s="186" t="str">
        <f>IFERROR(__xludf.DUMMYFUNCTION("""COMPUTED_VALUE"""),"KIT CESTA DE PICNIC E ACESSORIOS LIMAO")</f>
        <v>KIT CESTA DE PICNIC E ACESSORIOS LIMAO</v>
      </c>
      <c r="D892" s="186" t="str">
        <f>IFERROR(__xludf.DUMMYFUNCTION("""COMPUTED_VALUE"""),"FALSO")</f>
        <v>FALSO</v>
      </c>
    </row>
    <row r="893">
      <c r="B893" s="186" t="str">
        <f>IFERROR(__xludf.DUMMYFUNCTION("""COMPUTED_VALUE"""),"PI6225Y")</f>
        <v>PI6225Y</v>
      </c>
      <c r="C893" s="186"/>
      <c r="D893" s="186" t="str">
        <f>IFERROR(__xludf.DUMMYFUNCTION("""COMPUTED_VALUE"""),"FALSO")</f>
        <v>FALSO</v>
      </c>
    </row>
    <row r="894">
      <c r="B894" s="186" t="str">
        <f>IFERROR(__xludf.DUMMYFUNCTION("""COMPUTED_VALUE"""),"PI6229Y")</f>
        <v>PI6229Y</v>
      </c>
      <c r="C894" s="186"/>
      <c r="D894" s="186" t="str">
        <f>IFERROR(__xludf.DUMMYFUNCTION("""COMPUTED_VALUE"""),"FALSO")</f>
        <v>FALSO</v>
      </c>
    </row>
    <row r="895">
      <c r="B895" s="186" t="str">
        <f>IFERROR(__xludf.DUMMYFUNCTION("""COMPUTED_VALUE"""),"PI5531Y")</f>
        <v>PI5531Y</v>
      </c>
      <c r="C895" s="186"/>
      <c r="D895" s="186" t="str">
        <f>IFERROR(__xludf.DUMMYFUNCTION("""COMPUTED_VALUE"""),"FALSO")</f>
        <v>FALSO</v>
      </c>
    </row>
    <row r="896">
      <c r="B896" s="186" t="str">
        <f>IFERROR(__xludf.DUMMYFUNCTION("""COMPUTED_VALUE"""),"PI5821Y")</f>
        <v>PI5821Y</v>
      </c>
      <c r="C896" s="186"/>
      <c r="D896" s="186" t="str">
        <f>IFERROR(__xludf.DUMMYFUNCTION("""COMPUTED_VALUE"""),"FALSO")</f>
        <v>FALSO</v>
      </c>
    </row>
    <row r="897">
      <c r="B897" s="186" t="str">
        <f>IFERROR(__xludf.DUMMYFUNCTION("""COMPUTED_VALUE"""),"PI5268Y")</f>
        <v>PI5268Y</v>
      </c>
      <c r="C897" s="186"/>
      <c r="D897" s="186" t="str">
        <f>IFERROR(__xludf.DUMMYFUNCTION("""COMPUTED_VALUE"""),"FALSO")</f>
        <v>FALSO</v>
      </c>
    </row>
    <row r="898">
      <c r="B898" s="186" t="str">
        <f>IFERROR(__xludf.DUMMYFUNCTION("""COMPUTED_VALUE"""),"PI5384Y")</f>
        <v>PI5384Y</v>
      </c>
      <c r="C898" s="186"/>
      <c r="D898" s="186" t="str">
        <f>IFERROR(__xludf.DUMMYFUNCTION("""COMPUTED_VALUE"""),"FALSO")</f>
        <v>FALSO</v>
      </c>
    </row>
    <row r="899">
      <c r="B899" s="186" t="str">
        <f>IFERROR(__xludf.DUMMYFUNCTION("""COMPUTED_VALUE"""),"PI7268Y")</f>
        <v>PI7268Y</v>
      </c>
      <c r="C899" s="186"/>
      <c r="D899" s="186" t="str">
        <f>IFERROR(__xludf.DUMMYFUNCTION("""COMPUTED_VALUE"""),"FALSO")</f>
        <v>FALSO</v>
      </c>
    </row>
    <row r="900">
      <c r="B900" s="186" t="str">
        <f>IFERROR(__xludf.DUMMYFUNCTION("""COMPUTED_VALUE"""),"PI7276Y")</f>
        <v>PI7276Y</v>
      </c>
      <c r="C900" s="186"/>
      <c r="D900" s="186" t="str">
        <f>IFERROR(__xludf.DUMMYFUNCTION("""COMPUTED_VALUE"""),"FALSO")</f>
        <v>FALSO</v>
      </c>
    </row>
    <row r="901">
      <c r="B901" s="186" t="str">
        <f>IFERROR(__xludf.DUMMYFUNCTION("""COMPUTED_VALUE"""),"PI7277Y")</f>
        <v>PI7277Y</v>
      </c>
      <c r="C901" s="186" t="str">
        <f>IFERROR(__xludf.DUMMYFUNCTION("""COMPUTED_VALUE"""),"PORTA RETRATO CAIXA MAO DE BEBE")</f>
        <v>PORTA RETRATO CAIXA MAO DE BEBE</v>
      </c>
      <c r="D901" s="186" t="str">
        <f>IFERROR(__xludf.DUMMYFUNCTION("""COMPUTED_VALUE"""),"FALSO")</f>
        <v>FALSO</v>
      </c>
    </row>
    <row r="902">
      <c r="B902" s="186" t="str">
        <f>IFERROR(__xludf.DUMMYFUNCTION("""COMPUTED_VALUE"""),"PI7744Y")</f>
        <v>PI7744Y</v>
      </c>
      <c r="C902" s="186"/>
      <c r="D902" s="186" t="str">
        <f>IFERROR(__xludf.DUMMYFUNCTION("""COMPUTED_VALUE"""),"FALSO")</f>
        <v>FALSO</v>
      </c>
    </row>
    <row r="903">
      <c r="B903" s="186" t="str">
        <f>IFERROR(__xludf.DUMMYFUNCTION("""COMPUTED_VALUE"""),"PI7610Y")</f>
        <v>PI7610Y</v>
      </c>
      <c r="C903" s="186" t="str">
        <f>IFERROR(__xludf.DUMMYFUNCTION("""COMPUTED_VALUE"""),"PORTA RETRATO HP POMO DE OURO")</f>
        <v>PORTA RETRATO HP POMO DE OURO</v>
      </c>
      <c r="D903" s="186" t="str">
        <f>IFERROR(__xludf.DUMMYFUNCTION("""COMPUTED_VALUE"""),"FALSO")</f>
        <v>FALSO</v>
      </c>
    </row>
    <row r="904">
      <c r="B904" s="186" t="str">
        <f>IFERROR(__xludf.DUMMYFUNCTION("""COMPUTED_VALUE"""),"PI7443Y")</f>
        <v>PI7443Y</v>
      </c>
      <c r="C904" s="186" t="str">
        <f>IFERROR(__xludf.DUMMYFUNCTION("""COMPUTED_VALUE"""),"PORTA RETRATO ROLETAS NOSSOS RECORDES")</f>
        <v>PORTA RETRATO ROLETAS NOSSOS RECORDES</v>
      </c>
      <c r="D904" s="186" t="str">
        <f>IFERROR(__xludf.DUMMYFUNCTION("""COMPUTED_VALUE"""),"FALSO")</f>
        <v>FALSO</v>
      </c>
    </row>
    <row r="905">
      <c r="B905" s="186" t="str">
        <f>IFERROR(__xludf.DUMMYFUNCTION("""COMPUTED_VALUE"""),"PI7344Y")</f>
        <v>PI7344Y</v>
      </c>
      <c r="C905" s="186" t="str">
        <f>IFERROR(__xludf.DUMMYFUNCTION("""COMPUTED_VALUE"""),"PORTA RETRATO CAIXA CAPSULA DO TEMPO")</f>
        <v>PORTA RETRATO CAIXA CAPSULA DO TEMPO</v>
      </c>
      <c r="D905" s="186" t="str">
        <f>IFERROR(__xludf.DUMMYFUNCTION("""COMPUTED_VALUE"""),"FALSO")</f>
        <v>FALSO</v>
      </c>
    </row>
    <row r="906">
      <c r="B906" s="186" t="str">
        <f>IFERROR(__xludf.DUMMYFUNCTION("""COMPUTED_VALUE"""),"PI7444Y")</f>
        <v>PI7444Y</v>
      </c>
      <c r="C906" s="186"/>
      <c r="D906" s="186" t="str">
        <f>IFERROR(__xludf.DUMMYFUNCTION("""COMPUTED_VALUE"""),"FALSO")</f>
        <v>FALSO</v>
      </c>
    </row>
    <row r="907">
      <c r="B907" s="186" t="str">
        <f>IFERROR(__xludf.DUMMYFUNCTION("""COMPUTED_VALUE"""),"PI7436Y")</f>
        <v>PI7436Y</v>
      </c>
      <c r="C907" s="186"/>
      <c r="D907" s="186" t="str">
        <f>IFERROR(__xludf.DUMMYFUNCTION("""COMPUTED_VALUE"""),"FALSO")</f>
        <v>FALSO</v>
      </c>
    </row>
    <row r="908">
      <c r="B908" s="186" t="str">
        <f>IFERROR(__xludf.DUMMYFUNCTION("""COMPUTED_VALUE"""),"PI7257Y")</f>
        <v>PI7257Y</v>
      </c>
      <c r="C908" s="186"/>
      <c r="D908" s="186" t="str">
        <f>IFERROR(__xludf.DUMMYFUNCTION("""COMPUTED_VALUE"""),"FALSO")</f>
        <v>FALSO</v>
      </c>
    </row>
    <row r="909">
      <c r="B909" s="186" t="str">
        <f>IFERROR(__xludf.DUMMYFUNCTION("""COMPUTED_VALUE"""),"CS2502")</f>
        <v>CS2502</v>
      </c>
      <c r="C909" s="186"/>
      <c r="D909" s="186" t="str">
        <f>IFERROR(__xludf.DUMMYFUNCTION("""COMPUTED_VALUE"""),"FALSO")</f>
        <v>FALSO</v>
      </c>
    </row>
    <row r="910">
      <c r="B910" s="186" t="str">
        <f>IFERROR(__xludf.DUMMYFUNCTION("""COMPUTED_VALUE"""),"CS2425")</f>
        <v>CS2425</v>
      </c>
      <c r="C910" s="186"/>
      <c r="D910" s="186" t="str">
        <f>IFERROR(__xludf.DUMMYFUNCTION("""COMPUTED_VALUE"""),"FALSO")</f>
        <v>FALSO</v>
      </c>
    </row>
    <row r="911">
      <c r="B911" s="186" t="str">
        <f>IFERROR(__xludf.DUMMYFUNCTION("""COMPUTED_VALUE"""),"CS2426")</f>
        <v>CS2426</v>
      </c>
      <c r="C911" s="186"/>
      <c r="D911" s="186" t="str">
        <f>IFERROR(__xludf.DUMMYFUNCTION("""COMPUTED_VALUE"""),"FALSO")</f>
        <v>FALSO</v>
      </c>
    </row>
    <row r="912">
      <c r="B912" s="186" t="str">
        <f>IFERROR(__xludf.DUMMYFUNCTION("""COMPUTED_VALUE"""),"CS2489")</f>
        <v>CS2489</v>
      </c>
      <c r="C912" s="186"/>
      <c r="D912" s="186" t="str">
        <f>IFERROR(__xludf.DUMMYFUNCTION("""COMPUTED_VALUE"""),"FALSO")</f>
        <v>FALSO</v>
      </c>
    </row>
    <row r="913">
      <c r="B913" s="186" t="str">
        <f>IFERROR(__xludf.DUMMYFUNCTION("""COMPUTED_VALUE"""),"CS2488")</f>
        <v>CS2488</v>
      </c>
      <c r="C913" s="186"/>
      <c r="D913" s="186" t="str">
        <f>IFERROR(__xludf.DUMMYFUNCTION("""COMPUTED_VALUE"""),"FALSO")</f>
        <v>FALSO</v>
      </c>
    </row>
    <row r="914">
      <c r="B914" s="186" t="str">
        <f>IFERROR(__xludf.DUMMYFUNCTION("""COMPUTED_VALUE"""),"CS2487")</f>
        <v>CS2487</v>
      </c>
      <c r="C914" s="186"/>
      <c r="D914" s="186" t="str">
        <f>IFERROR(__xludf.DUMMYFUNCTION("""COMPUTED_VALUE"""),"FALSO")</f>
        <v>FALSO</v>
      </c>
    </row>
    <row r="915">
      <c r="B915" s="186" t="str">
        <f>IFERROR(__xludf.DUMMYFUNCTION("""COMPUTED_VALUE"""),"CS2494")</f>
        <v>CS2494</v>
      </c>
      <c r="C915" s="186"/>
      <c r="D915" s="186" t="str">
        <f>IFERROR(__xludf.DUMMYFUNCTION("""COMPUTED_VALUE"""),"FALSO")</f>
        <v>FALSO</v>
      </c>
    </row>
    <row r="916">
      <c r="B916" s="186" t="str">
        <f>IFERROR(__xludf.DUMMYFUNCTION("""COMPUTED_VALUE"""),"CS2486")</f>
        <v>CS2486</v>
      </c>
      <c r="C916" s="186"/>
      <c r="D916" s="186" t="str">
        <f>IFERROR(__xludf.DUMMYFUNCTION("""COMPUTED_VALUE"""),"FALSO")</f>
        <v>FALSO</v>
      </c>
    </row>
    <row r="917">
      <c r="B917" s="186" t="str">
        <f>IFERROR(__xludf.DUMMYFUNCTION("""COMPUTED_VALUE"""),"CS2493")</f>
        <v>CS2493</v>
      </c>
      <c r="C917" s="186"/>
      <c r="D917" s="186" t="str">
        <f>IFERROR(__xludf.DUMMYFUNCTION("""COMPUTED_VALUE"""),"FALSO")</f>
        <v>FALSO</v>
      </c>
    </row>
    <row r="918">
      <c r="B918" s="186" t="str">
        <f>IFERROR(__xludf.DUMMYFUNCTION("""COMPUTED_VALUE"""),"CS2492")</f>
        <v>CS2492</v>
      </c>
      <c r="C918" s="186"/>
      <c r="D918" s="186" t="str">
        <f>IFERROR(__xludf.DUMMYFUNCTION("""COMPUTED_VALUE"""),"FALSO")</f>
        <v>FALSO</v>
      </c>
    </row>
    <row r="919">
      <c r="B919" s="186" t="str">
        <f>IFERROR(__xludf.DUMMYFUNCTION("""COMPUTED_VALUE"""),"CS2491")</f>
        <v>CS2491</v>
      </c>
      <c r="C919" s="186"/>
      <c r="D919" s="186" t="str">
        <f>IFERROR(__xludf.DUMMYFUNCTION("""COMPUTED_VALUE"""),"FALSO")</f>
        <v>FALSO</v>
      </c>
    </row>
    <row r="920">
      <c r="B920" s="186" t="str">
        <f>IFERROR(__xludf.DUMMYFUNCTION("""COMPUTED_VALUE"""),"CS2490")</f>
        <v>CS2490</v>
      </c>
      <c r="C920" s="186"/>
      <c r="D920" s="186" t="str">
        <f>IFERROR(__xludf.DUMMYFUNCTION("""COMPUTED_VALUE"""),"FALSO")</f>
        <v>FALSO</v>
      </c>
    </row>
    <row r="921">
      <c r="B921" s="186" t="str">
        <f>IFERROR(__xludf.DUMMYFUNCTION("""COMPUTED_VALUE"""),"CS2427")</f>
        <v>CS2427</v>
      </c>
      <c r="C921" s="186"/>
      <c r="D921" s="186" t="str">
        <f>IFERROR(__xludf.DUMMYFUNCTION("""COMPUTED_VALUE"""),"FALSO")</f>
        <v>FALSO</v>
      </c>
    </row>
    <row r="922">
      <c r="B922" s="186" t="str">
        <f>IFERROR(__xludf.DUMMYFUNCTION("""COMPUTED_VALUE"""),"CS2428")</f>
        <v>CS2428</v>
      </c>
      <c r="C922" s="186"/>
      <c r="D922" s="186" t="str">
        <f>IFERROR(__xludf.DUMMYFUNCTION("""COMPUTED_VALUE"""),"FALSO")</f>
        <v>FALSO</v>
      </c>
    </row>
    <row r="923">
      <c r="B923" s="186" t="str">
        <f>IFERROR(__xludf.DUMMYFUNCTION("""COMPUTED_VALUE"""),"PI5262Y")</f>
        <v>PI5262Y</v>
      </c>
      <c r="C923" s="186"/>
      <c r="D923" s="186" t="str">
        <f>IFERROR(__xludf.DUMMYFUNCTION("""COMPUTED_VALUE"""),"FALSO")</f>
        <v>FALSO</v>
      </c>
    </row>
    <row r="924">
      <c r="B924" s="186" t="str">
        <f>IFERROR(__xludf.DUMMYFUNCTION("""COMPUTED_VALUE"""),"PI7442Y")</f>
        <v>PI7442Y</v>
      </c>
      <c r="C924" s="186"/>
      <c r="D924" s="186" t="str">
        <f>IFERROR(__xludf.DUMMYFUNCTION("""COMPUTED_VALUE"""),"FALSO")</f>
        <v>FALSO</v>
      </c>
    </row>
    <row r="925">
      <c r="B925" s="186" t="str">
        <f>IFERROR(__xludf.DUMMYFUNCTION("""COMPUTED_VALUE"""),"PI7449Y")</f>
        <v>PI7449Y</v>
      </c>
      <c r="C925" s="186"/>
      <c r="D925" s="186" t="str">
        <f>IFERROR(__xludf.DUMMYFUNCTION("""COMPUTED_VALUE"""),"FALSO")</f>
        <v>FALSO</v>
      </c>
    </row>
    <row r="926">
      <c r="B926" s="186" t="str">
        <f>IFERROR(__xludf.DUMMYFUNCTION("""COMPUTED_VALUE"""),"PI6014Y")</f>
        <v>PI6014Y</v>
      </c>
      <c r="C926" s="186" t="str">
        <f>IFERROR(__xludf.DUMMYFUNCTION("""COMPUTED_VALUE"""),"ALMOFADA COM SOM MANDRAGORA HP")</f>
        <v>ALMOFADA COM SOM MANDRAGORA HP</v>
      </c>
      <c r="D926" s="186" t="str">
        <f>IFERROR(__xludf.DUMMYFUNCTION("""COMPUTED_VALUE"""),"INMETRO Toys System 5 - Ordinance 302")</f>
        <v>INMETRO Toys System 5 - Ordinance 302</v>
      </c>
    </row>
    <row r="927">
      <c r="B927" s="186" t="str">
        <f>IFERROR(__xludf.DUMMYFUNCTION("""COMPUTED_VALUE"""),"PI6014Y")</f>
        <v>PI6014Y</v>
      </c>
      <c r="C927" s="186" t="str">
        <f>IFERROR(__xludf.DUMMYFUNCTION("""COMPUTED_VALUE"""),"ALMOFADA COM SOM MANDRAGORA HP")</f>
        <v>ALMOFADA COM SOM MANDRAGORA HP</v>
      </c>
      <c r="D927" s="186" t="str">
        <f>IFERROR(__xludf.DUMMYFUNCTION("""COMPUTED_VALUE"""),"INMETRO Toys System 5 - Ordinance 302")</f>
        <v>INMETRO Toys System 5 - Ordinance 302</v>
      </c>
    </row>
    <row r="928">
      <c r="B928" s="186" t="str">
        <f>IFERROR(__xludf.DUMMYFUNCTION("""COMPUTED_VALUE"""),"PI5454Y")</f>
        <v>PI5454Y</v>
      </c>
      <c r="C928" s="186"/>
      <c r="D928" s="186" t="str">
        <f>IFERROR(__xludf.DUMMYFUNCTION("""COMPUTED_VALUE"""),"FALSO")</f>
        <v>FALSO</v>
      </c>
    </row>
    <row r="929">
      <c r="B929" s="186" t="str">
        <f>IFERROR(__xludf.DUMMYFUNCTION("""COMPUTED_VALUE"""),"PI6789Y")</f>
        <v>PI6789Y</v>
      </c>
      <c r="C929" s="186" t="str">
        <f>IFERROR(__xludf.DUMMYFUNCTION("""COMPUTED_VALUE"""),"PRATO DECORATIVO DE CERAMICA ROSA")</f>
        <v>PRATO DECORATIVO DE CERAMICA ROSA</v>
      </c>
      <c r="D929" s="186" t="str">
        <f>IFERROR(__xludf.DUMMYFUNCTION("""COMPUTED_VALUE"""),"FALSO")</f>
        <v>FALSO</v>
      </c>
    </row>
    <row r="930">
      <c r="B930" s="186" t="str">
        <f>IFERROR(__xludf.DUMMYFUNCTION("""COMPUTED_VALUE"""),"PI6604Y")</f>
        <v>PI6604Y</v>
      </c>
      <c r="C930" s="186" t="str">
        <f>IFERROR(__xludf.DUMMYFUNCTION("""COMPUTED_VALUE"""),"TABUA DE PIZZA MELHORES MOMENTOS")</f>
        <v>TABUA DE PIZZA MELHORES MOMENTOS</v>
      </c>
      <c r="D930" s="186" t="str">
        <f>IFERROR(__xludf.DUMMYFUNCTION("""COMPUTED_VALUE"""),"FALSO")</f>
        <v>FALSO</v>
      </c>
    </row>
    <row r="931">
      <c r="B931" s="186" t="str">
        <f>IFERROR(__xludf.DUMMYFUNCTION("""COMPUTED_VALUE"""),"CS2049")</f>
        <v>CS2049</v>
      </c>
      <c r="C931" s="186"/>
      <c r="D931" s="186" t="str">
        <f>IFERROR(__xludf.DUMMYFUNCTION("""COMPUTED_VALUE"""),"FALSO")</f>
        <v>FALSO</v>
      </c>
    </row>
    <row r="932">
      <c r="B932" s="186" t="str">
        <f>IFERROR(__xludf.DUMMYFUNCTION("""COMPUTED_VALUE"""),"PI6088Y")</f>
        <v>PI6088Y</v>
      </c>
      <c r="C932" s="186" t="str">
        <f>IFERROR(__xludf.DUMMYFUNCTION("""COMPUTED_VALUE"""),"LUMINARIA LED NEON USB")</f>
        <v>LUMINARIA LED NEON USB</v>
      </c>
      <c r="D932" s="186" t="str">
        <f>IFERROR(__xludf.DUMMYFUNCTION("""COMPUTED_VALUE"""),"FALSO")</f>
        <v>FALSO</v>
      </c>
    </row>
    <row r="933">
      <c r="B933" s="186" t="str">
        <f>IFERROR(__xludf.DUMMYFUNCTION("""COMPUTED_VALUE"""),"PI6217Y")</f>
        <v>PI6217Y</v>
      </c>
      <c r="C933" s="186"/>
      <c r="D933" s="186" t="str">
        <f>IFERROR(__xludf.DUMMYFUNCTION("""COMPUTED_VALUE"""),"FALSO")</f>
        <v>FALSO</v>
      </c>
    </row>
    <row r="934">
      <c r="B934" s="186" t="str">
        <f>IFERROR(__xludf.DUMMYFUNCTION("""COMPUTED_VALUE"""),"PI5373Y")</f>
        <v>PI5373Y</v>
      </c>
      <c r="C934" s="186"/>
      <c r="D934" s="186" t="str">
        <f>IFERROR(__xludf.DUMMYFUNCTION("""COMPUTED_VALUE"""),"FALSO")</f>
        <v>FALSO</v>
      </c>
    </row>
    <row r="935">
      <c r="B935" s="186" t="str">
        <f>IFERROR(__xludf.DUMMYFUNCTION("""COMPUTED_VALUE"""),"PI5379Y")</f>
        <v>PI5379Y</v>
      </c>
      <c r="C935" s="186"/>
      <c r="D935" s="186" t="str">
        <f>IFERROR(__xludf.DUMMYFUNCTION("""COMPUTED_VALUE"""),"FALSO")</f>
        <v>FALSO</v>
      </c>
    </row>
    <row r="936">
      <c r="B936" s="186" t="str">
        <f>IFERROR(__xludf.DUMMYFUNCTION("""COMPUTED_VALUE"""),"PI7521Y")</f>
        <v>PI7521Y</v>
      </c>
      <c r="C936" s="186"/>
      <c r="D936" s="186" t="str">
        <f>IFERROR(__xludf.DUMMYFUNCTION("""COMPUTED_VALUE"""),"FALSO")</f>
        <v>FALSO</v>
      </c>
    </row>
    <row r="937">
      <c r="B937" s="186" t="str">
        <f>IFERROR(__xludf.DUMMYFUNCTION("""COMPUTED_VALUE"""),"PI7545Y")</f>
        <v>PI7545Y</v>
      </c>
      <c r="C937" s="186"/>
      <c r="D937" s="186" t="str">
        <f>IFERROR(__xludf.DUMMYFUNCTION("""COMPUTED_VALUE"""),"FALSO")</f>
        <v>FALSO</v>
      </c>
    </row>
    <row r="938">
      <c r="B938" s="186" t="str">
        <f>IFERROR(__xludf.DUMMYFUNCTION("""COMPUTED_VALUE"""),"AC2265Y")</f>
        <v>AC2265Y</v>
      </c>
      <c r="C938" s="186"/>
      <c r="D938" s="186" t="str">
        <f>IFERROR(__xludf.DUMMYFUNCTION("""COMPUTED_VALUE"""),"FALSO")</f>
        <v>FALSO</v>
      </c>
    </row>
    <row r="939">
      <c r="B939" s="186" t="str">
        <f>IFERROR(__xludf.DUMMYFUNCTION("""COMPUTED_VALUE"""),"PI6342Y")</f>
        <v>PI6342Y</v>
      </c>
      <c r="C939" s="186"/>
      <c r="D939" s="186" t="str">
        <f>IFERROR(__xludf.DUMMYFUNCTION("""COMPUTED_VALUE"""),"FALSO")</f>
        <v>FALSO</v>
      </c>
    </row>
    <row r="940">
      <c r="B940" s="186" t="str">
        <f>IFERROR(__xludf.DUMMYFUNCTION("""COMPUTED_VALUE"""),"PI6189Y")</f>
        <v>PI6189Y</v>
      </c>
      <c r="C940" s="186"/>
      <c r="D940" s="186" t="str">
        <f>IFERROR(__xludf.DUMMYFUNCTION("""COMPUTED_VALUE"""),"FALSO")</f>
        <v>FALSO</v>
      </c>
    </row>
    <row r="941">
      <c r="B941" s="186" t="str">
        <f>IFERROR(__xludf.DUMMYFUNCTION("""COMPUTED_VALUE"""),"PI7650Y")</f>
        <v>PI7650Y</v>
      </c>
      <c r="C941" s="186"/>
      <c r="D941" s="186" t="str">
        <f>IFERROR(__xludf.DUMMYFUNCTION("""COMPUTED_VALUE"""),"INMETRO Toys System 5 - Ordinance 302")</f>
        <v>INMETRO Toys System 5 - Ordinance 302</v>
      </c>
    </row>
    <row r="942">
      <c r="B942" s="186" t="str">
        <f>IFERROR(__xludf.DUMMYFUNCTION("""COMPUTED_VALUE"""),"PI6837Y")</f>
        <v>PI6837Y</v>
      </c>
      <c r="C942" s="186" t="str">
        <f>IFERROR(__xludf.DUMMYFUNCTION("""COMPUTED_VALUE"""),"PELUCIA HP DOBBY MEIA")</f>
        <v>PELUCIA HP DOBBY MEIA</v>
      </c>
      <c r="D942" s="186" t="str">
        <f>IFERROR(__xludf.DUMMYFUNCTION("""COMPUTED_VALUE"""),"INMETRO Toys System 5 - Ordinance 302")</f>
        <v>INMETRO Toys System 5 - Ordinance 302</v>
      </c>
    </row>
    <row r="943">
      <c r="B943" s="186" t="str">
        <f>IFERROR(__xludf.DUMMYFUNCTION("""COMPUTED_VALUE"""),"PI7741Y")</f>
        <v>PI7741Y</v>
      </c>
      <c r="C943" s="186" t="str">
        <f>IFERROR(__xludf.DUMMYFUNCTION("""COMPUTED_VALUE"""),"CHAVEIRO PELUCIA HP DOBBY")</f>
        <v>CHAVEIRO PELUCIA HP DOBBY</v>
      </c>
      <c r="D943" s="186" t="str">
        <f>IFERROR(__xludf.DUMMYFUNCTION("""COMPUTED_VALUE"""),"INMETRO Toys System 5 - Ordinance 302")</f>
        <v>INMETRO Toys System 5 - Ordinance 302</v>
      </c>
    </row>
    <row r="944">
      <c r="B944" s="186" t="str">
        <f>IFERROR(__xludf.DUMMYFUNCTION("""COMPUTED_VALUE"""),"PI7739Y")</f>
        <v>PI7739Y</v>
      </c>
      <c r="C944" s="186" t="str">
        <f>IFERROR(__xludf.DUMMYFUNCTION("""COMPUTED_VALUE"""),"CHAVEIRO PELUCIA HP LUNA")</f>
        <v>CHAVEIRO PELUCIA HP LUNA</v>
      </c>
      <c r="D944" s="186" t="str">
        <f>IFERROR(__xludf.DUMMYFUNCTION("""COMPUTED_VALUE"""),"INMETRO Toys System 5 - Ordinance 302")</f>
        <v>INMETRO Toys System 5 - Ordinance 302</v>
      </c>
    </row>
    <row r="945">
      <c r="B945" s="186" t="str">
        <f>IFERROR(__xludf.DUMMYFUNCTION("""COMPUTED_VALUE"""),"PI7425Y")</f>
        <v>PI7425Y</v>
      </c>
      <c r="C945" s="186" t="str">
        <f>IFERROR(__xludf.DUMMYFUNCTION("""COMPUTED_VALUE"""),"CHAVEIRO PELUCIA JOANINHA")</f>
        <v>CHAVEIRO PELUCIA JOANINHA</v>
      </c>
      <c r="D945" s="186" t="str">
        <f>IFERROR(__xludf.DUMMYFUNCTION("""COMPUTED_VALUE"""),"INMETRO Toys System 5 - Ordinance 302")</f>
        <v>INMETRO Toys System 5 - Ordinance 302</v>
      </c>
    </row>
    <row r="946">
      <c r="B946" s="186" t="str">
        <f>IFERROR(__xludf.DUMMYFUNCTION("""COMPUTED_VALUE"""),"PI7384Y")</f>
        <v>PI7384Y</v>
      </c>
      <c r="C946" s="186"/>
      <c r="D946" s="186" t="str">
        <f>IFERROR(__xludf.DUMMYFUNCTION("""COMPUTED_VALUE"""),"FALSO")</f>
        <v>FALSO</v>
      </c>
    </row>
    <row r="947">
      <c r="B947" s="186" t="str">
        <f>IFERROR(__xludf.DUMMYFUNCTION("""COMPUTED_VALUE"""),"PI5746Y")</f>
        <v>PI5746Y</v>
      </c>
      <c r="C947" s="186" t="str">
        <f>IFERROR(__xludf.DUMMYFUNCTION("""COMPUTED_VALUE"""),"PELUCIA SQUISHADINHOS BISNAGA 18 CM")</f>
        <v>PELUCIA SQUISHADINHOS BISNAGA 18 CM</v>
      </c>
      <c r="D947" s="186" t="str">
        <f>IFERROR(__xludf.DUMMYFUNCTION("""COMPUTED_VALUE"""),"INMETRO Toys System 5 - Ordinance 302")</f>
        <v>INMETRO Toys System 5 - Ordinance 302</v>
      </c>
    </row>
    <row r="948">
      <c r="B948" s="186" t="str">
        <f>IFERROR(__xludf.DUMMYFUNCTION("""COMPUTED_VALUE"""),"PI5755Y")</f>
        <v>PI5755Y</v>
      </c>
      <c r="C948" s="186" t="str">
        <f>IFERROR(__xludf.DUMMYFUNCTION("""COMPUTED_VALUE"""),"PELUCIA SQUISHADINHOS BISNAGA 30 CM")</f>
        <v>PELUCIA SQUISHADINHOS BISNAGA 30 CM</v>
      </c>
      <c r="D948" s="186" t="str">
        <f>IFERROR(__xludf.DUMMYFUNCTION("""COMPUTED_VALUE"""),"INMETRO Toys System 5 - Ordinance 302")</f>
        <v>INMETRO Toys System 5 - Ordinance 302</v>
      </c>
    </row>
    <row r="949">
      <c r="B949" s="186" t="str">
        <f>IFERROR(__xludf.DUMMYFUNCTION("""COMPUTED_VALUE"""),"PI5747Y")</f>
        <v>PI5747Y</v>
      </c>
      <c r="C949" s="186" t="str">
        <f>IFERROR(__xludf.DUMMYFUNCTION("""COMPUTED_VALUE"""),"PELUCIA SQUISHADINHOS BORIS 18 CM")</f>
        <v>PELUCIA SQUISHADINHOS BORIS 18 CM</v>
      </c>
      <c r="D949" s="186" t="str">
        <f>IFERROR(__xludf.DUMMYFUNCTION("""COMPUTED_VALUE"""),"INMETRO Toys System 5 - Ordinance 302")</f>
        <v>INMETRO Toys System 5 - Ordinance 302</v>
      </c>
    </row>
    <row r="950">
      <c r="B950" s="186" t="str">
        <f>IFERROR(__xludf.DUMMYFUNCTION("""COMPUTED_VALUE"""),"PI5756Y")</f>
        <v>PI5756Y</v>
      </c>
      <c r="C950" s="186" t="str">
        <f>IFERROR(__xludf.DUMMYFUNCTION("""COMPUTED_VALUE"""),"PELUCIA SQUISHADINHOS BORIS 30 CM")</f>
        <v>PELUCIA SQUISHADINHOS BORIS 30 CM</v>
      </c>
      <c r="D950" s="186" t="str">
        <f>IFERROR(__xludf.DUMMYFUNCTION("""COMPUTED_VALUE"""),"INMETRO Toys System 5 - Ordinance 302")</f>
        <v>INMETRO Toys System 5 - Ordinance 302</v>
      </c>
    </row>
    <row r="951">
      <c r="B951" s="186" t="str">
        <f>IFERROR(__xludf.DUMMYFUNCTION("""COMPUTED_VALUE"""),"PI5744Y")</f>
        <v>PI5744Y</v>
      </c>
      <c r="C951" s="186" t="str">
        <f>IFERROR(__xludf.DUMMYFUNCTION("""COMPUTED_VALUE"""),"PELUCIA SQUISHADINHOS BORIS 30 CM")</f>
        <v>PELUCIA SQUISHADINHOS BORIS 30 CM</v>
      </c>
      <c r="D951" s="186" t="str">
        <f>IFERROR(__xludf.DUMMYFUNCTION("""COMPUTED_VALUE"""),"INMETRO Toys System 5 - Ordinance 302")</f>
        <v>INMETRO Toys System 5 - Ordinance 302</v>
      </c>
    </row>
    <row r="952">
      <c r="B952" s="186" t="str">
        <f>IFERROR(__xludf.DUMMYFUNCTION("""COMPUTED_VALUE"""),"PI5750Y")</f>
        <v>PI5750Y</v>
      </c>
      <c r="C952" s="186" t="str">
        <f>IFERROR(__xludf.DUMMYFUNCTION("""COMPUTED_VALUE"""),"PELUCIA SQUISHADINHOS BRINKS 18 CM")</f>
        <v>PELUCIA SQUISHADINHOS BRINKS 18 CM</v>
      </c>
      <c r="D952" s="186" t="str">
        <f>IFERROR(__xludf.DUMMYFUNCTION("""COMPUTED_VALUE"""),"INMETRO Toys System 5 - Ordinance 302")</f>
        <v>INMETRO Toys System 5 - Ordinance 302</v>
      </c>
    </row>
    <row r="953">
      <c r="B953" s="186" t="str">
        <f>IFERROR(__xludf.DUMMYFUNCTION("""COMPUTED_VALUE"""),"PI5759Y")</f>
        <v>PI5759Y</v>
      </c>
      <c r="C953" s="186" t="str">
        <f>IFERROR(__xludf.DUMMYFUNCTION("""COMPUTED_VALUE"""),"PELUCIA SQUISHADINHOS BRINKS 30 CM")</f>
        <v>PELUCIA SQUISHADINHOS BRINKS 30 CM</v>
      </c>
      <c r="D953" s="186" t="str">
        <f>IFERROR(__xludf.DUMMYFUNCTION("""COMPUTED_VALUE"""),"INMETRO Toys System 5 - Ordinance 302")</f>
        <v>INMETRO Toys System 5 - Ordinance 302</v>
      </c>
    </row>
    <row r="954">
      <c r="B954" s="186" t="str">
        <f>IFERROR(__xludf.DUMMYFUNCTION("""COMPUTED_VALUE"""),"PI5749Y")</f>
        <v>PI5749Y</v>
      </c>
      <c r="C954" s="186" t="str">
        <f>IFERROR(__xludf.DUMMYFUNCTION("""COMPUTED_VALUE"""),"PELUCIA SQUISHADINHOS CHLOELHO 18 CM")</f>
        <v>PELUCIA SQUISHADINHOS CHLOELHO 18 CM</v>
      </c>
      <c r="D954" s="186" t="str">
        <f>IFERROR(__xludf.DUMMYFUNCTION("""COMPUTED_VALUE"""),"INMETRO Toys System 5 - Ordinance 302")</f>
        <v>INMETRO Toys System 5 - Ordinance 302</v>
      </c>
    </row>
    <row r="955">
      <c r="B955" s="186" t="str">
        <f>IFERROR(__xludf.DUMMYFUNCTION("""COMPUTED_VALUE"""),"PI5758Y")</f>
        <v>PI5758Y</v>
      </c>
      <c r="C955" s="186" t="str">
        <f>IFERROR(__xludf.DUMMYFUNCTION("""COMPUTED_VALUE"""),"PELUCIA SQUISHADINHOS CHLOELHO 30 CM")</f>
        <v>PELUCIA SQUISHADINHOS CHLOELHO 30 CM</v>
      </c>
      <c r="D955" s="186" t="str">
        <f>IFERROR(__xludf.DUMMYFUNCTION("""COMPUTED_VALUE"""),"INMETRO Toys System 5 - Ordinance 302")</f>
        <v>INMETRO Toys System 5 - Ordinance 302</v>
      </c>
    </row>
    <row r="956">
      <c r="B956" s="186" t="str">
        <f>IFERROR(__xludf.DUMMYFUNCTION("""COMPUTED_VALUE"""),"PI5752Y")</f>
        <v>PI5752Y</v>
      </c>
      <c r="C956" s="186" t="str">
        <f>IFERROR(__xludf.DUMMYFUNCTION("""COMPUTED_VALUE"""),"PELUCIA SQUISHADINHOS DOMINIQUE 18 CM")</f>
        <v>PELUCIA SQUISHADINHOS DOMINIQUE 18 CM</v>
      </c>
      <c r="D956" s="186" t="str">
        <f>IFERROR(__xludf.DUMMYFUNCTION("""COMPUTED_VALUE"""),"INMETRO Toys System 5 - Ordinance 302")</f>
        <v>INMETRO Toys System 5 - Ordinance 302</v>
      </c>
    </row>
    <row r="957">
      <c r="B957" s="186" t="str">
        <f>IFERROR(__xludf.DUMMYFUNCTION("""COMPUTED_VALUE"""),"PI5761Y")</f>
        <v>PI5761Y</v>
      </c>
      <c r="C957" s="186" t="str">
        <f>IFERROR(__xludf.DUMMYFUNCTION("""COMPUTED_VALUE"""),"PELUCIA SQUISHADINHOS DOMINIQUE 30 CM")</f>
        <v>PELUCIA SQUISHADINHOS DOMINIQUE 30 CM</v>
      </c>
      <c r="D957" s="186" t="str">
        <f>IFERROR(__xludf.DUMMYFUNCTION("""COMPUTED_VALUE"""),"INMETRO Toys System 5 - Ordinance 302")</f>
        <v>INMETRO Toys System 5 - Ordinance 302</v>
      </c>
    </row>
    <row r="958">
      <c r="B958" s="186" t="str">
        <f>IFERROR(__xludf.DUMMYFUNCTION("""COMPUTED_VALUE"""),"PI5745Y")</f>
        <v>PI5745Y</v>
      </c>
      <c r="C958" s="186" t="str">
        <f>IFERROR(__xludf.DUMMYFUNCTION("""COMPUTED_VALUE"""),"PELUCIA SQUISHADINHOS DOMINIQUE 30 CM")</f>
        <v>PELUCIA SQUISHADINHOS DOMINIQUE 30 CM</v>
      </c>
      <c r="D958" s="186" t="str">
        <f>IFERROR(__xludf.DUMMYFUNCTION("""COMPUTED_VALUE"""),"INMETRO Toys System 5 - Ordinance 302")</f>
        <v>INMETRO Toys System 5 - Ordinance 302</v>
      </c>
    </row>
    <row r="959">
      <c r="B959" s="186" t="str">
        <f>IFERROR(__xludf.DUMMYFUNCTION("""COMPUTED_VALUE"""),"PI5753Y")</f>
        <v>PI5753Y</v>
      </c>
      <c r="C959" s="186" t="str">
        <f>IFERROR(__xludf.DUMMYFUNCTION("""COMPUTED_VALUE"""),"PELUCIA SQUISHADINHOS GOKURURU 18 CM")</f>
        <v>PELUCIA SQUISHADINHOS GOKURURU 18 CM</v>
      </c>
      <c r="D959" s="186" t="str">
        <f>IFERROR(__xludf.DUMMYFUNCTION("""COMPUTED_VALUE"""),"INMETRO Toys System 5 - Ordinance 302")</f>
        <v>INMETRO Toys System 5 - Ordinance 302</v>
      </c>
    </row>
    <row r="960">
      <c r="B960" s="186" t="str">
        <f>IFERROR(__xludf.DUMMYFUNCTION("""COMPUTED_VALUE"""),"PI5754Y")</f>
        <v>PI5754Y</v>
      </c>
      <c r="C960" s="186" t="str">
        <f>IFERROR(__xludf.DUMMYFUNCTION("""COMPUTED_VALUE"""),"PELUCIA SQUISHADINHOS GOKURURU 30 CM")</f>
        <v>PELUCIA SQUISHADINHOS GOKURURU 30 CM</v>
      </c>
      <c r="D960" s="186" t="str">
        <f>IFERROR(__xludf.DUMMYFUNCTION("""COMPUTED_VALUE"""),"INMETRO Toys System 5 - Ordinance 302")</f>
        <v>INMETRO Toys System 5 - Ordinance 302</v>
      </c>
    </row>
    <row r="961">
      <c r="B961" s="186" t="str">
        <f>IFERROR(__xludf.DUMMYFUNCTION("""COMPUTED_VALUE"""),"PI5748Y")</f>
        <v>PI5748Y</v>
      </c>
      <c r="C961" s="186" t="str">
        <f>IFERROR(__xludf.DUMMYFUNCTION("""COMPUTED_VALUE"""),"PELUCIA SQUISHADINHOS GURUMELO 18 CM")</f>
        <v>PELUCIA SQUISHADINHOS GURUMELO 18 CM</v>
      </c>
      <c r="D961" s="186" t="str">
        <f>IFERROR(__xludf.DUMMYFUNCTION("""COMPUTED_VALUE"""),"INMETRO Toys System 5 - Ordinance 302")</f>
        <v>INMETRO Toys System 5 - Ordinance 302</v>
      </c>
    </row>
    <row r="962">
      <c r="B962" s="186" t="str">
        <f>IFERROR(__xludf.DUMMYFUNCTION("""COMPUTED_VALUE"""),"PI5743Y")</f>
        <v>PI5743Y</v>
      </c>
      <c r="C962" s="186" t="str">
        <f>IFERROR(__xludf.DUMMYFUNCTION("""COMPUTED_VALUE"""),"PELUCIA SQUISHADINHOS GURUMELO 30 CM")</f>
        <v>PELUCIA SQUISHADINHOS GURUMELO 30 CM</v>
      </c>
      <c r="D962" s="186" t="str">
        <f>IFERROR(__xludf.DUMMYFUNCTION("""COMPUTED_VALUE"""),"INMETRO Toys System 5 - Ordinance 302")</f>
        <v>INMETRO Toys System 5 - Ordinance 302</v>
      </c>
    </row>
    <row r="963">
      <c r="B963" s="186" t="str">
        <f>IFERROR(__xludf.DUMMYFUNCTION("""COMPUTED_VALUE"""),"PI5757Y")</f>
        <v>PI5757Y</v>
      </c>
      <c r="C963" s="186" t="str">
        <f>IFERROR(__xludf.DUMMYFUNCTION("""COMPUTED_VALUE"""),"PELUCIA SQUISHADINHOS GURUMELO 30 CM")</f>
        <v>PELUCIA SQUISHADINHOS GURUMELO 30 CM</v>
      </c>
      <c r="D963" s="186" t="str">
        <f>IFERROR(__xludf.DUMMYFUNCTION("""COMPUTED_VALUE"""),"INMETRO Toys System 5 - Ordinance 302")</f>
        <v>INMETRO Toys System 5 - Ordinance 302</v>
      </c>
    </row>
    <row r="964">
      <c r="B964" s="186" t="str">
        <f>IFERROR(__xludf.DUMMYFUNCTION("""COMPUTED_VALUE"""),"PI5751Y")</f>
        <v>PI5751Y</v>
      </c>
      <c r="C964" s="186" t="str">
        <f>IFERROR(__xludf.DUMMYFUNCTION("""COMPUTED_VALUE"""),"PELUCIA SQUISHADINHOS MOCA 18 CM")</f>
        <v>PELUCIA SQUISHADINHOS MOCA 18 CM</v>
      </c>
      <c r="D964" s="186" t="str">
        <f>IFERROR(__xludf.DUMMYFUNCTION("""COMPUTED_VALUE"""),"INMETRO Toys System 5 - Ordinance 302")</f>
        <v>INMETRO Toys System 5 - Ordinance 302</v>
      </c>
    </row>
    <row r="965">
      <c r="B965" s="186" t="str">
        <f>IFERROR(__xludf.DUMMYFUNCTION("""COMPUTED_VALUE"""),"PI5760Y")</f>
        <v>PI5760Y</v>
      </c>
      <c r="C965" s="186" t="str">
        <f>IFERROR(__xludf.DUMMYFUNCTION("""COMPUTED_VALUE"""),"PELUCIA SQUISHADINHOS MOCA 30 CM")</f>
        <v>PELUCIA SQUISHADINHOS MOCA 30 CM</v>
      </c>
      <c r="D965" s="186" t="str">
        <f>IFERROR(__xludf.DUMMYFUNCTION("""COMPUTED_VALUE"""),"INMETRO Toys System 5 - Ordinance 302")</f>
        <v>INMETRO Toys System 5 - Ordinance 302</v>
      </c>
    </row>
    <row r="966">
      <c r="B966" s="186" t="str">
        <f>IFERROR(__xludf.DUMMYFUNCTION("""COMPUTED_VALUE"""),"PI7238Y")</f>
        <v>PI7238Y</v>
      </c>
      <c r="C966" s="186"/>
      <c r="D966" s="186" t="str">
        <f>IFERROR(__xludf.DUMMYFUNCTION("""COMPUTED_VALUE"""),"FALSO")</f>
        <v>FALSO</v>
      </c>
    </row>
    <row r="967">
      <c r="B967" s="186" t="str">
        <f>IFERROR(__xludf.DUMMYFUNCTION("""COMPUTED_VALUE"""),"PI7240Y")</f>
        <v>PI7240Y</v>
      </c>
      <c r="C967" s="186"/>
      <c r="D967" s="186" t="str">
        <f>IFERROR(__xludf.DUMMYFUNCTION("""COMPUTED_VALUE"""),"FALSO")</f>
        <v>FALSO</v>
      </c>
    </row>
    <row r="968">
      <c r="B968" s="186" t="str">
        <f>IFERROR(__xludf.DUMMYFUNCTION("""COMPUTED_VALUE"""),"PI7438Y")</f>
        <v>PI7438Y</v>
      </c>
      <c r="C968" s="186" t="str">
        <f>IFERROR(__xludf.DUMMYFUNCTION("""COMPUTED_VALUE"""),"PELUCIAS COM IMA PASTEL E CALDO DE CANA")</f>
        <v>PELUCIAS COM IMA PASTEL E CALDO DE CANA</v>
      </c>
      <c r="D968" s="186" t="str">
        <f>IFERROR(__xludf.DUMMYFUNCTION("""COMPUTED_VALUE"""),"INMETRO Toys System 5 - Ordinance 302")</f>
        <v>INMETRO Toys System 5 - Ordinance 302</v>
      </c>
    </row>
    <row r="969">
      <c r="B969" s="186" t="str">
        <f>IFERROR(__xludf.DUMMYFUNCTION("""COMPUTED_VALUE"""),"PI6163")</f>
        <v>PI6163</v>
      </c>
      <c r="C969" s="186"/>
      <c r="D969" s="186" t="str">
        <f>IFERROR(__xludf.DUMMYFUNCTION("""COMPUTED_VALUE"""),"FALSO")</f>
        <v>FALSO</v>
      </c>
    </row>
    <row r="970">
      <c r="B970" s="186" t="str">
        <f>IFERROR(__xludf.DUMMYFUNCTION("""COMPUTED_VALUE"""),"PI5129Y")</f>
        <v>PI5129Y</v>
      </c>
      <c r="C970" s="186"/>
      <c r="D970" s="186" t="str">
        <f>IFERROR(__xludf.DUMMYFUNCTION("""COMPUTED_VALUE"""),"FALSO")</f>
        <v>FALSO</v>
      </c>
    </row>
    <row r="971">
      <c r="B971" s="186" t="str">
        <f>IFERROR(__xludf.DUMMYFUNCTION("""COMPUTED_VALUE"""),"PI7565Y")</f>
        <v>PI7565Y</v>
      </c>
      <c r="C971" s="186" t="str">
        <f>IFERROR(__xludf.DUMMYFUNCTION("""COMPUTED_VALUE"""),"CANETA URSO PIPOCA")</f>
        <v>CANETA URSO PIPOCA</v>
      </c>
      <c r="D971" s="186" t="str">
        <f>IFERROR(__xludf.DUMMYFUNCTION("""COMPUTED_VALUE"""),"INMETRO SCHOOL ARTICLES SYSTEM 5 - ORDINANCE 481")</f>
        <v>INMETRO SCHOOL ARTICLES SYSTEM 5 - ORDINANCE 481</v>
      </c>
    </row>
    <row r="972">
      <c r="B972" s="186" t="str">
        <f>IFERROR(__xludf.DUMMYFUNCTION("""COMPUTED_VALUE"""),"PI6602Y")</f>
        <v>PI6602Y</v>
      </c>
      <c r="C972" s="186" t="str">
        <f>IFERROR(__xludf.DUMMYFUNCTION("""COMPUTED_VALUE"""),"BALDE DE PIPOCA COM ALMOFADA E ESPACO PARA COPOS")</f>
        <v>BALDE DE PIPOCA COM ALMOFADA E ESPACO PARA COPOS</v>
      </c>
      <c r="D972" s="186" t="str">
        <f>IFERROR(__xludf.DUMMYFUNCTION("""COMPUTED_VALUE"""),"FALSO")</f>
        <v>FALSO</v>
      </c>
    </row>
    <row r="973">
      <c r="B973" s="186" t="str">
        <f>IFERROR(__xludf.DUMMYFUNCTION("""COMPUTED_VALUE"""),"PI4826Y")</f>
        <v>PI4826Y</v>
      </c>
      <c r="C973" s="186" t="str">
        <f>IFERROR(__xludf.DUMMYFUNCTION("""COMPUTED_VALUE"""),"KIT PIPOCA SESSAO PRIVE")</f>
        <v>KIT PIPOCA SESSAO PRIVE</v>
      </c>
      <c r="D973" s="186" t="str">
        <f>IFERROR(__xludf.DUMMYFUNCTION("""COMPUTED_VALUE"""),"FALSO")</f>
        <v>FALSO</v>
      </c>
    </row>
    <row r="974">
      <c r="B974" s="186" t="str">
        <f>IFERROR(__xludf.DUMMYFUNCTION("""COMPUTED_VALUE"""),"PI6815Y")</f>
        <v>PI6815Y</v>
      </c>
      <c r="C974" s="186"/>
      <c r="D974" s="186" t="str">
        <f>IFERROR(__xludf.DUMMYFUNCTION("""COMPUTED_VALUE"""),"FALSO")</f>
        <v>FALSO</v>
      </c>
    </row>
    <row r="975">
      <c r="B975" s="186" t="str">
        <f>IFERROR(__xludf.DUMMYFUNCTION("""COMPUTED_VALUE"""),"PI5799Y")</f>
        <v>PI5799Y</v>
      </c>
      <c r="C975" s="186"/>
      <c r="D975" s="186" t="str">
        <f>IFERROR(__xludf.DUMMYFUNCTION("""COMPUTED_VALUE"""),"FALSO")</f>
        <v>FALSO</v>
      </c>
    </row>
    <row r="976">
      <c r="B976" s="186" t="str">
        <f>IFERROR(__xludf.DUMMYFUNCTION("""COMPUTED_VALUE"""),"GE0100")</f>
        <v>GE0100</v>
      </c>
      <c r="C976" s="186" t="str">
        <f>IFERROR(__xludf.DUMMYFUNCTION("""COMPUTED_VALUE"""),"PORTA BIJOUX Y2K BORBOLETA")</f>
        <v>PORTA BIJOUX Y2K BORBOLETA</v>
      </c>
      <c r="D976" s="186" t="str">
        <f>IFERROR(__xludf.DUMMYFUNCTION("""COMPUTED_VALUE"""),"FALSO")</f>
        <v>FALSO</v>
      </c>
    </row>
    <row r="977">
      <c r="B977" s="186" t="str">
        <f>IFERROR(__xludf.DUMMYFUNCTION("""COMPUTED_VALUE"""),"PI6806Y")</f>
        <v>PI6806Y</v>
      </c>
      <c r="C977" s="186"/>
      <c r="D977" s="186" t="str">
        <f>IFERROR(__xludf.DUMMYFUNCTION("""COMPUTED_VALUE"""),"INMETRO Electrical Security System 5 (Factory)")</f>
        <v>INMETRO Electrical Security System 5 (Factory)</v>
      </c>
    </row>
    <row r="978">
      <c r="B978" s="186" t="str">
        <f>IFERROR(__xludf.DUMMYFUNCTION("""COMPUTED_VALUE"""),"PI6860Y")</f>
        <v>PI6860Y</v>
      </c>
      <c r="C978" s="186" t="str">
        <f>IFERROR(__xludf.DUMMYFUNCTION("""COMPUTED_VALUE"""),"BARBEADOR ELETRICO PORTATIL PRATEADO")</f>
        <v>BARBEADOR ELETRICO PORTATIL PRATEADO</v>
      </c>
      <c r="D978" s="186" t="str">
        <f>IFERROR(__xludf.DUMMYFUNCTION("""COMPUTED_VALUE"""),"INMETRO Electrical Security System 5 (Factory)")</f>
        <v>INMETRO Electrical Security System 5 (Factory)</v>
      </c>
    </row>
    <row r="979">
      <c r="B979" s="186" t="str">
        <f>IFERROR(__xludf.DUMMYFUNCTION("""COMPUTED_VALUE"""),"PI6725Y")</f>
        <v>PI6725Y</v>
      </c>
      <c r="C979" s="186" t="str">
        <f>IFERROR(__xludf.DUMMYFUNCTION("""COMPUTED_VALUE"""),"MIXER PORTATIL TUDO JUNTO E MIXTURADO")</f>
        <v>MIXER PORTATIL TUDO JUNTO E MIXTURADO</v>
      </c>
      <c r="D979" s="186" t="str">
        <f>IFERROR(__xludf.DUMMYFUNCTION("""COMPUTED_VALUE"""),"FALSO")</f>
        <v>FALSO</v>
      </c>
    </row>
    <row r="980">
      <c r="B980" s="186" t="str">
        <f>IFERROR(__xludf.DUMMYFUNCTION("""COMPUTED_VALUE"""),"PI6046Y")</f>
        <v>PI6046Y</v>
      </c>
      <c r="C980" s="186"/>
      <c r="D980" s="186" t="str">
        <f>IFERROR(__xludf.DUMMYFUNCTION("""COMPUTED_VALUE"""),"FALSO")</f>
        <v>FALSO</v>
      </c>
    </row>
    <row r="981">
      <c r="B981" s="186" t="str">
        <f>IFERROR(__xludf.DUMMYFUNCTION("""COMPUTED_VALUE"""),"PI6731Y")</f>
        <v>PI6731Y</v>
      </c>
      <c r="C981" s="186"/>
      <c r="D981" s="186" t="str">
        <f>IFERROR(__xludf.DUMMYFUNCTION("""COMPUTED_VALUE"""),"INMETRO Electrical Security System 5 (Factory)")</f>
        <v>INMETRO Electrical Security System 5 (Factory)</v>
      </c>
    </row>
    <row r="982">
      <c r="B982" s="186" t="str">
        <f>IFERROR(__xludf.DUMMYFUNCTION("""COMPUTED_VALUE"""),"GE0103")</f>
        <v>GE0103</v>
      </c>
      <c r="C982" s="186"/>
      <c r="D982" s="186" t="str">
        <f>IFERROR(__xludf.DUMMYFUNCTION("""COMPUTED_VALUE"""),"FALSO")</f>
        <v>FALSO</v>
      </c>
    </row>
    <row r="983">
      <c r="B983" s="186" t="str">
        <f>IFERROR(__xludf.DUMMYFUNCTION("""COMPUTED_VALUE"""),"PI5927Y")</f>
        <v>PI5927Y</v>
      </c>
      <c r="C983" s="186"/>
      <c r="D983" s="186" t="str">
        <f>IFERROR(__xludf.DUMMYFUNCTION("""COMPUTED_VALUE"""),"FALSO")</f>
        <v>FALSO</v>
      </c>
    </row>
    <row r="984">
      <c r="B984" s="186" t="str">
        <f>IFERROR(__xludf.DUMMYFUNCTION("""COMPUTED_VALUE"""),"GE0102")</f>
        <v>GE0102</v>
      </c>
      <c r="C984" s="186"/>
      <c r="D984" s="186" t="str">
        <f>IFERROR(__xludf.DUMMYFUNCTION("""COMPUTED_VALUE"""),"FALSO")</f>
        <v>FALSO</v>
      </c>
    </row>
    <row r="985">
      <c r="B985" s="186" t="str">
        <f>IFERROR(__xludf.DUMMYFUNCTION("""COMPUTED_VALUE"""),"CS2293")</f>
        <v>CS2293</v>
      </c>
      <c r="C985" s="186"/>
      <c r="D985" s="186" t="str">
        <f>IFERROR(__xludf.DUMMYFUNCTION("""COMPUTED_VALUE"""),"FALSO")</f>
        <v>FALSO</v>
      </c>
    </row>
    <row r="986">
      <c r="B986" s="186" t="str">
        <f>IFERROR(__xludf.DUMMYFUNCTION("""COMPUTED_VALUE"""),"CS2112")</f>
        <v>CS2112</v>
      </c>
      <c r="C986" s="186"/>
      <c r="D986" s="186" t="str">
        <f>IFERROR(__xludf.DUMMYFUNCTION("""COMPUTED_VALUE"""),"FALSO")</f>
        <v>FALSO</v>
      </c>
    </row>
    <row r="987">
      <c r="B987" s="186" t="str">
        <f>IFERROR(__xludf.DUMMYFUNCTION("""COMPUTED_VALUE"""),"CS2035")</f>
        <v>CS2035</v>
      </c>
      <c r="C987" s="186"/>
      <c r="D987" s="186" t="str">
        <f>IFERROR(__xludf.DUMMYFUNCTION("""COMPUTED_VALUE"""),"FALSO")</f>
        <v>FALSO</v>
      </c>
    </row>
    <row r="988">
      <c r="B988" s="186" t="str">
        <f>IFERROR(__xludf.DUMMYFUNCTION("""COMPUTED_VALUE"""),"PI5247Y")</f>
        <v>PI5247Y</v>
      </c>
      <c r="C988" s="186"/>
      <c r="D988" s="186" t="str">
        <f>IFERROR(__xludf.DUMMYFUNCTION("""COMPUTED_VALUE"""),"FALSO")</f>
        <v>FALSO</v>
      </c>
    </row>
    <row r="989">
      <c r="B989" s="186" t="str">
        <f>IFERROR(__xludf.DUMMYFUNCTION("""COMPUTED_VALUE"""),"PI7042Y")</f>
        <v>PI7042Y</v>
      </c>
      <c r="C989" s="186"/>
      <c r="D989" s="186" t="str">
        <f>IFERROR(__xludf.DUMMYFUNCTION("""COMPUTED_VALUE"""),"FALSO")</f>
        <v>FALSO</v>
      </c>
    </row>
    <row r="990">
      <c r="B990" s="186" t="str">
        <f>IFERROR(__xludf.DUMMYFUNCTION("""COMPUTED_VALUE"""),"PI6843Y")</f>
        <v>PI6843Y</v>
      </c>
      <c r="C990" s="186"/>
      <c r="D990" s="186" t="str">
        <f>IFERROR(__xludf.DUMMYFUNCTION("""COMPUTED_VALUE"""),"FALSO")</f>
        <v>FALSO</v>
      </c>
    </row>
    <row r="991">
      <c r="B991" s="186" t="str">
        <f>IFERROR(__xludf.DUMMYFUNCTION("""COMPUTED_VALUE"""),"PI7060Y")</f>
        <v>PI7060Y</v>
      </c>
      <c r="C991" s="186"/>
      <c r="D991" s="186" t="str">
        <f>IFERROR(__xludf.DUMMYFUNCTION("""COMPUTED_VALUE"""),"FALSO")</f>
        <v>FALSO</v>
      </c>
    </row>
    <row r="992">
      <c r="B992" s="186" t="str">
        <f>IFERROR(__xludf.DUMMYFUNCTION("""COMPUTED_VALUE"""),"PI5141Y")</f>
        <v>PI5141Y</v>
      </c>
      <c r="C992" s="186"/>
      <c r="D992" s="186" t="str">
        <f>IFERROR(__xludf.DUMMYFUNCTION("""COMPUTED_VALUE"""),"Anatel Category 3 - Cell Phones")</f>
        <v>Anatel Category 3 - Cell Phones</v>
      </c>
    </row>
    <row r="993">
      <c r="B993" s="186" t="str">
        <f>IFERROR(__xludf.DUMMYFUNCTION("""COMPUTED_VALUE"""),"PI7807Y")</f>
        <v>PI7807Y</v>
      </c>
      <c r="C993" s="186"/>
      <c r="D993" s="186" t="str">
        <f>IFERROR(__xludf.DUMMYFUNCTION("""COMPUTED_VALUE"""),"FALSO")</f>
        <v>FALSO</v>
      </c>
    </row>
    <row r="994">
      <c r="B994" s="186" t="str">
        <f>IFERROR(__xludf.DUMMYFUNCTION("""COMPUTED_VALUE"""),"PI7585Y")</f>
        <v>PI7585Y</v>
      </c>
      <c r="C994" s="186"/>
      <c r="D994" s="186" t="str">
        <f>IFERROR(__xludf.DUMMYFUNCTION("""COMPUTED_VALUE"""),"FALSO")</f>
        <v>FALSO</v>
      </c>
    </row>
    <row r="995">
      <c r="B995" s="186" t="str">
        <f>IFERROR(__xludf.DUMMYFUNCTION("""COMPUTED_VALUE"""),"PI5191Y")</f>
        <v>PI5191Y</v>
      </c>
      <c r="C995" s="186"/>
      <c r="D995" s="186" t="str">
        <f>IFERROR(__xludf.DUMMYFUNCTION("""COMPUTED_VALUE"""),"FALSO")</f>
        <v>FALSO</v>
      </c>
    </row>
    <row r="996">
      <c r="B996" s="186" t="str">
        <f>IFERROR(__xludf.DUMMYFUNCTION("""COMPUTED_VALUE"""),"PI6187Y")</f>
        <v>PI6187Y</v>
      </c>
      <c r="C996" s="186"/>
      <c r="D996" s="186" t="str">
        <f>IFERROR(__xludf.DUMMYFUNCTION("""COMPUTED_VALUE"""),"Anatel Category 2 - Bluetooth Module")</f>
        <v>Anatel Category 2 - Bluetooth Module</v>
      </c>
    </row>
    <row r="997">
      <c r="B997" s="186" t="str">
        <f>IFERROR(__xludf.DUMMYFUNCTION("""COMPUTED_VALUE"""),"PI6606Y")</f>
        <v>PI6606Y</v>
      </c>
      <c r="C997" s="186" t="str">
        <f>IFERROR(__xludf.DUMMYFUNCTION("""COMPUTED_VALUE"""),"PROJETOR")</f>
        <v>PROJETOR</v>
      </c>
      <c r="D997" s="186" t="str">
        <f>IFERROR(__xludf.DUMMYFUNCTION("""COMPUTED_VALUE"""),"Anatel Category 2 - Bluetooth and Radiofrequency Comms")</f>
        <v>Anatel Category 2 - Bluetooth and Radiofrequency Comms</v>
      </c>
    </row>
    <row r="998">
      <c r="B998" s="186" t="str">
        <f>IFERROR(__xludf.DUMMYFUNCTION("""COMPUTED_VALUE"""),"PI5224Y")</f>
        <v>PI5224Y</v>
      </c>
      <c r="C998" s="186"/>
      <c r="D998" s="186" t="str">
        <f>IFERROR(__xludf.DUMMYFUNCTION("""COMPUTED_VALUE"""),"FALSO")</f>
        <v>FALSO</v>
      </c>
    </row>
    <row r="999">
      <c r="B999" s="186" t="str">
        <f>IFERROR(__xludf.DUMMYFUNCTION("""COMPUTED_VALUE"""),"PI6563Y")</f>
        <v>PI6563Y</v>
      </c>
      <c r="C999" s="186" t="str">
        <f>IFERROR(__xludf.DUMMYFUNCTION("""COMPUTED_VALUE"""),"PUFE BORIS")</f>
        <v>PUFE BORIS</v>
      </c>
      <c r="D999" s="186" t="str">
        <f>IFERROR(__xludf.DUMMYFUNCTION("""COMPUTED_VALUE"""),"FALSO")</f>
        <v>FALSO</v>
      </c>
    </row>
    <row r="1000">
      <c r="B1000" s="186" t="str">
        <f>IFERROR(__xludf.DUMMYFUNCTION("""COMPUTED_VALUE"""),"PI6564Y")</f>
        <v>PI6564Y</v>
      </c>
      <c r="C1000" s="186" t="str">
        <f>IFERROR(__xludf.DUMMYFUNCTION("""COMPUTED_VALUE"""),"PUFF SQUISH 2")</f>
        <v>PUFF SQUISH 2</v>
      </c>
      <c r="D1000" s="186" t="str">
        <f>IFERROR(__xludf.DUMMYFUNCTION("""COMPUTED_VALUE"""),"FALSO")</f>
        <v>FALSO</v>
      </c>
    </row>
    <row r="1001">
      <c r="B1001" s="186" t="str">
        <f>IFERROR(__xludf.DUMMYFUNCTION("""COMPUTED_VALUE"""),"PI6086Y")</f>
        <v>PI6086Y</v>
      </c>
      <c r="C1001" s="186"/>
      <c r="D1001" s="186" t="str">
        <f>IFERROR(__xludf.DUMMYFUNCTION("""COMPUTED_VALUE"""),"FALSO")</f>
        <v>FALSO</v>
      </c>
    </row>
    <row r="1002">
      <c r="B1002" s="186" t="str">
        <f>IFERROR(__xludf.DUMMYFUNCTION("""COMPUTED_VALUE"""),"PI6085Y")</f>
        <v>PI6085Y</v>
      </c>
      <c r="C1002" s="186"/>
      <c r="D1002" s="186" t="str">
        <f>IFERROR(__xludf.DUMMYFUNCTION("""COMPUTED_VALUE"""),"FALSO")</f>
        <v>FALSO</v>
      </c>
    </row>
    <row r="1003">
      <c r="B1003" s="186" t="str">
        <f>IFERROR(__xludf.DUMMYFUNCTION("""COMPUTED_VALUE"""),"PI6043Y")</f>
        <v>PI6043Y</v>
      </c>
      <c r="C1003" s="186"/>
      <c r="D1003" s="186" t="str">
        <f>IFERROR(__xludf.DUMMYFUNCTION("""COMPUTED_VALUE"""),"FALSO")</f>
        <v>FALSO</v>
      </c>
    </row>
    <row r="1004">
      <c r="B1004" s="186" t="str">
        <f>IFERROR(__xludf.DUMMYFUNCTION("""COMPUTED_VALUE"""),"PI5892Y")</f>
        <v>PI5892Y</v>
      </c>
      <c r="C1004" s="186"/>
      <c r="D1004" s="186" t="str">
        <f>IFERROR(__xludf.DUMMYFUNCTION("""COMPUTED_VALUE"""),"FALSO")</f>
        <v>FALSO</v>
      </c>
    </row>
    <row r="1005">
      <c r="B1005" s="186" t="str">
        <f>IFERROR(__xludf.DUMMYFUNCTION("""COMPUTED_VALUE"""),"PI5892Y")</f>
        <v>PI5892Y</v>
      </c>
      <c r="C1005" s="186"/>
      <c r="D1005" s="186" t="str">
        <f>IFERROR(__xludf.DUMMYFUNCTION("""COMPUTED_VALUE"""),"FALSO")</f>
        <v>FALSO</v>
      </c>
    </row>
    <row r="1006">
      <c r="B1006" s="186" t="str">
        <f>IFERROR(__xludf.DUMMYFUNCTION("""COMPUTED_VALUE"""),"PI7185Y")</f>
        <v>PI7185Y</v>
      </c>
      <c r="C1006" s="186"/>
      <c r="D1006" s="186" t="str">
        <f>IFERROR(__xludf.DUMMYFUNCTION("""COMPUTED_VALUE"""),"FALSO")</f>
        <v>FALSO</v>
      </c>
    </row>
    <row r="1007">
      <c r="B1007" s="186" t="str">
        <f>IFERROR(__xludf.DUMMYFUNCTION("""COMPUTED_VALUE"""),"PI5550Y")</f>
        <v>PI5550Y</v>
      </c>
      <c r="C1007" s="186"/>
      <c r="D1007" s="186" t="str">
        <f>IFERROR(__xludf.DUMMYFUNCTION("""COMPUTED_VALUE"""),"INMETRO Toys System 5 - Ordinance 302")</f>
        <v>INMETRO Toys System 5 - Ordinance 302</v>
      </c>
    </row>
    <row r="1008">
      <c r="B1008" s="186" t="str">
        <f>IFERROR(__xludf.DUMMYFUNCTION("""COMPUTED_VALUE"""),"PI5551Y")</f>
        <v>PI5551Y</v>
      </c>
      <c r="C1008" s="186"/>
      <c r="D1008" s="186" t="str">
        <f>IFERROR(__xludf.DUMMYFUNCTION("""COMPUTED_VALUE"""),"INMETRO Toys System 5 - Ordinance 302")</f>
        <v>INMETRO Toys System 5 - Ordinance 302</v>
      </c>
    </row>
    <row r="1009">
      <c r="B1009" s="186" t="str">
        <f>IFERROR(__xludf.DUMMYFUNCTION("""COMPUTED_VALUE"""),"PI5552Y")</f>
        <v>PI5552Y</v>
      </c>
      <c r="C1009" s="186"/>
      <c r="D1009" s="186" t="str">
        <f>IFERROR(__xludf.DUMMYFUNCTION("""COMPUTED_VALUE"""),"INMETRO Toys System 5 - Ordinance 302")</f>
        <v>INMETRO Toys System 5 - Ordinance 302</v>
      </c>
    </row>
    <row r="1010">
      <c r="B1010" s="186" t="str">
        <f>IFERROR(__xludf.DUMMYFUNCTION("""COMPUTED_VALUE"""),"CS2208")</f>
        <v>CS2208</v>
      </c>
      <c r="C1010" s="186"/>
      <c r="D1010" s="186" t="str">
        <f>IFERROR(__xludf.DUMMYFUNCTION("""COMPUTED_VALUE"""),"FALSO")</f>
        <v>FALSO</v>
      </c>
    </row>
    <row r="1011">
      <c r="B1011" s="186" t="str">
        <f>IFERROR(__xludf.DUMMYFUNCTION("""COMPUTED_VALUE"""),"CS2208")</f>
        <v>CS2208</v>
      </c>
      <c r="C1011" s="186"/>
      <c r="D1011" s="186" t="str">
        <f>IFERROR(__xludf.DUMMYFUNCTION("""COMPUTED_VALUE"""),"FALSO")</f>
        <v>FALSO</v>
      </c>
    </row>
    <row r="1012">
      <c r="B1012" s="186" t="str">
        <f>IFERROR(__xludf.DUMMYFUNCTION("""COMPUTED_VALUE"""),"CS2207")</f>
        <v>CS2207</v>
      </c>
      <c r="C1012" s="186"/>
      <c r="D1012" s="186" t="str">
        <f>IFERROR(__xludf.DUMMYFUNCTION("""COMPUTED_VALUE"""),"INMETRO Toys System 5 - Ordinance 302")</f>
        <v>INMETRO Toys System 5 - Ordinance 302</v>
      </c>
    </row>
    <row r="1013">
      <c r="B1013" s="186" t="str">
        <f>IFERROR(__xludf.DUMMYFUNCTION("""COMPUTED_VALUE"""),"CS2207")</f>
        <v>CS2207</v>
      </c>
      <c r="C1013" s="186"/>
      <c r="D1013" s="186" t="str">
        <f>IFERROR(__xludf.DUMMYFUNCTION("""COMPUTED_VALUE"""),"INMETRO Toys System 5 - Ordinance 302")</f>
        <v>INMETRO Toys System 5 - Ordinance 302</v>
      </c>
    </row>
    <row r="1014">
      <c r="B1014" s="186" t="str">
        <f>IFERROR(__xludf.DUMMYFUNCTION("""COMPUTED_VALUE"""),"CS2209")</f>
        <v>CS2209</v>
      </c>
      <c r="C1014" s="186"/>
      <c r="D1014" s="186" t="str">
        <f>IFERROR(__xludf.DUMMYFUNCTION("""COMPUTED_VALUE"""),"INMETRO Toys System 5 - Ordinance 302")</f>
        <v>INMETRO Toys System 5 - Ordinance 302</v>
      </c>
    </row>
    <row r="1015">
      <c r="B1015" s="186" t="str">
        <f>IFERROR(__xludf.DUMMYFUNCTION("""COMPUTED_VALUE"""),"CS2209")</f>
        <v>CS2209</v>
      </c>
      <c r="C1015" s="186"/>
      <c r="D1015" s="186" t="str">
        <f>IFERROR(__xludf.DUMMYFUNCTION("""COMPUTED_VALUE"""),"INMETRO Toys System 5 - Ordinance 302")</f>
        <v>INMETRO Toys System 5 - Ordinance 302</v>
      </c>
    </row>
    <row r="1016">
      <c r="B1016" s="186" t="str">
        <f>IFERROR(__xludf.DUMMYFUNCTION("""COMPUTED_VALUE"""),"CS2210")</f>
        <v>CS2210</v>
      </c>
      <c r="C1016" s="186"/>
      <c r="D1016" s="186" t="str">
        <f>IFERROR(__xludf.DUMMYFUNCTION("""COMPUTED_VALUE"""),"INMETRO Toys System 5 - Ordinance 302")</f>
        <v>INMETRO Toys System 5 - Ordinance 302</v>
      </c>
    </row>
    <row r="1017">
      <c r="B1017" s="186" t="str">
        <f>IFERROR(__xludf.DUMMYFUNCTION("""COMPUTED_VALUE"""),"CS2210")</f>
        <v>CS2210</v>
      </c>
      <c r="C1017" s="186"/>
      <c r="D1017" s="186" t="str">
        <f>IFERROR(__xludf.DUMMYFUNCTION("""COMPUTED_VALUE"""),"INMETRO Toys System 5 - Ordinance 302")</f>
        <v>INMETRO Toys System 5 - Ordinance 302</v>
      </c>
    </row>
    <row r="1018">
      <c r="B1018" s="186" t="str">
        <f>IFERROR(__xludf.DUMMYFUNCTION("""COMPUTED_VALUE"""),"CS2156")</f>
        <v>CS2156</v>
      </c>
      <c r="C1018" s="186" t="str">
        <f>IFERROR(__xludf.DUMMYFUNCTION("""COMPUTED_VALUE"""),"QUEBRA CABECA 1000 PECAS MINHAS BIJOUX")</f>
        <v>QUEBRA CABECA 1000 PECAS MINHAS BIJOUX</v>
      </c>
      <c r="D1018" s="186" t="str">
        <f>IFERROR(__xludf.DUMMYFUNCTION("""COMPUTED_VALUE"""),"INMETRO Toys System 5 - Ordinance 302 (Factory)")</f>
        <v>INMETRO Toys System 5 - Ordinance 302 (Factory)</v>
      </c>
    </row>
    <row r="1019">
      <c r="B1019" s="186" t="str">
        <f>IFERROR(__xludf.DUMMYFUNCTION("""COMPUTED_VALUE"""),"CS2157")</f>
        <v>CS2157</v>
      </c>
      <c r="C1019" s="186" t="str">
        <f>IFERROR(__xludf.DUMMYFUNCTION("""COMPUTED_VALUE"""),"QUEBRA CABECA 1000 PECAS PRAIA")</f>
        <v>QUEBRA CABECA 1000 PECAS PRAIA</v>
      </c>
      <c r="D1019" s="186" t="str">
        <f>IFERROR(__xludf.DUMMYFUNCTION("""COMPUTED_VALUE"""),"INMETRO Toys System 5 - Ordinance 302 (Factory)")</f>
        <v>INMETRO Toys System 5 - Ordinance 302 (Factory)</v>
      </c>
    </row>
    <row r="1020">
      <c r="B1020" s="186" t="str">
        <f>IFERROR(__xludf.DUMMYFUNCTION("""COMPUTED_VALUE"""),"PI6099Y")</f>
        <v>PI6099Y</v>
      </c>
      <c r="C1020" s="186"/>
      <c r="D1020" s="186" t="str">
        <f>IFERROR(__xludf.DUMMYFUNCTION("""COMPUTED_VALUE"""),"FALSO")</f>
        <v>FALSO</v>
      </c>
    </row>
    <row r="1021">
      <c r="B1021" s="186" t="str">
        <f>IFERROR(__xludf.DUMMYFUNCTION("""COMPUTED_VALUE"""),"PI6098Y")</f>
        <v>PI6098Y</v>
      </c>
      <c r="C1021" s="186"/>
      <c r="D1021" s="186" t="str">
        <f>IFERROR(__xludf.DUMMYFUNCTION("""COMPUTED_VALUE"""),"FALSO")</f>
        <v>FALSO</v>
      </c>
    </row>
    <row r="1022">
      <c r="B1022" s="186" t="str">
        <f>IFERROR(__xludf.DUMMYFUNCTION("""COMPUTED_VALUE"""),"PI6096Y")</f>
        <v>PI6096Y</v>
      </c>
      <c r="C1022" s="186"/>
      <c r="D1022" s="186" t="str">
        <f>IFERROR(__xludf.DUMMYFUNCTION("""COMPUTED_VALUE"""),"FALSO")</f>
        <v>FALSO</v>
      </c>
    </row>
    <row r="1023">
      <c r="B1023" s="186" t="str">
        <f>IFERROR(__xludf.DUMMYFUNCTION("""COMPUTED_VALUE"""),"PI6097Y")</f>
        <v>PI6097Y</v>
      </c>
      <c r="C1023" s="186"/>
      <c r="D1023" s="186" t="str">
        <f>IFERROR(__xludf.DUMMYFUNCTION("""COMPUTED_VALUE"""),"FALSO")</f>
        <v>FALSO</v>
      </c>
    </row>
    <row r="1024">
      <c r="B1024" s="186" t="str">
        <f>IFERROR(__xludf.DUMMYFUNCTION("""COMPUTED_VALUE"""),"CS2138")</f>
        <v>CS2138</v>
      </c>
      <c r="C1024" s="186"/>
      <c r="D1024" s="186" t="str">
        <f>IFERROR(__xludf.DUMMYFUNCTION("""COMPUTED_VALUE"""),"INMETRO Toys System 5 - Ordinance 302")</f>
        <v>INMETRO Toys System 5 - Ordinance 302</v>
      </c>
    </row>
    <row r="1025">
      <c r="B1025" s="186" t="str">
        <f>IFERROR(__xludf.DUMMYFUNCTION("""COMPUTED_VALUE"""),"CS2139")</f>
        <v>CS2139</v>
      </c>
      <c r="C1025" s="186"/>
      <c r="D1025" s="186" t="str">
        <f>IFERROR(__xludf.DUMMYFUNCTION("""COMPUTED_VALUE"""),"INMETRO Toys System 5 - Ordinance 302")</f>
        <v>INMETRO Toys System 5 - Ordinance 302</v>
      </c>
    </row>
    <row r="1026">
      <c r="B1026" s="186" t="str">
        <f>IFERROR(__xludf.DUMMYFUNCTION("""COMPUTED_VALUE"""),"CS2192")</f>
        <v>CS2192</v>
      </c>
      <c r="C1026" s="186"/>
      <c r="D1026" s="186" t="str">
        <f>IFERROR(__xludf.DUMMYFUNCTION("""COMPUTED_VALUE"""),"INMETRO Toys System 5 - Ordinance 302")</f>
        <v>INMETRO Toys System 5 - Ordinance 302</v>
      </c>
    </row>
    <row r="1027">
      <c r="B1027" s="186" t="str">
        <f>IFERROR(__xludf.DUMMYFUNCTION("""COMPUTED_VALUE"""),"PI5022Y")</f>
        <v>PI5022Y</v>
      </c>
      <c r="C1027" s="186"/>
      <c r="D1027" s="186" t="str">
        <f>IFERROR(__xludf.DUMMYFUNCTION("""COMPUTED_VALUE"""),"FALSO")</f>
        <v>FALSO</v>
      </c>
    </row>
    <row r="1028">
      <c r="B1028" s="186" t="str">
        <f>IFERROR(__xludf.DUMMYFUNCTION("""COMPUTED_VALUE"""),"PI5309Y")</f>
        <v>PI5309Y</v>
      </c>
      <c r="C1028" s="186"/>
      <c r="D1028" s="186" t="str">
        <f>IFERROR(__xludf.DUMMYFUNCTION("""COMPUTED_VALUE"""),"FALSO")</f>
        <v>FALSO</v>
      </c>
    </row>
    <row r="1029">
      <c r="B1029" s="186" t="str">
        <f>IFERROR(__xludf.DUMMYFUNCTION("""COMPUTED_VALUE"""),"PI6173Y")</f>
        <v>PI6173Y</v>
      </c>
      <c r="C1029" s="186" t="str">
        <f>IFERROR(__xludf.DUMMYFUNCTION("""COMPUTED_VALUE"""),"LUMINÁRIA DE LEITURA BORIS")</f>
        <v>LUMINÁRIA DE LEITURA BORIS</v>
      </c>
      <c r="D1029" s="186" t="str">
        <f>IFERROR(__xludf.DUMMYFUNCTION("""COMPUTED_VALUE"""),"FALSO")</f>
        <v>FALSO</v>
      </c>
    </row>
    <row r="1030">
      <c r="B1030" s="186" t="str">
        <f>IFERROR(__xludf.DUMMYFUNCTION("""COMPUTED_VALUE"""),"PI5364Y")</f>
        <v>PI5364Y</v>
      </c>
      <c r="C1030" s="186"/>
      <c r="D1030" s="186" t="str">
        <f>IFERROR(__xludf.DUMMYFUNCTION("""COMPUTED_VALUE"""),"FALSO")</f>
        <v>FALSO</v>
      </c>
    </row>
    <row r="1031">
      <c r="B1031" s="186" t="str">
        <f>IFERROR(__xludf.DUMMYFUNCTION("""COMPUTED_VALUE"""),"PI5363Y")</f>
        <v>PI5363Y</v>
      </c>
      <c r="C1031" s="186"/>
      <c r="D1031" s="186" t="str">
        <f>IFERROR(__xludf.DUMMYFUNCTION("""COMPUTED_VALUE"""),"FALSO")</f>
        <v>FALSO</v>
      </c>
    </row>
    <row r="1032">
      <c r="B1032" s="186" t="str">
        <f>IFERROR(__xludf.DUMMYFUNCTION("""COMPUTED_VALUE"""),"PI6058Y")</f>
        <v>PI6058Y</v>
      </c>
      <c r="C1032" s="186"/>
      <c r="D1032" s="186" t="str">
        <f>IFERROR(__xludf.DUMMYFUNCTION("""COMPUTED_VALUE"""),"FALSO")</f>
        <v>FALSO</v>
      </c>
    </row>
    <row r="1033">
      <c r="B1033" s="186" t="str">
        <f>IFERROR(__xludf.DUMMYFUNCTION("""COMPUTED_VALUE"""),"PI6629Y")</f>
        <v>PI6629Y</v>
      </c>
      <c r="C1033" s="186"/>
      <c r="D1033" s="186" t="str">
        <f>IFERROR(__xludf.DUMMYFUNCTION("""COMPUTED_VALUE"""),"FALSO")</f>
        <v>FALSO</v>
      </c>
    </row>
    <row r="1034">
      <c r="B1034" s="186" t="str">
        <f>IFERROR(__xludf.DUMMYFUNCTION("""COMPUTED_VALUE"""),"PI7365Y")</f>
        <v>PI7365Y</v>
      </c>
      <c r="C1034" s="186"/>
      <c r="D1034" s="186" t="str">
        <f>IFERROR(__xludf.DUMMYFUNCTION("""COMPUTED_VALUE"""),"FALSO")</f>
        <v>FALSO</v>
      </c>
    </row>
    <row r="1035">
      <c r="B1035" s="186" t="str">
        <f>IFERROR(__xludf.DUMMYFUNCTION("""COMPUTED_VALUE"""),"PI5874Y")</f>
        <v>PI5874Y</v>
      </c>
      <c r="C1035" s="186"/>
      <c r="D1035" s="186" t="str">
        <f>IFERROR(__xludf.DUMMYFUNCTION("""COMPUTED_VALUE"""),"FALSO")</f>
        <v>FALSO</v>
      </c>
    </row>
    <row r="1036">
      <c r="B1036" s="186" t="str">
        <f>IFERROR(__xludf.DUMMYFUNCTION("""COMPUTED_VALUE"""),"PI5865Y")</f>
        <v>PI5865Y</v>
      </c>
      <c r="C1036" s="186"/>
      <c r="D1036" s="186" t="str">
        <f>IFERROR(__xludf.DUMMYFUNCTION("""COMPUTED_VALUE"""),"INMETRO Toys System 5 - Ordinance 302")</f>
        <v>INMETRO Toys System 5 - Ordinance 302</v>
      </c>
    </row>
    <row r="1037">
      <c r="B1037" s="186" t="str">
        <f>IFERROR(__xludf.DUMMYFUNCTION("""COMPUTED_VALUE"""),"PI5327Y")</f>
        <v>PI5327Y</v>
      </c>
      <c r="C1037" s="186"/>
      <c r="D1037" s="186" t="str">
        <f>IFERROR(__xludf.DUMMYFUNCTION("""COMPUTED_VALUE"""),"Anatel Category 2 - Bluetooth Module")</f>
        <v>Anatel Category 2 - Bluetooth Module</v>
      </c>
    </row>
    <row r="1038">
      <c r="B1038" s="186" t="str">
        <f>IFERROR(__xludf.DUMMYFUNCTION("""COMPUTED_VALUE"""),"CS2332")</f>
        <v>CS2332</v>
      </c>
      <c r="C1038" s="186"/>
      <c r="D1038" s="186" t="str">
        <f>IFERROR(__xludf.DUMMYFUNCTION("""COMPUTED_VALUE"""),"FALSO")</f>
        <v>FALSO</v>
      </c>
    </row>
    <row r="1039">
      <c r="B1039" s="186" t="str">
        <f>IFERROR(__xludf.DUMMYFUNCTION("""COMPUTED_VALUE"""),"PI5214")</f>
        <v>PI5214</v>
      </c>
      <c r="C1039" s="186" t="str">
        <f>IFERROR(__xludf.DUMMYFUNCTION("""COMPUTED_VALUE"""),"ESPELHO RETANGULAR DE PAREDE COM LED")</f>
        <v>ESPELHO RETANGULAR DE PAREDE COM LED</v>
      </c>
      <c r="D1039" s="186" t="str">
        <f>IFERROR(__xludf.DUMMYFUNCTION("""COMPUTED_VALUE"""),"FALSO")</f>
        <v>FALSO</v>
      </c>
    </row>
    <row r="1040">
      <c r="B1040" s="186" t="str">
        <f>IFERROR(__xludf.DUMMYFUNCTION("""COMPUTED_VALUE"""),"CS2041")</f>
        <v>CS2041</v>
      </c>
      <c r="C1040" s="186"/>
      <c r="D1040" s="186" t="str">
        <f>IFERROR(__xludf.DUMMYFUNCTION("""COMPUTED_VALUE"""),"FALSO")</f>
        <v>FALSO</v>
      </c>
    </row>
    <row r="1041">
      <c r="B1041" s="186" t="str">
        <f>IFERROR(__xludf.DUMMYFUNCTION("""COMPUTED_VALUE"""),"PI6581Y")</f>
        <v>PI6581Y</v>
      </c>
      <c r="C1041" s="186" t="str">
        <f>IFERROR(__xludf.DUMMYFUNCTION("""COMPUTED_VALUE"""),"PIPOQUEIRA ELETRICA VERMELHA PIPOCA 127V")</f>
        <v>PIPOQUEIRA ELETRICA VERMELHA PIPOCA 127V</v>
      </c>
      <c r="D1041" s="186" t="str">
        <f>IFERROR(__xludf.DUMMYFUNCTION("""COMPUTED_VALUE"""),"INMETRO Electrical Security System 5 (Factory)")</f>
        <v>INMETRO Electrical Security System 5 (Factory)</v>
      </c>
    </row>
    <row r="1042">
      <c r="B1042" s="186" t="str">
        <f>IFERROR(__xludf.DUMMYFUNCTION("""COMPUTED_VALUE"""),"PI6732Y")</f>
        <v>PI6732Y</v>
      </c>
      <c r="C1042" s="186" t="str">
        <f>IFERROR(__xludf.DUMMYFUNCTION("""COMPUTED_VALUE"""),"PIPOQUEIRA ELETRICA VERMELHA PIPOCA 220V")</f>
        <v>PIPOQUEIRA ELETRICA VERMELHA PIPOCA 220V</v>
      </c>
      <c r="D1042" s="186" t="str">
        <f>IFERROR(__xludf.DUMMYFUNCTION("""COMPUTED_VALUE"""),"INMETRO Electrical Security System 5 (Factory)")</f>
        <v>INMETRO Electrical Security System 5 (Factory)</v>
      </c>
    </row>
    <row r="1043">
      <c r="B1043" s="186" t="str">
        <f>IFERROR(__xludf.DUMMYFUNCTION("""COMPUTED_VALUE"""),"PI7749Y")</f>
        <v>PI7749Y</v>
      </c>
      <c r="C1043" s="186"/>
      <c r="D1043" s="186" t="str">
        <f>IFERROR(__xludf.DUMMYFUNCTION("""COMPUTED_VALUE"""),"FALSO")</f>
        <v>FALSO</v>
      </c>
    </row>
    <row r="1044">
      <c r="B1044" s="186" t="str">
        <f>IFERROR(__xludf.DUMMYFUNCTION("""COMPUTED_VALUE"""),"CS2195")</f>
        <v>CS2195</v>
      </c>
      <c r="C1044" s="186"/>
      <c r="D1044" s="186" t="str">
        <f>IFERROR(__xludf.DUMMYFUNCTION("""COMPUTED_VALUE"""),"FALSO")</f>
        <v>FALSO</v>
      </c>
    </row>
    <row r="1045">
      <c r="B1045" s="186" t="str">
        <f>IFERROR(__xludf.DUMMYFUNCTION("""COMPUTED_VALUE"""),"PI5909Y")</f>
        <v>PI5909Y</v>
      </c>
      <c r="C1045" s="186"/>
      <c r="D1045" s="186" t="str">
        <f>IFERROR(__xludf.DUMMYFUNCTION("""COMPUTED_VALUE"""),"FALSO")</f>
        <v>FALSO</v>
      </c>
    </row>
    <row r="1046">
      <c r="B1046" s="186" t="str">
        <f>IFERROR(__xludf.DUMMYFUNCTION("""COMPUTED_VALUE"""),"PI5909Y")</f>
        <v>PI5909Y</v>
      </c>
      <c r="C1046" s="186"/>
      <c r="D1046" s="186" t="str">
        <f>IFERROR(__xludf.DUMMYFUNCTION("""COMPUTED_VALUE"""),"FALSO")</f>
        <v>FALSO</v>
      </c>
    </row>
    <row r="1047">
      <c r="B1047" s="186" t="str">
        <f>IFERROR(__xludf.DUMMYFUNCTION("""COMPUTED_VALUE"""),"PI6998Y")</f>
        <v>PI6998Y</v>
      </c>
      <c r="C1047" s="186" t="str">
        <f>IFERROR(__xludf.DUMMYFUNCTION("""COMPUTED_VALUE"""),"PORTA RETRATO GIRATORIO CUBO")</f>
        <v>PORTA RETRATO GIRATORIO CUBO</v>
      </c>
      <c r="D1047" s="186" t="str">
        <f>IFERROR(__xludf.DUMMYFUNCTION("""COMPUTED_VALUE"""),"FALSO")</f>
        <v>FALSO</v>
      </c>
    </row>
    <row r="1048">
      <c r="B1048" s="186" t="str">
        <f>IFERROR(__xludf.DUMMYFUNCTION("""COMPUTED_VALUE"""),"PI6148Y")</f>
        <v>PI6148Y</v>
      </c>
      <c r="C1048" s="186"/>
      <c r="D1048" s="186" t="str">
        <f>IFERROR(__xludf.DUMMYFUNCTION("""COMPUTED_VALUE"""),"FALSO")</f>
        <v>FALSO</v>
      </c>
    </row>
    <row r="1049">
      <c r="B1049" s="186" t="str">
        <f>IFERROR(__xludf.DUMMYFUNCTION("""COMPUTED_VALUE"""),"PI5280Y")</f>
        <v>PI5280Y</v>
      </c>
      <c r="C1049" s="186" t="str">
        <f>IFERROR(__xludf.DUMMYFUNCTION("""COMPUTED_VALUE"""),"ROUPAO COM MASSAGEADOR DIAS DE LUTA")</f>
        <v>ROUPAO COM MASSAGEADOR DIAS DE LUTA</v>
      </c>
      <c r="D1049" s="186" t="str">
        <f>IFERROR(__xludf.DUMMYFUNCTION("""COMPUTED_VALUE"""),"FALSO")</f>
        <v>FALSO</v>
      </c>
    </row>
    <row r="1050">
      <c r="B1050" s="186" t="str">
        <f>IFERROR(__xludf.DUMMYFUNCTION("""COMPUTED_VALUE"""),"PI5094Y")</f>
        <v>PI5094Y</v>
      </c>
      <c r="C1050" s="186"/>
      <c r="D1050" s="186" t="str">
        <f>IFERROR(__xludf.DUMMYFUNCTION("""COMPUTED_VALUE"""),"CHECKING")</f>
        <v>CHECKING</v>
      </c>
    </row>
    <row r="1051">
      <c r="B1051" s="186" t="str">
        <f>IFERROR(__xludf.DUMMYFUNCTION("""COMPUTED_VALUE"""),"PI5339Y")</f>
        <v>PI5339Y</v>
      </c>
      <c r="C1051" s="186"/>
      <c r="D1051" s="186" t="str">
        <f>IFERROR(__xludf.DUMMYFUNCTION("""COMPUTED_VALUE"""),"FALSO")</f>
        <v>FALSO</v>
      </c>
    </row>
    <row r="1052">
      <c r="B1052" s="186" t="str">
        <f>IFERROR(__xludf.DUMMYFUNCTION("""COMPUTED_VALUE"""),"PI5338Y")</f>
        <v>PI5338Y</v>
      </c>
      <c r="C1052" s="186"/>
      <c r="D1052" s="186" t="str">
        <f>IFERROR(__xludf.DUMMYFUNCTION("""COMPUTED_VALUE"""),"FALSO")</f>
        <v>FALSO</v>
      </c>
    </row>
    <row r="1053">
      <c r="B1053" s="186" t="str">
        <f>IFERROR(__xludf.DUMMYFUNCTION("""COMPUTED_VALUE"""),"PI5184Y")</f>
        <v>PI5184Y</v>
      </c>
      <c r="C1053" s="186"/>
      <c r="D1053" s="186" t="str">
        <f>IFERROR(__xludf.DUMMYFUNCTION("""COMPUTED_VALUE"""),"FALSO")</f>
        <v>FALSO</v>
      </c>
    </row>
    <row r="1054">
      <c r="B1054" s="186" t="str">
        <f>IFERROR(__xludf.DUMMYFUNCTION("""COMPUTED_VALUE"""),"PI7539Y")</f>
        <v>PI7539Y</v>
      </c>
      <c r="C1054" s="186"/>
      <c r="D1054" s="186" t="str">
        <f>IFERROR(__xludf.DUMMYFUNCTION("""COMPUTED_VALUE"""),"FALSO")</f>
        <v>FALSO</v>
      </c>
    </row>
    <row r="1055">
      <c r="B1055" s="186" t="str">
        <f>IFERROR(__xludf.DUMMYFUNCTION("""COMPUTED_VALUE"""),"CS2323")</f>
        <v>CS2323</v>
      </c>
      <c r="C1055" s="186"/>
      <c r="D1055" s="186" t="str">
        <f>IFERROR(__xludf.DUMMYFUNCTION("""COMPUTED_VALUE"""),"FALSO")</f>
        <v>FALSO</v>
      </c>
    </row>
    <row r="1056">
      <c r="B1056" s="186" t="str">
        <f>IFERROR(__xludf.DUMMYFUNCTION("""COMPUTED_VALUE"""),"PI6867Y")</f>
        <v>PI6867Y</v>
      </c>
      <c r="C1056" s="186"/>
      <c r="D1056" s="186" t="str">
        <f>IFERROR(__xludf.DUMMYFUNCTION("""COMPUTED_VALUE"""),"INMETRO SCHOOL ARTICLES - ORDINANCE 423")</f>
        <v>INMETRO SCHOOL ARTICLES - ORDINANCE 423</v>
      </c>
    </row>
    <row r="1057">
      <c r="B1057" s="186" t="str">
        <f>IFERROR(__xludf.DUMMYFUNCTION("""COMPUTED_VALUE"""),"PI6863Y")</f>
        <v>PI6863Y</v>
      </c>
      <c r="C1057" s="186"/>
      <c r="D1057" s="186" t="str">
        <f>IFERROR(__xludf.DUMMYFUNCTION("""COMPUTED_VALUE"""),"INMETRO SCHOOL ARTICLES - ORDINANCE 423")</f>
        <v>INMETRO SCHOOL ARTICLES - ORDINANCE 423</v>
      </c>
    </row>
    <row r="1058">
      <c r="B1058" s="186" t="str">
        <f>IFERROR(__xludf.DUMMYFUNCTION("""COMPUTED_VALUE"""),"PI6864Y")</f>
        <v>PI6864Y</v>
      </c>
      <c r="C1058" s="186"/>
      <c r="D1058" s="186" t="str">
        <f>IFERROR(__xludf.DUMMYFUNCTION("""COMPUTED_VALUE"""),"INMETRO SCHOOL ARTICLES - ORDINANCE 423")</f>
        <v>INMETRO SCHOOL ARTICLES - ORDINANCE 423</v>
      </c>
    </row>
    <row r="1059">
      <c r="B1059" s="186" t="str">
        <f>IFERROR(__xludf.DUMMYFUNCTION("""COMPUTED_VALUE"""),"PI6866Y")</f>
        <v>PI6866Y</v>
      </c>
      <c r="C1059" s="186"/>
      <c r="D1059" s="186" t="str">
        <f>IFERROR(__xludf.DUMMYFUNCTION("""COMPUTED_VALUE"""),"INMETRO SCHOOL ARTICLES - ORDINANCE 423")</f>
        <v>INMETRO SCHOOL ARTICLES - ORDINANCE 423</v>
      </c>
    </row>
    <row r="1060">
      <c r="B1060" s="186" t="str">
        <f>IFERROR(__xludf.DUMMYFUNCTION("""COMPUTED_VALUE"""),"PI6868Y")</f>
        <v>PI6868Y</v>
      </c>
      <c r="C1060" s="186"/>
      <c r="D1060" s="186" t="str">
        <f>IFERROR(__xludf.DUMMYFUNCTION("""COMPUTED_VALUE"""),"INMETRO SCHOOL ARTICLES - ORDINANCE 423")</f>
        <v>INMETRO SCHOOL ARTICLES - ORDINANCE 423</v>
      </c>
    </row>
    <row r="1061">
      <c r="B1061" s="186" t="str">
        <f>IFERROR(__xludf.DUMMYFUNCTION("""COMPUTED_VALUE"""),"CS2042")</f>
        <v>CS2042</v>
      </c>
      <c r="C1061" s="186"/>
      <c r="D1061" s="186" t="str">
        <f>IFERROR(__xludf.DUMMYFUNCTION("""COMPUTED_VALUE"""),"FALSO")</f>
        <v>FALSO</v>
      </c>
    </row>
    <row r="1062">
      <c r="B1062" s="186" t="str">
        <f>IFERROR(__xludf.DUMMYFUNCTION("""COMPUTED_VALUE"""),"CS2063")</f>
        <v>CS2063</v>
      </c>
      <c r="C1062" s="186"/>
      <c r="D1062" s="186" t="str">
        <f>IFERROR(__xludf.DUMMYFUNCTION("""COMPUTED_VALUE"""),"FALSO")</f>
        <v>FALSO</v>
      </c>
    </row>
    <row r="1063">
      <c r="B1063" s="186" t="str">
        <f>IFERROR(__xludf.DUMMYFUNCTION("""COMPUTED_VALUE"""),"PI7317Y")</f>
        <v>PI7317Y</v>
      </c>
      <c r="C1063" s="186"/>
      <c r="D1063" s="186" t="str">
        <f>IFERROR(__xludf.DUMMYFUNCTION("""COMPUTED_VALUE"""),"FALSO")</f>
        <v>FALSO</v>
      </c>
    </row>
    <row r="1064">
      <c r="B1064" s="186" t="str">
        <f>IFERROR(__xludf.DUMMYFUNCTION("""COMPUTED_VALUE"""),"PI5501Y")</f>
        <v>PI5501Y</v>
      </c>
      <c r="C1064" s="186"/>
      <c r="D1064" s="186" t="str">
        <f>IFERROR(__xludf.DUMMYFUNCTION("""COMPUTED_VALUE"""),"FALSO")</f>
        <v>FALSO</v>
      </c>
    </row>
    <row r="1065">
      <c r="B1065" s="186" t="str">
        <f>IFERROR(__xludf.DUMMYFUNCTION("""COMPUTED_VALUE"""),"PI5502Y")</f>
        <v>PI5502Y</v>
      </c>
      <c r="C1065" s="186"/>
      <c r="D1065" s="186" t="str">
        <f>IFERROR(__xludf.DUMMYFUNCTION("""COMPUTED_VALUE"""),"FALSO")</f>
        <v>FALSO</v>
      </c>
    </row>
    <row r="1066">
      <c r="B1066" s="186" t="str">
        <f>IFERROR(__xludf.DUMMYFUNCTION("""COMPUTED_VALUE"""),"PI5503Y")</f>
        <v>PI5503Y</v>
      </c>
      <c r="C1066" s="186"/>
      <c r="D1066" s="186" t="str">
        <f>IFERROR(__xludf.DUMMYFUNCTION("""COMPUTED_VALUE"""),"FALSO")</f>
        <v>FALSO</v>
      </c>
    </row>
    <row r="1067">
      <c r="B1067" s="186" t="str">
        <f>IFERROR(__xludf.DUMMYFUNCTION("""COMPUTED_VALUE"""),"PI7548Y")</f>
        <v>PI7548Y</v>
      </c>
      <c r="C1067" s="186"/>
      <c r="D1067" s="186" t="str">
        <f>IFERROR(__xludf.DUMMYFUNCTION("""COMPUTED_VALUE"""),"FALSO")</f>
        <v>FALSO</v>
      </c>
    </row>
    <row r="1068">
      <c r="B1068" s="186" t="str">
        <f>IFERROR(__xludf.DUMMYFUNCTION("""COMPUTED_VALUE"""),"PI6155Y")</f>
        <v>PI6155Y</v>
      </c>
      <c r="C1068" s="186"/>
      <c r="D1068" s="186" t="str">
        <f>IFERROR(__xludf.DUMMYFUNCTION("""COMPUTED_VALUE"""),"INMETRO SCHOOL ARTICLES SYSTEM 5 - ORDINANCE 481")</f>
        <v>INMETRO SCHOOL ARTICLES SYSTEM 5 - ORDINANCE 481</v>
      </c>
    </row>
    <row r="1069">
      <c r="B1069" s="186" t="str">
        <f>IFERROR(__xludf.DUMMYFUNCTION("""COMPUTED_VALUE"""),"PI6237Y")</f>
        <v>PI6237Y</v>
      </c>
      <c r="C1069" s="186"/>
      <c r="D1069" s="186" t="str">
        <f>IFERROR(__xludf.DUMMYFUNCTION("""COMPUTED_VALUE"""),"FALSO")</f>
        <v>FALSO</v>
      </c>
    </row>
    <row r="1070">
      <c r="B1070" s="186" t="str">
        <f>IFERROR(__xludf.DUMMYFUNCTION("""COMPUTED_VALUE"""),"PI5905Y")</f>
        <v>PI5905Y</v>
      </c>
      <c r="C1070" s="186"/>
      <c r="D1070" s="186" t="str">
        <f>IFERROR(__xludf.DUMMYFUNCTION("""COMPUTED_VALUE"""),"FALSO")</f>
        <v>FALSO</v>
      </c>
    </row>
    <row r="1071">
      <c r="B1071" s="186" t="str">
        <f>IFERROR(__xludf.DUMMYFUNCTION("""COMPUTED_VALUE"""),"PI5905Y")</f>
        <v>PI5905Y</v>
      </c>
      <c r="C1071" s="186"/>
      <c r="D1071" s="186" t="str">
        <f>IFERROR(__xludf.DUMMYFUNCTION("""COMPUTED_VALUE"""),"FALSO")</f>
        <v>FALSO</v>
      </c>
    </row>
    <row r="1072">
      <c r="B1072" s="186" t="str">
        <f>IFERROR(__xludf.DUMMYFUNCTION("""COMPUTED_VALUE"""),"PI5889Y")</f>
        <v>PI5889Y</v>
      </c>
      <c r="C1072" s="186"/>
      <c r="D1072" s="186" t="str">
        <f>IFERROR(__xludf.DUMMYFUNCTION("""COMPUTED_VALUE"""),"FALSO")</f>
        <v>FALSO</v>
      </c>
    </row>
    <row r="1073">
      <c r="B1073" s="186" t="str">
        <f>IFERROR(__xludf.DUMMYFUNCTION("""COMPUTED_VALUE"""),"PI5889Y")</f>
        <v>PI5889Y</v>
      </c>
      <c r="C1073" s="186"/>
      <c r="D1073" s="186" t="str">
        <f>IFERROR(__xludf.DUMMYFUNCTION("""COMPUTED_VALUE"""),"FALSO")</f>
        <v>FALSO</v>
      </c>
    </row>
    <row r="1074">
      <c r="B1074" s="186" t="str">
        <f>IFERROR(__xludf.DUMMYFUNCTION("""COMPUTED_VALUE"""),"PI5873Y")</f>
        <v>PI5873Y</v>
      </c>
      <c r="C1074" s="186"/>
      <c r="D1074" s="186" t="str">
        <f>IFERROR(__xludf.DUMMYFUNCTION("""COMPUTED_VALUE"""),"FALSO")</f>
        <v>FALSO</v>
      </c>
    </row>
    <row r="1075">
      <c r="B1075" s="186" t="str">
        <f>IFERROR(__xludf.DUMMYFUNCTION("""COMPUTED_VALUE"""),"PI5801Y")</f>
        <v>PI5801Y</v>
      </c>
      <c r="C1075" s="186"/>
      <c r="D1075" s="186" t="str">
        <f>IFERROR(__xludf.DUMMYFUNCTION("""COMPUTED_VALUE"""),"FALSO")</f>
        <v>FALSO</v>
      </c>
    </row>
    <row r="1076">
      <c r="B1076" s="186" t="str">
        <f>IFERROR(__xludf.DUMMYFUNCTION("""COMPUTED_VALUE"""),"PI5891Y")</f>
        <v>PI5891Y</v>
      </c>
      <c r="C1076" s="186"/>
      <c r="D1076" s="186" t="str">
        <f>IFERROR(__xludf.DUMMYFUNCTION("""COMPUTED_VALUE"""),"PENDING")</f>
        <v>PENDING</v>
      </c>
    </row>
    <row r="1077">
      <c r="B1077" s="186" t="str">
        <f>IFERROR(__xludf.DUMMYFUNCTION("""COMPUTED_VALUE"""),"PI6082Y")</f>
        <v>PI6082Y</v>
      </c>
      <c r="C1077" s="186"/>
      <c r="D1077" s="186" t="str">
        <f>IFERROR(__xludf.DUMMYFUNCTION("""COMPUTED_VALUE"""),"FALSO")</f>
        <v>FALSO</v>
      </c>
    </row>
    <row r="1078">
      <c r="B1078" s="186" t="str">
        <f>IFERROR(__xludf.DUMMYFUNCTION("""COMPUTED_VALUE"""),"PI5880Y")</f>
        <v>PI5880Y</v>
      </c>
      <c r="C1078" s="186"/>
      <c r="D1078" s="186" t="str">
        <f>IFERROR(__xludf.DUMMYFUNCTION("""COMPUTED_VALUE"""),"FALSO")</f>
        <v>FALSO</v>
      </c>
    </row>
    <row r="1079">
      <c r="B1079" s="186" t="str">
        <f>IFERROR(__xludf.DUMMYFUNCTION("""COMPUTED_VALUE"""),"PI5880Y")</f>
        <v>PI5880Y</v>
      </c>
      <c r="C1079" s="186"/>
      <c r="D1079" s="186" t="str">
        <f>IFERROR(__xludf.DUMMYFUNCTION("""COMPUTED_VALUE"""),"FALSO")</f>
        <v>FALSO</v>
      </c>
    </row>
    <row r="1080">
      <c r="B1080" s="186" t="str">
        <f>IFERROR(__xludf.DUMMYFUNCTION("""COMPUTED_VALUE"""),"PI5881Y")</f>
        <v>PI5881Y</v>
      </c>
      <c r="C1080" s="186"/>
      <c r="D1080" s="186" t="str">
        <f>IFERROR(__xludf.DUMMYFUNCTION("""COMPUTED_VALUE"""),"FALSO")</f>
        <v>FALSO</v>
      </c>
    </row>
    <row r="1081">
      <c r="B1081" s="186" t="str">
        <f>IFERROR(__xludf.DUMMYFUNCTION("""COMPUTED_VALUE"""),"PI5277Y")</f>
        <v>PI5277Y</v>
      </c>
      <c r="C1081" s="186"/>
      <c r="D1081" s="186" t="str">
        <f>IFERROR(__xludf.DUMMYFUNCTION("""COMPUTED_VALUE"""),"FALSO")</f>
        <v>FALSO</v>
      </c>
    </row>
    <row r="1082">
      <c r="B1082" s="186" t="str">
        <f>IFERROR(__xludf.DUMMYFUNCTION("""COMPUTED_VALUE"""),"PI5236Y")</f>
        <v>PI5236Y</v>
      </c>
      <c r="C1082" s="186"/>
      <c r="D1082" s="186" t="str">
        <f>IFERROR(__xludf.DUMMYFUNCTION("""COMPUTED_VALUE"""),"FALSO")</f>
        <v>FALSO</v>
      </c>
    </row>
    <row r="1083">
      <c r="B1083" s="186" t="str">
        <f>IFERROR(__xludf.DUMMYFUNCTION("""COMPUTED_VALUE"""),"CS2128")</f>
        <v>CS2128</v>
      </c>
      <c r="C1083" s="186" t="str">
        <f>IFERROR(__xludf.DUMMYFUNCTION("""COMPUTED_VALUE"""),"CONJUNTO DE CANECAS MOZAO E MOZINHO")</f>
        <v>CONJUNTO DE CANECAS MOZAO E MOZINHO</v>
      </c>
      <c r="D1083" s="186" t="str">
        <f>IFERROR(__xludf.DUMMYFUNCTION("""COMPUTED_VALUE"""),"FALSO")</f>
        <v>FALSO</v>
      </c>
    </row>
    <row r="1084">
      <c r="B1084" s="186" t="str">
        <f>IFERROR(__xludf.DUMMYFUNCTION("""COMPUTED_VALUE"""),"PI5366Y")</f>
        <v>PI5366Y</v>
      </c>
      <c r="C1084" s="186"/>
      <c r="D1084" s="186" t="str">
        <f>IFERROR(__xludf.DUMMYFUNCTION("""COMPUTED_VALUE"""),"FALSO")</f>
        <v>FALSO</v>
      </c>
    </row>
    <row r="1085">
      <c r="B1085" s="186" t="str">
        <f>IFERROR(__xludf.DUMMYFUNCTION("""COMPUTED_VALUE"""),"PI5802Y")</f>
        <v>PI5802Y</v>
      </c>
      <c r="C1085" s="186"/>
      <c r="D1085" s="186" t="str">
        <f>IFERROR(__xludf.DUMMYFUNCTION("""COMPUTED_VALUE"""),"FALSO")</f>
        <v>FALSO</v>
      </c>
    </row>
    <row r="1086">
      <c r="B1086" s="186" t="str">
        <f>IFERROR(__xludf.DUMMYFUNCTION("""COMPUTED_VALUE"""),"PI7312Y")</f>
        <v>PI7312Y</v>
      </c>
      <c r="C1086" s="186"/>
      <c r="D1086" s="186" t="str">
        <f>IFERROR(__xludf.DUMMYFUNCTION("""COMPUTED_VALUE"""),"FALSO")</f>
        <v>FALSO</v>
      </c>
    </row>
    <row r="1087">
      <c r="B1087" s="186" t="str">
        <f>IFERROR(__xludf.DUMMYFUNCTION("""COMPUTED_VALUE"""),"PI7366Y")</f>
        <v>PI7366Y</v>
      </c>
      <c r="C1087" s="186"/>
      <c r="D1087" s="186" t="str">
        <f>IFERROR(__xludf.DUMMYFUNCTION("""COMPUTED_VALUE"""),"FALSO")</f>
        <v>FALSO</v>
      </c>
    </row>
    <row r="1088">
      <c r="B1088" s="186" t="str">
        <f>IFERROR(__xludf.DUMMYFUNCTION("""COMPUTED_VALUE"""),"PI6251Y")</f>
        <v>PI6251Y</v>
      </c>
      <c r="C1088" s="186"/>
      <c r="D1088" s="186" t="str">
        <f>IFERROR(__xludf.DUMMYFUNCTION("""COMPUTED_VALUE"""),"FALSO")</f>
        <v>FALSO</v>
      </c>
    </row>
    <row r="1089">
      <c r="B1089" s="186" t="str">
        <f>IFERROR(__xludf.DUMMYFUNCTION("""COMPUTED_VALUE"""),"PI7956Y")</f>
        <v>PI7956Y</v>
      </c>
      <c r="C1089" s="186" t="str">
        <f>IFERROR(__xludf.DUMMYFUNCTION("""COMPUTED_VALUE"""),"TAG DE MALA SILICONE PREGUICINHA")</f>
        <v>TAG DE MALA SILICONE PREGUICINHA</v>
      </c>
      <c r="D1089" s="186" t="str">
        <f>IFERROR(__xludf.DUMMYFUNCTION("""COMPUTED_VALUE"""),"FALSO")</f>
        <v>FALSO</v>
      </c>
    </row>
    <row r="1090">
      <c r="B1090" s="186" t="str">
        <f>IFERROR(__xludf.DUMMYFUNCTION("""COMPUTED_VALUE"""),"PI6540Y")</f>
        <v>PI6540Y</v>
      </c>
      <c r="C1090" s="186" t="str">
        <f>IFERROR(__xludf.DUMMYFUNCTION("""COMPUTED_VALUE"""),"LUMINARIA SILICONE 03")</f>
        <v>LUMINARIA SILICONE 03</v>
      </c>
      <c r="D1090" s="186" t="str">
        <f>IFERROR(__xludf.DUMMYFUNCTION("""COMPUTED_VALUE"""),"FALSO")</f>
        <v>FALSO</v>
      </c>
    </row>
    <row r="1091">
      <c r="B1091" s="186" t="str">
        <f>IFERROR(__xludf.DUMMYFUNCTION("""COMPUTED_VALUE"""),"PI6541Y")</f>
        <v>PI6541Y</v>
      </c>
      <c r="C1091" s="186" t="str">
        <f>IFERROR(__xludf.DUMMYFUNCTION("""COMPUTED_VALUE"""),"LUMINARIA SILICONE 04")</f>
        <v>LUMINARIA SILICONE 04</v>
      </c>
      <c r="D1091" s="186" t="str">
        <f>IFERROR(__xludf.DUMMYFUNCTION("""COMPUTED_VALUE"""),"FALSO")</f>
        <v>FALSO</v>
      </c>
    </row>
    <row r="1092">
      <c r="B1092" s="186" t="str">
        <f>IFERROR(__xludf.DUMMYFUNCTION("""COMPUTED_VALUE"""),"PI5367Y")</f>
        <v>PI5367Y</v>
      </c>
      <c r="C1092" s="186"/>
      <c r="D1092" s="186" t="str">
        <f>IFERROR(__xludf.DUMMYFUNCTION("""COMPUTED_VALUE"""),"FALSO")</f>
        <v>FALSO</v>
      </c>
    </row>
    <row r="1093">
      <c r="B1093" s="186" t="str">
        <f>IFERROR(__xludf.DUMMYFUNCTION("""COMPUTED_VALUE"""),"PI7598Y")</f>
        <v>PI7598Y</v>
      </c>
      <c r="C1093" s="186"/>
      <c r="D1093" s="186" t="str">
        <f>IFERROR(__xludf.DUMMYFUNCTION("""COMPUTED_VALUE"""),"FALSO")</f>
        <v>FALSO</v>
      </c>
    </row>
    <row r="1094">
      <c r="B1094" s="186" t="str">
        <f>IFERROR(__xludf.DUMMYFUNCTION("""COMPUTED_VALUE"""),"PI7170Y")</f>
        <v>PI7170Y</v>
      </c>
      <c r="C1094" s="186"/>
      <c r="D1094" s="186" t="str">
        <f>IFERROR(__xludf.DUMMYFUNCTION("""COMPUTED_VALUE"""),"INMETRO SCHOOL ARTICLES - ORDINANCE 423")</f>
        <v>INMETRO SCHOOL ARTICLES - ORDINANCE 423</v>
      </c>
    </row>
    <row r="1095">
      <c r="B1095" s="186" t="str">
        <f>IFERROR(__xludf.DUMMYFUNCTION("""COMPUTED_VALUE"""),"PI7171Y")</f>
        <v>PI7171Y</v>
      </c>
      <c r="C1095" s="186"/>
      <c r="D1095" s="186" t="str">
        <f>IFERROR(__xludf.DUMMYFUNCTION("""COMPUTED_VALUE"""),"INMETRO SCHOOL ARTICLES - ORDINANCE 423")</f>
        <v>INMETRO SCHOOL ARTICLES - ORDINANCE 423</v>
      </c>
    </row>
    <row r="1096">
      <c r="B1096" s="186" t="str">
        <f>IFERROR(__xludf.DUMMYFUNCTION("""COMPUTED_VALUE"""),"PI7552Y")</f>
        <v>PI7552Y</v>
      </c>
      <c r="C1096" s="186"/>
      <c r="D1096" s="186" t="str">
        <f>IFERROR(__xludf.DUMMYFUNCTION("""COMPUTED_VALUE"""),"INMETRO SCHOOL ARTICLES SYSTEM 5 - ORDINANCE 481")</f>
        <v>INMETRO SCHOOL ARTICLES SYSTEM 5 - ORDINANCE 481</v>
      </c>
    </row>
    <row r="1097">
      <c r="B1097" s="186" t="str">
        <f>IFERROR(__xludf.DUMMYFUNCTION("""COMPUTED_VALUE"""),"PI7053Y")</f>
        <v>PI7053Y</v>
      </c>
      <c r="C1097" s="186"/>
      <c r="D1097" s="186" t="str">
        <f>IFERROR(__xludf.DUMMYFUNCTION("""COMPUTED_VALUE"""),"INMETRO SCHOOL ARTICLES - ORDINANCE 423")</f>
        <v>INMETRO SCHOOL ARTICLES - ORDINANCE 423</v>
      </c>
    </row>
    <row r="1098">
      <c r="B1098" s="186" t="str">
        <f>IFERROR(__xludf.DUMMYFUNCTION("""COMPUTED_VALUE"""),"PI7095Y")</f>
        <v>PI7095Y</v>
      </c>
      <c r="C1098" s="186"/>
      <c r="D1098" s="186" t="str">
        <f>IFERROR(__xludf.DUMMYFUNCTION("""COMPUTED_VALUE"""),"FALSO")</f>
        <v>FALSO</v>
      </c>
    </row>
    <row r="1099">
      <c r="B1099" s="186" t="str">
        <f>IFERROR(__xludf.DUMMYFUNCTION("""COMPUTED_VALUE"""),"PI7554Y")</f>
        <v>PI7554Y</v>
      </c>
      <c r="C1099" s="186"/>
      <c r="D1099" s="186" t="str">
        <f>IFERROR(__xludf.DUMMYFUNCTION("""COMPUTED_VALUE"""),"INMETRO SCHOOL ARTICLES SYSTEM 5 - ORDINANCE 481")</f>
        <v>INMETRO SCHOOL ARTICLES SYSTEM 5 - ORDINANCE 481</v>
      </c>
    </row>
    <row r="1100">
      <c r="B1100" s="186" t="str">
        <f>IFERROR(__xludf.DUMMYFUNCTION("""COMPUTED_VALUE"""),"PI7054Y")</f>
        <v>PI7054Y</v>
      </c>
      <c r="C1100" s="186"/>
      <c r="D1100" s="186" t="str">
        <f>IFERROR(__xludf.DUMMYFUNCTION("""COMPUTED_VALUE"""),"INMETRO SCHOOL ARTICLES - ORDINANCE 423")</f>
        <v>INMETRO SCHOOL ARTICLES - ORDINANCE 423</v>
      </c>
    </row>
    <row r="1101">
      <c r="B1101" s="186" t="str">
        <f>IFERROR(__xludf.DUMMYFUNCTION("""COMPUTED_VALUE"""),"PI7096Y")</f>
        <v>PI7096Y</v>
      </c>
      <c r="C1101" s="186"/>
      <c r="D1101" s="186" t="str">
        <f>IFERROR(__xludf.DUMMYFUNCTION("""COMPUTED_VALUE"""),"FALSO")</f>
        <v>FALSO</v>
      </c>
    </row>
    <row r="1102">
      <c r="B1102" s="186" t="str">
        <f>IFERROR(__xludf.DUMMYFUNCTION("""COMPUTED_VALUE"""),"PI7557Y")</f>
        <v>PI7557Y</v>
      </c>
      <c r="C1102" s="186"/>
      <c r="D1102" s="186" t="str">
        <f>IFERROR(__xludf.DUMMYFUNCTION("""COMPUTED_VALUE"""),"INMETRO SCHOOL ARTICLES SYSTEM 5 - ORDINANCE 481")</f>
        <v>INMETRO SCHOOL ARTICLES SYSTEM 5 - ORDINANCE 481</v>
      </c>
    </row>
    <row r="1103">
      <c r="B1103" s="186" t="str">
        <f>IFERROR(__xludf.DUMMYFUNCTION("""COMPUTED_VALUE"""),"PI7564Y")</f>
        <v>PI7564Y</v>
      </c>
      <c r="C1103" s="186"/>
      <c r="D1103" s="186" t="str">
        <f>IFERROR(__xludf.DUMMYFUNCTION("""COMPUTED_VALUE"""),"INMETRO SCHOOL ARTICLES SYSTEM 5 - ORDINANCE 481")</f>
        <v>INMETRO SCHOOL ARTICLES SYSTEM 5 - ORDINANCE 481</v>
      </c>
    </row>
    <row r="1104">
      <c r="B1104" s="186" t="str">
        <f>IFERROR(__xludf.DUMMYFUNCTION("""COMPUTED_VALUE"""),"PI7566Y")</f>
        <v>PI7566Y</v>
      </c>
      <c r="C1104" s="186"/>
      <c r="D1104" s="186" t="str">
        <f>IFERROR(__xludf.DUMMYFUNCTION("""COMPUTED_VALUE"""),"INMETRO SCHOOL ARTICLES SYSTEM 5 - ORDINANCE 481")</f>
        <v>INMETRO SCHOOL ARTICLES SYSTEM 5 - ORDINANCE 481</v>
      </c>
    </row>
    <row r="1105">
      <c r="B1105" s="186" t="str">
        <f>IFERROR(__xludf.DUMMYFUNCTION("""COMPUTED_VALUE"""),"PI7813Y")</f>
        <v>PI7813Y</v>
      </c>
      <c r="C1105" s="186" t="str">
        <f>IFERROR(__xludf.DUMMYFUNCTION("""COMPUTED_VALUE"""),"ROLHAS DE SILICONE CARTA NA MANGA")</f>
        <v>ROLHAS DE SILICONE CARTA NA MANGA</v>
      </c>
      <c r="D1105" s="186" t="str">
        <f>IFERROR(__xludf.DUMMYFUNCTION("""COMPUTED_VALUE"""),"FALSO")</f>
        <v>FALSO</v>
      </c>
    </row>
    <row r="1106">
      <c r="B1106" s="186" t="str">
        <f>IFERROR(__xludf.DUMMYFUNCTION("""COMPUTED_VALUE"""),"PI7965Y")</f>
        <v>PI7965Y</v>
      </c>
      <c r="C1106" s="186"/>
      <c r="D1106" s="186" t="str">
        <f>IFERROR(__xludf.DUMMYFUNCTION("""COMPUTED_VALUE"""),"FALSO")</f>
        <v>FALSO</v>
      </c>
    </row>
    <row r="1107">
      <c r="B1107" s="186" t="str">
        <f>IFERROR(__xludf.DUMMYFUNCTION("""COMPUTED_VALUE"""),"PI7964Y")</f>
        <v>PI7964Y</v>
      </c>
      <c r="C1107" s="186" t="str">
        <f>IFERROR(__xludf.DUMMYFUNCTION("""COMPUTED_VALUE"""),"TAG DE MALA SILICONE CAPIVARA SURFISTA")</f>
        <v>TAG DE MALA SILICONE CAPIVARA SURFISTA</v>
      </c>
      <c r="D1107" s="186" t="str">
        <f>IFERROR(__xludf.DUMMYFUNCTION("""COMPUTED_VALUE"""),"FALSO")</f>
        <v>FALSO</v>
      </c>
    </row>
    <row r="1108">
      <c r="B1108" s="186" t="str">
        <f>IFERROR(__xludf.DUMMYFUNCTION("""COMPUTED_VALUE"""),"PI6345Y")</f>
        <v>PI6345Y</v>
      </c>
      <c r="C1108" s="186"/>
      <c r="D1108" s="186" t="str">
        <f>IFERROR(__xludf.DUMMYFUNCTION("""COMPUTED_VALUE"""),"FALSO")</f>
        <v>FALSO</v>
      </c>
    </row>
    <row r="1109">
      <c r="B1109" s="186" t="str">
        <f>IFERROR(__xludf.DUMMYFUNCTION("""COMPUTED_VALUE"""),"PI6346Y")</f>
        <v>PI6346Y</v>
      </c>
      <c r="C1109" s="186"/>
      <c r="D1109" s="186" t="str">
        <f>IFERROR(__xludf.DUMMYFUNCTION("""COMPUTED_VALUE"""),"FALSO")</f>
        <v>FALSO</v>
      </c>
    </row>
    <row r="1110">
      <c r="B1110" s="186" t="str">
        <f>IFERROR(__xludf.DUMMYFUNCTION("""COMPUTED_VALUE"""),"PI6347Y")</f>
        <v>PI6347Y</v>
      </c>
      <c r="C1110" s="186"/>
      <c r="D1110" s="186" t="str">
        <f>IFERROR(__xludf.DUMMYFUNCTION("""COMPUTED_VALUE"""),"FALSO")</f>
        <v>FALSO</v>
      </c>
    </row>
    <row r="1111">
      <c r="B1111" s="186" t="str">
        <f>IFERROR(__xludf.DUMMYFUNCTION("""COMPUTED_VALUE"""),"PI6348Y")</f>
        <v>PI6348Y</v>
      </c>
      <c r="C1111" s="186"/>
      <c r="D1111" s="186" t="str">
        <f>IFERROR(__xludf.DUMMYFUNCTION("""COMPUTED_VALUE"""),"FALSO")</f>
        <v>FALSO</v>
      </c>
    </row>
    <row r="1112">
      <c r="B1112" s="186" t="str">
        <f>IFERROR(__xludf.DUMMYFUNCTION("""COMPUTED_VALUE"""),"PI3836Y")</f>
        <v>PI3836Y</v>
      </c>
      <c r="C1112" s="186" t="str">
        <f>IFERROR(__xludf.DUMMYFUNCTION("""COMPUTED_VALUE"""),"LUMINARIA DE SILICONE HP EDWIGES")</f>
        <v>LUMINARIA DE SILICONE HP EDWIGES</v>
      </c>
      <c r="D1112" s="186" t="str">
        <f>IFERROR(__xludf.DUMMYFUNCTION("""COMPUTED_VALUE"""),"FALSO")</f>
        <v>FALSO</v>
      </c>
    </row>
    <row r="1113">
      <c r="B1113" s="186" t="str">
        <f>IFERROR(__xludf.DUMMYFUNCTION("""COMPUTED_VALUE"""),"PI7340Y")</f>
        <v>PI7340Y</v>
      </c>
      <c r="C1113" s="186"/>
      <c r="D1113" s="186" t="str">
        <f>IFERROR(__xludf.DUMMYFUNCTION("""COMPUTED_VALUE"""),"FALSO")</f>
        <v>FALSO</v>
      </c>
    </row>
    <row r="1114">
      <c r="B1114" s="186" t="str">
        <f>IFERROR(__xludf.DUMMYFUNCTION("""COMPUTED_VALUE"""),"PI7116Y")</f>
        <v>PI7116Y</v>
      </c>
      <c r="C1114" s="186"/>
      <c r="D1114" s="186" t="str">
        <f>IFERROR(__xludf.DUMMYFUNCTION("""COMPUTED_VALUE"""),"FALSO")</f>
        <v>FALSO</v>
      </c>
    </row>
    <row r="1115">
      <c r="B1115" s="186" t="str">
        <f>IFERROR(__xludf.DUMMYFUNCTION("""COMPUTED_VALUE"""),"PI6243Y")</f>
        <v>PI6243Y</v>
      </c>
      <c r="C1115" s="186" t="str">
        <f>IFERROR(__xludf.DUMMYFUNCTION("""COMPUTED_VALUE"""),"MASSAGEADOR FACIAL TEMPO E CUIDADO")</f>
        <v>MASSAGEADOR FACIAL TEMPO E CUIDADO</v>
      </c>
      <c r="D1115" s="186" t="str">
        <f>IFERROR(__xludf.DUMMYFUNCTION("""COMPUTED_VALUE"""),"FALSO")</f>
        <v>FALSO</v>
      </c>
    </row>
    <row r="1116">
      <c r="B1116" s="186" t="str">
        <f>IFERROR(__xludf.DUMMYFUNCTION("""COMPUTED_VALUE"""),"PI7166Y")</f>
        <v>PI7166Y</v>
      </c>
      <c r="C1116" s="186" t="str">
        <f>IFERROR(__xludf.DUMMYFUNCTION("""COMPUTED_VALUE"""),"LUMINARIA DE SILICONE PANDA DORMINHOCO")</f>
        <v>LUMINARIA DE SILICONE PANDA DORMINHOCO</v>
      </c>
      <c r="D1116" s="186" t="str">
        <f>IFERROR(__xludf.DUMMYFUNCTION("""COMPUTED_VALUE"""),"FALSO")</f>
        <v>FALSO</v>
      </c>
    </row>
    <row r="1117">
      <c r="B1117" s="186" t="str">
        <f>IFERROR(__xludf.DUMMYFUNCTION("""COMPUTED_VALUE"""),"PI7213Y")</f>
        <v>PI7213Y</v>
      </c>
      <c r="C1117" s="186" t="str">
        <f>IFERROR(__xludf.DUMMYFUNCTION("""COMPUTED_VALUE"""),"LUMINARIA DE SILICONE OVELHA DORMINHOCA")</f>
        <v>LUMINARIA DE SILICONE OVELHA DORMINHOCA</v>
      </c>
      <c r="D1117" s="186" t="str">
        <f>IFERROR(__xludf.DUMMYFUNCTION("""COMPUTED_VALUE"""),"FALSO")</f>
        <v>FALSO</v>
      </c>
    </row>
    <row r="1118">
      <c r="B1118" s="186" t="str">
        <f>IFERROR(__xludf.DUMMYFUNCTION("""COMPUTED_VALUE"""),"PI5828Y")</f>
        <v>PI5828Y</v>
      </c>
      <c r="C1118" s="186"/>
      <c r="D1118" s="186" t="str">
        <f>IFERROR(__xludf.DUMMYFUNCTION("""COMPUTED_VALUE"""),"FALSO")</f>
        <v>FALSO</v>
      </c>
    </row>
    <row r="1119">
      <c r="B1119" s="186" t="str">
        <f>IFERROR(__xludf.DUMMYFUNCTION("""COMPUTED_VALUE"""),"PI5829Y")</f>
        <v>PI5829Y</v>
      </c>
      <c r="C1119" s="186"/>
      <c r="D1119" s="186" t="str">
        <f>IFERROR(__xludf.DUMMYFUNCTION("""COMPUTED_VALUE"""),"FALSO")</f>
        <v>FALSO</v>
      </c>
    </row>
    <row r="1120">
      <c r="B1120" s="186" t="str">
        <f>IFERROR(__xludf.DUMMYFUNCTION("""COMPUTED_VALUE"""),"PI7528Y")</f>
        <v>PI7528Y</v>
      </c>
      <c r="C1120" s="186"/>
      <c r="D1120" s="186" t="str">
        <f>IFERROR(__xludf.DUMMYFUNCTION("""COMPUTED_VALUE"""),"FALSO")</f>
        <v>FALSO</v>
      </c>
    </row>
    <row r="1121">
      <c r="B1121" s="186" t="str">
        <f>IFERROR(__xludf.DUMMYFUNCTION("""COMPUTED_VALUE"""),"PI5386Y")</f>
        <v>PI5386Y</v>
      </c>
      <c r="C1121" s="186"/>
      <c r="D1121" s="186" t="str">
        <f>IFERROR(__xludf.DUMMYFUNCTION("""COMPUTED_VALUE"""),"FALSO")</f>
        <v>FALSO</v>
      </c>
    </row>
    <row r="1122">
      <c r="B1122" s="186" t="str">
        <f>IFERROR(__xludf.DUMMYFUNCTION("""COMPUTED_VALUE"""),"PI5506Y")</f>
        <v>PI5506Y</v>
      </c>
      <c r="C1122" s="186"/>
      <c r="D1122" s="186" t="str">
        <f>IFERROR(__xludf.DUMMYFUNCTION("""COMPUTED_VALUE"""),"FALSO")</f>
        <v>FALSO</v>
      </c>
    </row>
    <row r="1123">
      <c r="B1123" s="186" t="str">
        <f>IFERROR(__xludf.DUMMYFUNCTION("""COMPUTED_VALUE"""),"PI6327Y")</f>
        <v>PI6327Y</v>
      </c>
      <c r="C1123" s="186"/>
      <c r="D1123" s="186" t="str">
        <f>IFERROR(__xludf.DUMMYFUNCTION("""COMPUTED_VALUE"""),"FALSO")</f>
        <v>FALSO</v>
      </c>
    </row>
    <row r="1124">
      <c r="B1124" s="186" t="str">
        <f>IFERROR(__xludf.DUMMYFUNCTION("""COMPUTED_VALUE"""),"PI6328Y")</f>
        <v>PI6328Y</v>
      </c>
      <c r="C1124" s="186"/>
      <c r="D1124" s="186" t="str">
        <f>IFERROR(__xludf.DUMMYFUNCTION("""COMPUTED_VALUE"""),"FALSO")</f>
        <v>FALSO</v>
      </c>
    </row>
    <row r="1125">
      <c r="B1125" s="186" t="str">
        <f>IFERROR(__xludf.DUMMYFUNCTION("""COMPUTED_VALUE"""),"PI5131Y")</f>
        <v>PI5131Y</v>
      </c>
      <c r="C1125" s="186" t="str">
        <f>IFERROR(__xludf.DUMMYFUNCTION("""COMPUTED_VALUE"""),"RELOGIO INTELIGENTE FITDANCE NO RITMO")</f>
        <v>RELOGIO INTELIGENTE FITDANCE NO RITMO</v>
      </c>
      <c r="D1125" s="186" t="str">
        <f>IFERROR(__xludf.DUMMYFUNCTION("""COMPUTED_VALUE"""),"Anatel Category 2 - Bluetooth Module")</f>
        <v>Anatel Category 2 - Bluetooth Module</v>
      </c>
    </row>
    <row r="1126">
      <c r="B1126" s="186" t="str">
        <f>IFERROR(__xludf.DUMMYFUNCTION("""COMPUTED_VALUE"""),"PI6126Y")</f>
        <v>PI6126Y</v>
      </c>
      <c r="C1126" s="186" t="str">
        <f>IFERROR(__xludf.DUMMYFUNCTION("""COMPUTED_VALUE"""),"MEIA MILHO")</f>
        <v>MEIA MILHO</v>
      </c>
      <c r="D1126" s="186" t="str">
        <f>IFERROR(__xludf.DUMMYFUNCTION("""COMPUTED_VALUE"""),"FALSO")</f>
        <v>FALSO</v>
      </c>
    </row>
    <row r="1127">
      <c r="B1127" s="186" t="str">
        <f>IFERROR(__xludf.DUMMYFUNCTION("""COMPUTED_VALUE"""),"PI6119Y")</f>
        <v>PI6119Y</v>
      </c>
      <c r="C1127" s="186" t="str">
        <f>IFERROR(__xludf.DUMMYFUNCTION("""COMPUTED_VALUE"""),"MEIA BRIGADEIRO")</f>
        <v>MEIA BRIGADEIRO</v>
      </c>
      <c r="D1127" s="186" t="str">
        <f>IFERROR(__xludf.DUMMYFUNCTION("""COMPUTED_VALUE"""),"FALSO")</f>
        <v>FALSO</v>
      </c>
    </row>
    <row r="1128">
      <c r="B1128" s="186" t="str">
        <f>IFERROR(__xludf.DUMMYFUNCTION("""COMPUTED_VALUE"""),"PI5947Y")</f>
        <v>PI5947Y</v>
      </c>
      <c r="C1128" s="186"/>
      <c r="D1128" s="186" t="str">
        <f>IFERROR(__xludf.DUMMYFUNCTION("""COMPUTED_VALUE"""),"FALSO")</f>
        <v>FALSO</v>
      </c>
    </row>
    <row r="1129">
      <c r="B1129" s="186" t="str">
        <f>IFERROR(__xludf.DUMMYFUNCTION("""COMPUTED_VALUE"""),"PI5948Y")</f>
        <v>PI5948Y</v>
      </c>
      <c r="C1129" s="186"/>
      <c r="D1129" s="186" t="str">
        <f>IFERROR(__xludf.DUMMYFUNCTION("""COMPUTED_VALUE"""),"FALSO")</f>
        <v>FALSO</v>
      </c>
    </row>
    <row r="1130">
      <c r="B1130" s="186" t="str">
        <f>IFERROR(__xludf.DUMMYFUNCTION("""COMPUTED_VALUE"""),"PI5949Y")</f>
        <v>PI5949Y</v>
      </c>
      <c r="C1130" s="186"/>
      <c r="D1130" s="186" t="str">
        <f>IFERROR(__xludf.DUMMYFUNCTION("""COMPUTED_VALUE"""),"FALSO")</f>
        <v>FALSO</v>
      </c>
    </row>
    <row r="1131">
      <c r="B1131" s="186" t="str">
        <f>IFERROR(__xludf.DUMMYFUNCTION("""COMPUTED_VALUE"""),"PI6067Y")</f>
        <v>PI6067Y</v>
      </c>
      <c r="C1131" s="186" t="str">
        <f>IFERROR(__xludf.DUMMYFUNCTION("""COMPUTED_VALUE"""),"MEIA KIT CERVEJA TRES CORES")</f>
        <v>MEIA KIT CERVEJA TRES CORES</v>
      </c>
      <c r="D1131" s="186" t="str">
        <f>IFERROR(__xludf.DUMMYFUNCTION("""COMPUTED_VALUE"""),"FALSO")</f>
        <v>FALSO</v>
      </c>
    </row>
    <row r="1132">
      <c r="B1132" s="186" t="str">
        <f>IFERROR(__xludf.DUMMYFUNCTION("""COMPUTED_VALUE"""),"CS2271")</f>
        <v>CS2271</v>
      </c>
      <c r="C1132" s="186" t="str">
        <f>IFERROR(__xludf.DUMMYFUNCTION("""COMPUTED_VALUE"""),"MEIA BASICA ADULTO PRETA NANICA")</f>
        <v>MEIA BASICA ADULTO PRETA NANICA</v>
      </c>
      <c r="D1132" s="186" t="str">
        <f>IFERROR(__xludf.DUMMYFUNCTION("""COMPUTED_VALUE"""),"FALSO")</f>
        <v>FALSO</v>
      </c>
    </row>
    <row r="1133">
      <c r="B1133" s="186" t="str">
        <f>IFERROR(__xludf.DUMMYFUNCTION("""COMPUTED_VALUE"""),"CS2275")</f>
        <v>CS2275</v>
      </c>
      <c r="C1133" s="186" t="str">
        <f>IFERROR(__xludf.DUMMYFUNCTION("""COMPUTED_VALUE"""),"MEIA BASICA ADULTO BRANCA NANICA")</f>
        <v>MEIA BASICA ADULTO BRANCA NANICA</v>
      </c>
      <c r="D1133" s="186" t="str">
        <f>IFERROR(__xludf.DUMMYFUNCTION("""COMPUTED_VALUE"""),"FALSO")</f>
        <v>FALSO</v>
      </c>
    </row>
    <row r="1134">
      <c r="B1134" s="186" t="str">
        <f>IFERROR(__xludf.DUMMYFUNCTION("""COMPUTED_VALUE"""),"CS2270")</f>
        <v>CS2270</v>
      </c>
      <c r="C1134" s="186" t="str">
        <f>IFERROR(__xludf.DUMMYFUNCTION("""COMPUTED_VALUE"""),"MEIA SOQUETE KIDS PRETA NANICA")</f>
        <v>MEIA SOQUETE KIDS PRETA NANICA</v>
      </c>
      <c r="D1134" s="186" t="str">
        <f>IFERROR(__xludf.DUMMYFUNCTION("""COMPUTED_VALUE"""),"FALSO")</f>
        <v>FALSO</v>
      </c>
    </row>
    <row r="1135">
      <c r="B1135" s="186" t="str">
        <f>IFERROR(__xludf.DUMMYFUNCTION("""COMPUTED_VALUE"""),"CS2274")</f>
        <v>CS2274</v>
      </c>
      <c r="C1135" s="186" t="str">
        <f>IFERROR(__xludf.DUMMYFUNCTION("""COMPUTED_VALUE"""),"MEIA SOQUETE KIDS BRANCA NANICA")</f>
        <v>MEIA SOQUETE KIDS BRANCA NANICA</v>
      </c>
      <c r="D1135" s="186" t="str">
        <f>IFERROR(__xludf.DUMMYFUNCTION("""COMPUTED_VALUE"""),"FALSO")</f>
        <v>FALSO</v>
      </c>
    </row>
    <row r="1136">
      <c r="B1136" s="186" t="str">
        <f>IFERROR(__xludf.DUMMYFUNCTION("""COMPUTED_VALUE"""),"CS2272")</f>
        <v>CS2272</v>
      </c>
      <c r="C1136" s="186" t="str">
        <f>IFERROR(__xludf.DUMMYFUNCTION("""COMPUTED_VALUE"""),"MEIA SOQUETE KIDS AMARELA NANICA")</f>
        <v>MEIA SOQUETE KIDS AMARELA NANICA</v>
      </c>
      <c r="D1136" s="186" t="str">
        <f>IFERROR(__xludf.DUMMYFUNCTION("""COMPUTED_VALUE"""),"FALSO")</f>
        <v>FALSO</v>
      </c>
    </row>
    <row r="1137">
      <c r="B1137" s="186" t="str">
        <f>IFERROR(__xludf.DUMMYFUNCTION("""COMPUTED_VALUE"""),"PI5944Y")</f>
        <v>PI5944Y</v>
      </c>
      <c r="C1137" s="186"/>
      <c r="D1137" s="186" t="str">
        <f>IFERROR(__xludf.DUMMYFUNCTION("""COMPUTED_VALUE"""),"FALSO")</f>
        <v>FALSO</v>
      </c>
    </row>
    <row r="1138">
      <c r="B1138" s="186" t="str">
        <f>IFERROR(__xludf.DUMMYFUNCTION("""COMPUTED_VALUE"""),"PI5945Y")</f>
        <v>PI5945Y</v>
      </c>
      <c r="C1138" s="186"/>
      <c r="D1138" s="186" t="str">
        <f>IFERROR(__xludf.DUMMYFUNCTION("""COMPUTED_VALUE"""),"FALSO")</f>
        <v>FALSO</v>
      </c>
    </row>
    <row r="1139">
      <c r="B1139" s="186" t="str">
        <f>IFERROR(__xludf.DUMMYFUNCTION("""COMPUTED_VALUE"""),"PI5946Y")</f>
        <v>PI5946Y</v>
      </c>
      <c r="C1139" s="186"/>
      <c r="D1139" s="186" t="str">
        <f>IFERROR(__xludf.DUMMYFUNCTION("""COMPUTED_VALUE"""),"FALSO")</f>
        <v>FALSO</v>
      </c>
    </row>
    <row r="1140">
      <c r="B1140" s="186" t="str">
        <f>IFERROR(__xludf.DUMMYFUNCTION("""COMPUTED_VALUE"""),"PI6578Y")</f>
        <v>PI6578Y</v>
      </c>
      <c r="C1140" s="186" t="str">
        <f>IFERROR(__xludf.DUMMYFUNCTION("""COMPUTED_VALUE"""),"MEIA VINHO TINTO")</f>
        <v>MEIA VINHO TINTO</v>
      </c>
      <c r="D1140" s="186" t="str">
        <f>IFERROR(__xludf.DUMMYFUNCTION("""COMPUTED_VALUE"""),"FALSO")</f>
        <v>FALSO</v>
      </c>
    </row>
    <row r="1141">
      <c r="B1141" s="186" t="str">
        <f>IFERROR(__xludf.DUMMYFUNCTION("""COMPUTED_VALUE"""),"PI6577Y")</f>
        <v>PI6577Y</v>
      </c>
      <c r="C1141" s="186" t="str">
        <f>IFERROR(__xludf.DUMMYFUNCTION("""COMPUTED_VALUE"""),"MEIA ROSA")</f>
        <v>MEIA ROSA</v>
      </c>
      <c r="D1141" s="186" t="str">
        <f>IFERROR(__xludf.DUMMYFUNCTION("""COMPUTED_VALUE"""),"FALSO")</f>
        <v>FALSO</v>
      </c>
    </row>
    <row r="1142">
      <c r="B1142" s="186" t="str">
        <f>IFERROR(__xludf.DUMMYFUNCTION("""COMPUTED_VALUE"""),"PI6617Y")</f>
        <v>PI6617Y</v>
      </c>
      <c r="C1142" s="186" t="str">
        <f>IFERROR(__xludf.DUMMYFUNCTION("""COMPUTED_VALUE"""),"MEIA FATIA DE QUEIJO")</f>
        <v>MEIA FATIA DE QUEIJO</v>
      </c>
      <c r="D1142" s="186" t="str">
        <f>IFERROR(__xludf.DUMMYFUNCTION("""COMPUTED_VALUE"""),"FALSO")</f>
        <v>FALSO</v>
      </c>
    </row>
    <row r="1143">
      <c r="B1143" s="186" t="str">
        <f>IFERROR(__xludf.DUMMYFUNCTION("""COMPUTED_VALUE"""),"PI6115Y")</f>
        <v>PI6115Y</v>
      </c>
      <c r="C1143" s="186" t="str">
        <f>IFERROR(__xludf.DUMMYFUNCTION("""COMPUTED_VALUE"""),"MEIA PLANILHA")</f>
        <v>MEIA PLANILHA</v>
      </c>
      <c r="D1143" s="186" t="str">
        <f>IFERROR(__xludf.DUMMYFUNCTION("""COMPUTED_VALUE"""),"FALSO")</f>
        <v>FALSO</v>
      </c>
    </row>
    <row r="1144">
      <c r="B1144" s="186" t="str">
        <f>IFERROR(__xludf.DUMMYFUNCTION("""COMPUTED_VALUE"""),"PI6579Y")</f>
        <v>PI6579Y</v>
      </c>
      <c r="C1144" s="186" t="str">
        <f>IFERROR(__xludf.DUMMYFUNCTION("""COMPUTED_VALUE"""),"MEIA VINHO BRANCO")</f>
        <v>MEIA VINHO BRANCO</v>
      </c>
      <c r="D1144" s="186" t="str">
        <f>IFERROR(__xludf.DUMMYFUNCTION("""COMPUTED_VALUE"""),"FALSO")</f>
        <v>FALSO</v>
      </c>
    </row>
    <row r="1145">
      <c r="B1145" s="186" t="str">
        <f>IFERROR(__xludf.DUMMYFUNCTION("""COMPUTED_VALUE"""),"PI7543Y")</f>
        <v>PI7543Y</v>
      </c>
      <c r="C1145" s="186"/>
      <c r="D1145" s="186" t="str">
        <f>IFERROR(__xludf.DUMMYFUNCTION("""COMPUTED_VALUE"""),"FALSO")</f>
        <v>FALSO</v>
      </c>
    </row>
    <row r="1146">
      <c r="B1146" s="186" t="str">
        <f>IFERROR(__xludf.DUMMYFUNCTION("""COMPUTED_VALUE"""),"PI6600Y")</f>
        <v>PI6600Y</v>
      </c>
      <c r="C1146" s="186" t="str">
        <f>IFERROR(__xludf.DUMMYFUNCTION("""COMPUTED_VALUE"""),"MANTA QUADRICULADA COM CAPA DE GATINHO")</f>
        <v>MANTA QUADRICULADA COM CAPA DE GATINHO</v>
      </c>
      <c r="D1146" s="186" t="str">
        <f>IFERROR(__xludf.DUMMYFUNCTION("""COMPUTED_VALUE"""),"FALSO")</f>
        <v>FALSO</v>
      </c>
    </row>
    <row r="1147">
      <c r="B1147" s="186" t="str">
        <f>IFERROR(__xludf.DUMMYFUNCTION("""COMPUTED_VALUE"""),"PI6250Y")</f>
        <v>PI6250Y</v>
      </c>
      <c r="C1147" s="186" t="str">
        <f>IFERROR(__xludf.DUMMYFUNCTION("""COMPUTED_VALUE"""),"ALMOFADA MASSAGEADORA SPEAKER GATO")</f>
        <v>ALMOFADA MASSAGEADORA SPEAKER GATO</v>
      </c>
      <c r="D1147" s="186" t="str">
        <f>IFERROR(__xludf.DUMMYFUNCTION("""COMPUTED_VALUE"""),"FALSO")</f>
        <v>FALSO</v>
      </c>
    </row>
    <row r="1148">
      <c r="B1148" s="186" t="str">
        <f>IFERROR(__xludf.DUMMYFUNCTION("""COMPUTED_VALUE"""),"PI5264Y")</f>
        <v>PI5264Y</v>
      </c>
      <c r="C1148" s="186"/>
      <c r="D1148" s="186" t="str">
        <f>IFERROR(__xludf.DUMMYFUNCTION("""COMPUTED_VALUE"""),"Anatel Category 2 - Bluetooth Module")</f>
        <v>Anatel Category 2 - Bluetooth Module</v>
      </c>
    </row>
    <row r="1149">
      <c r="B1149" s="186" t="str">
        <f>IFERROR(__xludf.DUMMYFUNCTION("""COMPUTED_VALUE"""),"PI6842Y")</f>
        <v>PI6842Y</v>
      </c>
      <c r="C1149" s="186"/>
      <c r="D1149" s="186" t="str">
        <f>IFERROR(__xludf.DUMMYFUNCTION("""COMPUTED_VALUE"""),"FALSO")</f>
        <v>FALSO</v>
      </c>
    </row>
    <row r="1150">
      <c r="B1150" s="186" t="str">
        <f>IFERROR(__xludf.DUMMYFUNCTION("""COMPUTED_VALUE"""),"PI5546Y")</f>
        <v>PI5546Y</v>
      </c>
      <c r="C1150" s="186"/>
      <c r="D1150" s="186" t="str">
        <f>IFERROR(__xludf.DUMMYFUNCTION("""COMPUTED_VALUE"""),"FALSO")</f>
        <v>FALSO</v>
      </c>
    </row>
    <row r="1151">
      <c r="B1151" s="186" t="str">
        <f>IFERROR(__xludf.DUMMYFUNCTION("""COMPUTED_VALUE"""),"PI6773Y")</f>
        <v>PI6773Y</v>
      </c>
      <c r="C1151" s="186"/>
      <c r="D1151" s="186" t="str">
        <f>IFERROR(__xludf.DUMMYFUNCTION("""COMPUTED_VALUE"""),"FALSO")</f>
        <v>FALSO</v>
      </c>
    </row>
    <row r="1152">
      <c r="B1152" s="186" t="str">
        <f>IFERROR(__xludf.DUMMYFUNCTION("""COMPUTED_VALUE"""),"PI7126Y")</f>
        <v>PI7126Y</v>
      </c>
      <c r="C1152" s="186"/>
      <c r="D1152" s="186" t="str">
        <f>IFERROR(__xludf.DUMMYFUNCTION("""COMPUTED_VALUE"""),"FALSO")</f>
        <v>FALSO</v>
      </c>
    </row>
    <row r="1153">
      <c r="B1153" s="186" t="str">
        <f>IFERROR(__xludf.DUMMYFUNCTION("""COMPUTED_VALUE"""),"PI6454Y")</f>
        <v>PI6454Y</v>
      </c>
      <c r="C1153" s="186"/>
      <c r="D1153" s="186" t="str">
        <f>IFERROR(__xludf.DUMMYFUNCTION("""COMPUTED_VALUE"""),"INMETRO Toys System 5 - Ordinance 302")</f>
        <v>INMETRO Toys System 5 - Ordinance 302</v>
      </c>
    </row>
    <row r="1154">
      <c r="B1154" s="186" t="str">
        <f>IFERROR(__xludf.DUMMYFUNCTION("""COMPUTED_VALUE"""),"PI6455Y")</f>
        <v>PI6455Y</v>
      </c>
      <c r="C1154" s="186"/>
      <c r="D1154" s="186" t="str">
        <f>IFERROR(__xludf.DUMMYFUNCTION("""COMPUTED_VALUE"""),"INMETRO Toys System 5 - Ordinance 302")</f>
        <v>INMETRO Toys System 5 - Ordinance 302</v>
      </c>
    </row>
    <row r="1155">
      <c r="B1155" s="186" t="str">
        <f>IFERROR(__xludf.DUMMYFUNCTION("""COMPUTED_VALUE"""),"AC2206Y")</f>
        <v>AC2206Y</v>
      </c>
      <c r="C1155" s="186" t="str">
        <f>IFERROR(__xludf.DUMMYFUNCTION("""COMPUTED_VALUE"""),"SQUISHADINHO BORIS VM")</f>
        <v>SQUISHADINHO BORIS VM</v>
      </c>
      <c r="D1155" s="186" t="str">
        <f>IFERROR(__xludf.DUMMYFUNCTION("""COMPUTED_VALUE"""),"FALSO")</f>
        <v>FALSO</v>
      </c>
    </row>
    <row r="1156">
      <c r="B1156" s="186" t="str">
        <f>IFERROR(__xludf.DUMMYFUNCTION("""COMPUTED_VALUE"""),"PI5913Y")</f>
        <v>PI5913Y</v>
      </c>
      <c r="C1156" s="186"/>
      <c r="D1156" s="186" t="str">
        <f>IFERROR(__xludf.DUMMYFUNCTION("""COMPUTED_VALUE"""),"INMETRO Toys System 5 - Ordinance 302")</f>
        <v>INMETRO Toys System 5 - Ordinance 302</v>
      </c>
    </row>
    <row r="1157">
      <c r="B1157" s="186" t="str">
        <f>IFERROR(__xludf.DUMMYFUNCTION("""COMPUTED_VALUE"""),"PI5914Y")</f>
        <v>PI5914Y</v>
      </c>
      <c r="C1157" s="186"/>
      <c r="D1157" s="186" t="str">
        <f>IFERROR(__xludf.DUMMYFUNCTION("""COMPUTED_VALUE"""),"INMETRO Toys System 5 - Ordinance 302")</f>
        <v>INMETRO Toys System 5 - Ordinance 302</v>
      </c>
    </row>
    <row r="1158">
      <c r="B1158" s="186" t="str">
        <f>IFERROR(__xludf.DUMMYFUNCTION("""COMPUTED_VALUE"""),"PI5915Y")</f>
        <v>PI5915Y</v>
      </c>
      <c r="C1158" s="186"/>
      <c r="D1158" s="186" t="str">
        <f>IFERROR(__xludf.DUMMYFUNCTION("""COMPUTED_VALUE"""),"INMETRO Toys System 5 - Ordinance 302")</f>
        <v>INMETRO Toys System 5 - Ordinance 302</v>
      </c>
    </row>
    <row r="1159">
      <c r="B1159" s="186" t="str">
        <f>IFERROR(__xludf.DUMMYFUNCTION("""COMPUTED_VALUE"""),"PI5920Y")</f>
        <v>PI5920Y</v>
      </c>
      <c r="C1159" s="186"/>
      <c r="D1159" s="186" t="str">
        <f>IFERROR(__xludf.DUMMYFUNCTION("""COMPUTED_VALUE"""),"INMETRO Toys System 5 - Ordinance 302")</f>
        <v>INMETRO Toys System 5 - Ordinance 302</v>
      </c>
    </row>
    <row r="1160">
      <c r="B1160" s="186" t="str">
        <f>IFERROR(__xludf.DUMMYFUNCTION("""COMPUTED_VALUE"""),"PI5921Y")</f>
        <v>PI5921Y</v>
      </c>
      <c r="C1160" s="186"/>
      <c r="D1160" s="186" t="str">
        <f>IFERROR(__xludf.DUMMYFUNCTION("""COMPUTED_VALUE"""),"INMETRO Toys System 5 - Ordinance 302")</f>
        <v>INMETRO Toys System 5 - Ordinance 302</v>
      </c>
    </row>
    <row r="1161">
      <c r="B1161" s="186" t="str">
        <f>IFERROR(__xludf.DUMMYFUNCTION("""COMPUTED_VALUE"""),"PI5916Y")</f>
        <v>PI5916Y</v>
      </c>
      <c r="C1161" s="186"/>
      <c r="D1161" s="186" t="str">
        <f>IFERROR(__xludf.DUMMYFUNCTION("""COMPUTED_VALUE"""),"INMETRO Toys System 5 - Ordinance 302")</f>
        <v>INMETRO Toys System 5 - Ordinance 302</v>
      </c>
    </row>
    <row r="1162">
      <c r="B1162" s="186" t="str">
        <f>IFERROR(__xludf.DUMMYFUNCTION("""COMPUTED_VALUE"""),"PI5964Y")</f>
        <v>PI5964Y</v>
      </c>
      <c r="C1162" s="186"/>
      <c r="D1162" s="186" t="str">
        <f>IFERROR(__xludf.DUMMYFUNCTION("""COMPUTED_VALUE"""),"FALSO")</f>
        <v>FALSO</v>
      </c>
    </row>
    <row r="1163">
      <c r="B1163" s="186" t="str">
        <f>IFERROR(__xludf.DUMMYFUNCTION("""COMPUTED_VALUE"""),"CS2278")</f>
        <v>CS2278</v>
      </c>
      <c r="C1163" s="186" t="str">
        <f>IFERROR(__xludf.DUMMYFUNCTION("""COMPUTED_VALUE"""),"CANECA EMPILHAVEL FRASES MAES")</f>
        <v>CANECA EMPILHAVEL FRASES MAES</v>
      </c>
      <c r="D1163" s="186" t="str">
        <f>IFERROR(__xludf.DUMMYFUNCTION("""COMPUTED_VALUE"""),"FALSO")</f>
        <v>FALSO</v>
      </c>
    </row>
    <row r="1164">
      <c r="B1164" s="186" t="str">
        <f>IFERROR(__xludf.DUMMYFUNCTION("""COMPUTED_VALUE"""),"PI5883Y")</f>
        <v>PI5883Y</v>
      </c>
      <c r="C1164" s="186"/>
      <c r="D1164" s="186" t="str">
        <f>IFERROR(__xludf.DUMMYFUNCTION("""COMPUTED_VALUE"""),"FALSO")</f>
        <v>FALSO</v>
      </c>
    </row>
    <row r="1165">
      <c r="B1165" s="186" t="str">
        <f>IFERROR(__xludf.DUMMYFUNCTION("""COMPUTED_VALUE"""),"PI5883Y")</f>
        <v>PI5883Y</v>
      </c>
      <c r="C1165" s="186"/>
      <c r="D1165" s="186" t="str">
        <f>IFERROR(__xludf.DUMMYFUNCTION("""COMPUTED_VALUE"""),"FALSO")</f>
        <v>FALSO</v>
      </c>
    </row>
    <row r="1166">
      <c r="B1166" s="186" t="str">
        <f>IFERROR(__xludf.DUMMYFUNCTION("""COMPUTED_VALUE"""),"PI5385Y")</f>
        <v>PI5385Y</v>
      </c>
      <c r="C1166" s="186"/>
      <c r="D1166" s="186" t="str">
        <f>IFERROR(__xludf.DUMMYFUNCTION("""COMPUTED_VALUE"""),"FALSO")</f>
        <v>FALSO</v>
      </c>
    </row>
    <row r="1167">
      <c r="B1167" s="186" t="str">
        <f>IFERROR(__xludf.DUMMYFUNCTION("""COMPUTED_VALUE"""),"PI5890Y")</f>
        <v>PI5890Y</v>
      </c>
      <c r="C1167" s="186"/>
      <c r="D1167" s="186" t="str">
        <f>IFERROR(__xludf.DUMMYFUNCTION("""COMPUTED_VALUE"""),"INMETRO SCHOOL ARTICLES SYSTEM 5 - ORDINANCE 481")</f>
        <v>INMETRO SCHOOL ARTICLES SYSTEM 5 - ORDINANCE 481</v>
      </c>
    </row>
    <row r="1168">
      <c r="B1168" s="186" t="str">
        <f>IFERROR(__xludf.DUMMYFUNCTION("""COMPUTED_VALUE"""),"PI7664Y")</f>
        <v>PI7664Y</v>
      </c>
      <c r="C1168" s="186" t="str">
        <f>IFERROR(__xludf.DUMMYFUNCTION("""COMPUTED_VALUE"""),"KIT PAPELARIA ICONES HP HARRY POTTER")</f>
        <v>KIT PAPELARIA ICONES HP HARRY POTTER</v>
      </c>
      <c r="D1168" s="186" t="str">
        <f>IFERROR(__xludf.DUMMYFUNCTION("""COMPUTED_VALUE"""),"FALSO")</f>
        <v>FALSO</v>
      </c>
    </row>
    <row r="1169">
      <c r="B1169" s="186" t="str">
        <f>IFERROR(__xludf.DUMMYFUNCTION("""COMPUTED_VALUE"""),"PI7664Y")</f>
        <v>PI7664Y</v>
      </c>
      <c r="C1169" s="186" t="str">
        <f>IFERROR(__xludf.DUMMYFUNCTION("""COMPUTED_VALUE"""),"KIT PAPELARIA ICONES HP HARRY POTTER")</f>
        <v>KIT PAPELARIA ICONES HP HARRY POTTER</v>
      </c>
      <c r="D1169" s="186" t="str">
        <f>IFERROR(__xludf.DUMMYFUNCTION("""COMPUTED_VALUE"""),"FALSO")</f>
        <v>FALSO</v>
      </c>
    </row>
    <row r="1170">
      <c r="B1170" s="186" t="str">
        <f>IFERROR(__xludf.DUMMYFUNCTION("""COMPUTED_VALUE"""),"PI5953Y")</f>
        <v>PI5953Y</v>
      </c>
      <c r="C1170" s="186"/>
      <c r="D1170" s="186" t="str">
        <f>IFERROR(__xludf.DUMMYFUNCTION("""COMPUTED_VALUE"""),"FALSO")</f>
        <v>FALSO</v>
      </c>
    </row>
    <row r="1171">
      <c r="B1171" s="186" t="str">
        <f>IFERROR(__xludf.DUMMYFUNCTION("""COMPUTED_VALUE"""),"PI6025Y")</f>
        <v>PI6025Y</v>
      </c>
      <c r="C1171" s="186"/>
      <c r="D1171" s="186" t="str">
        <f>IFERROR(__xludf.DUMMYFUNCTION("""COMPUTED_VALUE"""),"FALSO")</f>
        <v>FALSO</v>
      </c>
    </row>
    <row r="1172">
      <c r="B1172" s="186" t="str">
        <f>IFERROR(__xludf.DUMMYFUNCTION("""COMPUTED_VALUE"""),"PI6070Y")</f>
        <v>PI6070Y</v>
      </c>
      <c r="C1172" s="186" t="str">
        <f>IFERROR(__xludf.DUMMYFUNCTION("""COMPUTED_VALUE"""),"MALA COM ESTOJO DESTACAVEL LAPTOP")</f>
        <v>MALA COM ESTOJO DESTACAVEL LAPTOP</v>
      </c>
      <c r="D1172" s="186" t="str">
        <f>IFERROR(__xludf.DUMMYFUNCTION("""COMPUTED_VALUE"""),"FALSO")</f>
        <v>FALSO</v>
      </c>
    </row>
    <row r="1173">
      <c r="B1173" s="186" t="str">
        <f>IFERROR(__xludf.DUMMYFUNCTION("""COMPUTED_VALUE"""),"PI6288Y")</f>
        <v>PI6288Y</v>
      </c>
      <c r="C1173" s="186"/>
      <c r="D1173" s="186" t="str">
        <f>IFERROR(__xludf.DUMMYFUNCTION("""COMPUTED_VALUE"""),"FALSO")</f>
        <v>FALSO</v>
      </c>
    </row>
    <row r="1174">
      <c r="B1174" s="186" t="str">
        <f>IFERROR(__xludf.DUMMYFUNCTION("""COMPUTED_VALUE"""),"PI2495Y")</f>
        <v>PI2495Y</v>
      </c>
      <c r="C1174" s="186" t="str">
        <f>IFERROR(__xludf.DUMMYFUNCTION("""COMPUTED_VALUE"""),"EXTRA MINI ARVORE FLOR DE LUZ")</f>
        <v>EXTRA MINI ARVORE FLOR DE LUZ</v>
      </c>
      <c r="D1174" s="186" t="str">
        <f>IFERROR(__xludf.DUMMYFUNCTION("""COMPUTED_VALUE"""),"FALSO")</f>
        <v>FALSO</v>
      </c>
    </row>
    <row r="1175">
      <c r="B1175" s="186" t="str">
        <f>IFERROR(__xludf.DUMMYFUNCTION("""COMPUTED_VALUE"""),"PI6666Y")</f>
        <v>PI6666Y</v>
      </c>
      <c r="C1175" s="186"/>
      <c r="D1175" s="186" t="str">
        <f>IFERROR(__xludf.DUMMYFUNCTION("""COMPUTED_VALUE"""),"FALSO")</f>
        <v>FALSO</v>
      </c>
    </row>
    <row r="1176">
      <c r="B1176" s="186" t="str">
        <f>IFERROR(__xludf.DUMMYFUNCTION("""COMPUTED_VALUE"""),"PI6677Y")</f>
        <v>PI6677Y</v>
      </c>
      <c r="C1176" s="186"/>
      <c r="D1176" s="186" t="str">
        <f>IFERROR(__xludf.DUMMYFUNCTION("""COMPUTED_VALUE"""),"FALSO")</f>
        <v>FALSO</v>
      </c>
    </row>
    <row r="1177">
      <c r="B1177" s="186" t="str">
        <f>IFERROR(__xludf.DUMMYFUNCTION("""COMPUTED_VALUE"""),"PI5934Y")</f>
        <v>PI5934Y</v>
      </c>
      <c r="C1177" s="186"/>
      <c r="D1177" s="186" t="str">
        <f>IFERROR(__xludf.DUMMYFUNCTION("""COMPUTED_VALUE"""),"FALSO")</f>
        <v>FALSO</v>
      </c>
    </row>
    <row r="1178">
      <c r="B1178" s="186" t="str">
        <f>IFERROR(__xludf.DUMMYFUNCTION("""COMPUTED_VALUE"""),"PI5401Y")</f>
        <v>PI5401Y</v>
      </c>
      <c r="C1178" s="186"/>
      <c r="D1178" s="186" t="str">
        <f>IFERROR(__xludf.DUMMYFUNCTION("""COMPUTED_VALUE"""),"FALSO")</f>
        <v>FALSO</v>
      </c>
    </row>
    <row r="1179">
      <c r="B1179" s="186" t="str">
        <f>IFERROR(__xludf.DUMMYFUNCTION("""COMPUTED_VALUE"""),"PI7273")</f>
        <v>PI7273</v>
      </c>
      <c r="C1179" s="186"/>
      <c r="D1179" s="186" t="str">
        <f>IFERROR(__xludf.DUMMYFUNCTION("""COMPUTED_VALUE"""),"FALSO")</f>
        <v>FALSO</v>
      </c>
    </row>
    <row r="1180">
      <c r="B1180" s="186" t="str">
        <f>IFERROR(__xludf.DUMMYFUNCTION("""COMPUTED_VALUE"""),"PI6848Y")</f>
        <v>PI6848Y</v>
      </c>
      <c r="C1180" s="186"/>
      <c r="D1180" s="186" t="str">
        <f>IFERROR(__xludf.DUMMYFUNCTION("""COMPUTED_VALUE"""),"FALSO")</f>
        <v>FALSO</v>
      </c>
    </row>
    <row r="1181">
      <c r="B1181" s="186" t="str">
        <f>IFERROR(__xludf.DUMMYFUNCTION("""COMPUTED_VALUE"""),"PI7275")</f>
        <v>PI7275</v>
      </c>
      <c r="C1181" s="186"/>
      <c r="D1181" s="186" t="str">
        <f>IFERROR(__xludf.DUMMYFUNCTION("""COMPUTED_VALUE"""),"FALSO")</f>
        <v>FALSO</v>
      </c>
    </row>
    <row r="1182">
      <c r="B1182" s="186" t="str">
        <f>IFERROR(__xludf.DUMMYFUNCTION("""COMPUTED_VALUE"""),"PI5176")</f>
        <v>PI5176</v>
      </c>
      <c r="C1182" s="186" t="str">
        <f>IFERROR(__xludf.DUMMYFUNCTION("""COMPUTED_VALUE"""),"ESPELHO DE MESA COM LED LILAS")</f>
        <v>ESPELHO DE MESA COM LED LILAS</v>
      </c>
      <c r="D1182" s="186" t="str">
        <f>IFERROR(__xludf.DUMMYFUNCTION("""COMPUTED_VALUE"""),"FALSO")</f>
        <v>FALSO</v>
      </c>
    </row>
    <row r="1183">
      <c r="B1183" s="186" t="str">
        <f>IFERROR(__xludf.DUMMYFUNCTION("""COMPUTED_VALUE"""),"PI5419Y")</f>
        <v>PI5419Y</v>
      </c>
      <c r="C1183" s="186"/>
      <c r="D1183" s="186" t="str">
        <f>IFERROR(__xludf.DUMMYFUNCTION("""COMPUTED_VALUE"""),"FALSO")</f>
        <v>FALSO</v>
      </c>
    </row>
    <row r="1184">
      <c r="B1184" s="186" t="str">
        <f>IFERROR(__xludf.DUMMYFUNCTION("""COMPUTED_VALUE"""),"PI5411Y")</f>
        <v>PI5411Y</v>
      </c>
      <c r="C1184" s="186"/>
      <c r="D1184" s="186" t="str">
        <f>IFERROR(__xludf.DUMMYFUNCTION("""COMPUTED_VALUE"""),"FALSO")</f>
        <v>FALSO</v>
      </c>
    </row>
    <row r="1185">
      <c r="B1185" s="186" t="str">
        <f>IFERROR(__xludf.DUMMYFUNCTION("""COMPUTED_VALUE"""),"CS2248")</f>
        <v>CS2248</v>
      </c>
      <c r="C1185" s="186" t="str">
        <f>IFERROR(__xludf.DUMMYFUNCTION("""COMPUTED_VALUE"""),"TACA DE MARTINI DEGRADE AMBAR")</f>
        <v>TACA DE MARTINI DEGRADE AMBAR</v>
      </c>
      <c r="D1185" s="186" t="str">
        <f>IFERROR(__xludf.DUMMYFUNCTION("""COMPUTED_VALUE"""),"FALSO")</f>
        <v>FALSO</v>
      </c>
    </row>
    <row r="1186">
      <c r="B1186" s="186" t="str">
        <f>IFERROR(__xludf.DUMMYFUNCTION("""COMPUTED_VALUE"""),"CS2387")</f>
        <v>CS2387</v>
      </c>
      <c r="C1186" s="186"/>
      <c r="D1186" s="186" t="str">
        <f>IFERROR(__xludf.DUMMYFUNCTION("""COMPUTED_VALUE"""),"FALSO")</f>
        <v>FALSO</v>
      </c>
    </row>
    <row r="1187">
      <c r="B1187" s="186" t="str">
        <f>IFERROR(__xludf.DUMMYFUNCTION("""COMPUTED_VALUE"""),"PI7321Y")</f>
        <v>PI7321Y</v>
      </c>
      <c r="C1187" s="186"/>
      <c r="D1187" s="186" t="str">
        <f>IFERROR(__xludf.DUMMYFUNCTION("""COMPUTED_VALUE"""),"FALSO")</f>
        <v>FALSO</v>
      </c>
    </row>
    <row r="1188">
      <c r="B1188" s="186" t="str">
        <f>IFERROR(__xludf.DUMMYFUNCTION("""COMPUTED_VALUE"""),"PI7014Y")</f>
        <v>PI7014Y</v>
      </c>
      <c r="C1188" s="186"/>
      <c r="D1188" s="186" t="str">
        <f>IFERROR(__xludf.DUMMYFUNCTION("""COMPUTED_VALUE"""),"FALSO")</f>
        <v>FALSO</v>
      </c>
    </row>
    <row r="1189">
      <c r="B1189" s="186" t="str">
        <f>IFERROR(__xludf.DUMMYFUNCTION("""COMPUTED_VALUE"""),"CS2255")</f>
        <v>CS2255</v>
      </c>
      <c r="C1189" s="186"/>
      <c r="D1189" s="186" t="str">
        <f>IFERROR(__xludf.DUMMYFUNCTION("""COMPUTED_VALUE"""),"FALSO")</f>
        <v>FALSO</v>
      </c>
    </row>
    <row r="1190">
      <c r="B1190" s="186" t="str">
        <f>IFERROR(__xludf.DUMMYFUNCTION("""COMPUTED_VALUE"""),"CS2255")</f>
        <v>CS2255</v>
      </c>
      <c r="C1190" s="186"/>
      <c r="D1190" s="186" t="str">
        <f>IFERROR(__xludf.DUMMYFUNCTION("""COMPUTED_VALUE"""),"FALSO")</f>
        <v>FALSO</v>
      </c>
    </row>
    <row r="1191">
      <c r="B1191" s="186" t="str">
        <f>IFERROR(__xludf.DUMMYFUNCTION("""COMPUTED_VALUE"""),"PI6273Y")</f>
        <v>PI6273Y</v>
      </c>
      <c r="C1191" s="186"/>
      <c r="D1191" s="186" t="str">
        <f>IFERROR(__xludf.DUMMYFUNCTION("""COMPUTED_VALUE"""),"FALSO")</f>
        <v>FALSO</v>
      </c>
    </row>
    <row r="1192">
      <c r="B1192" s="186" t="str">
        <f>IFERROR(__xludf.DUMMYFUNCTION("""COMPUTED_VALUE"""),"AC2234")</f>
        <v>AC2234</v>
      </c>
      <c r="C1192" s="186" t="str">
        <f>IFERROR(__xludf.DUMMYFUNCTION("""COMPUTED_VALUE"""),"TESTE 01")</f>
        <v>TESTE 01</v>
      </c>
      <c r="D1192" s="186" t="str">
        <f>IFERROR(__xludf.DUMMYFUNCTION("""COMPUTED_VALUE"""),"FALSO")</f>
        <v>FALSO</v>
      </c>
    </row>
    <row r="1193">
      <c r="B1193" s="186" t="str">
        <f>IFERROR(__xludf.DUMMYFUNCTION("""COMPUTED_VALUE"""),"PI4879Y")</f>
        <v>PI4879Y</v>
      </c>
      <c r="C1193" s="186" t="str">
        <f>IFERROR(__xludf.DUMMYFUNCTION("""COMPUTED_VALUE"""),"BOLSA TERMICA COM KIT VINHO VINHOZIN")</f>
        <v>BOLSA TERMICA COM KIT VINHO VINHOZIN</v>
      </c>
      <c r="D1193" s="186" t="str">
        <f>IFERROR(__xludf.DUMMYFUNCTION("""COMPUTED_VALUE"""),"FALSO")</f>
        <v>FALSO</v>
      </c>
    </row>
    <row r="1194">
      <c r="B1194" s="186" t="str">
        <f>IFERROR(__xludf.DUMMYFUNCTION("""COMPUTED_VALUE"""),"PI7077Y")</f>
        <v>PI7077Y</v>
      </c>
      <c r="C1194" s="186"/>
      <c r="D1194" s="186" t="str">
        <f>IFERROR(__xludf.DUMMYFUNCTION("""COMPUTED_VALUE"""),"FALSO")</f>
        <v>FALSO</v>
      </c>
    </row>
    <row r="1195">
      <c r="B1195" s="186" t="str">
        <f>IFERROR(__xludf.DUMMYFUNCTION("""COMPUTED_VALUE"""),"PI6032Y")</f>
        <v>PI6032Y</v>
      </c>
      <c r="C1195" s="186"/>
      <c r="D1195" s="186" t="str">
        <f>IFERROR(__xludf.DUMMYFUNCTION("""COMPUTED_VALUE"""),"FALSO")</f>
        <v>FALSO</v>
      </c>
    </row>
    <row r="1196">
      <c r="B1196" s="186" t="str">
        <f>IFERROR(__xludf.DUMMYFUNCTION("""COMPUTED_VALUE"""),"PI6078Y")</f>
        <v>PI6078Y</v>
      </c>
      <c r="C1196" s="186"/>
      <c r="D1196" s="186" t="str">
        <f>IFERROR(__xludf.DUMMYFUNCTION("""COMPUTED_VALUE"""),"FALSO")</f>
        <v>FALSO</v>
      </c>
    </row>
    <row r="1197">
      <c r="B1197" s="186" t="str">
        <f>IFERROR(__xludf.DUMMYFUNCTION("""COMPUTED_VALUE"""),"PI6079Y")</f>
        <v>PI6079Y</v>
      </c>
      <c r="C1197" s="186"/>
      <c r="D1197" s="186" t="str">
        <f>IFERROR(__xludf.DUMMYFUNCTION("""COMPUTED_VALUE"""),"FALSO")</f>
        <v>FALSO</v>
      </c>
    </row>
    <row r="1198">
      <c r="B1198" s="186" t="str">
        <f>IFERROR(__xludf.DUMMYFUNCTION("""COMPUTED_VALUE"""),"PI7918Y")</f>
        <v>PI7918Y</v>
      </c>
      <c r="C1198" s="186" t="str">
        <f>IFERROR(__xludf.DUMMYFUNCTION("""COMPUTED_VALUE"""),"GARRAFA TERMICA TUDO EM UMA OFF WHITE")</f>
        <v>GARRAFA TERMICA TUDO EM UMA OFF WHITE</v>
      </c>
      <c r="D1198" s="186" t="str">
        <f>IFERROR(__xludf.DUMMYFUNCTION("""COMPUTED_VALUE"""),"FALSO")</f>
        <v>FALSO</v>
      </c>
    </row>
    <row r="1199">
      <c r="B1199" s="186" t="str">
        <f>IFERROR(__xludf.DUMMYFUNCTION("""COMPUTED_VALUE"""),"PI7919Y")</f>
        <v>PI7919Y</v>
      </c>
      <c r="C1199" s="186" t="str">
        <f>IFERROR(__xludf.DUMMYFUNCTION("""COMPUTED_VALUE"""),"GARRAFA TERMICA TUDO EM UMA ROSA")</f>
        <v>GARRAFA TERMICA TUDO EM UMA ROSA</v>
      </c>
      <c r="D1199" s="186" t="str">
        <f>IFERROR(__xludf.DUMMYFUNCTION("""COMPUTED_VALUE"""),"FALSO")</f>
        <v>FALSO</v>
      </c>
    </row>
    <row r="1200">
      <c r="B1200" s="186" t="str">
        <f>IFERROR(__xludf.DUMMYFUNCTION("""COMPUTED_VALUE"""),"PI7642Y")</f>
        <v>PI7642Y</v>
      </c>
      <c r="C1200" s="186" t="str">
        <f>IFERROR(__xludf.DUMMYFUNCTION("""COMPUTED_VALUE"""),"GARRAFA TERMICA PRETA")</f>
        <v>GARRAFA TERMICA PRETA</v>
      </c>
      <c r="D1200" s="186" t="str">
        <f>IFERROR(__xludf.DUMMYFUNCTION("""COMPUTED_VALUE"""),"FALSO")</f>
        <v>FALSO</v>
      </c>
    </row>
    <row r="1201">
      <c r="B1201" s="186" t="str">
        <f>IFERROR(__xludf.DUMMYFUNCTION("""COMPUTED_VALUE"""),"PI7485Y")</f>
        <v>PI7485Y</v>
      </c>
      <c r="C1201" s="186"/>
      <c r="D1201" s="186" t="str">
        <f>IFERROR(__xludf.DUMMYFUNCTION("""COMPUTED_VALUE"""),"FALSO")</f>
        <v>FALSO</v>
      </c>
    </row>
    <row r="1202">
      <c r="B1202" s="186" t="str">
        <f>IFERROR(__xludf.DUMMYFUNCTION("""COMPUTED_VALUE"""),"PI5962Y")</f>
        <v>PI5962Y</v>
      </c>
      <c r="C1202" s="186"/>
      <c r="D1202" s="186" t="str">
        <f>IFERROR(__xludf.DUMMYFUNCTION("""COMPUTED_VALUE"""),"FALSO")</f>
        <v>FALSO</v>
      </c>
    </row>
    <row r="1203">
      <c r="B1203" s="186" t="str">
        <f>IFERROR(__xludf.DUMMYFUNCTION("""COMPUTED_VALUE"""),"PI5963Y")</f>
        <v>PI5963Y</v>
      </c>
      <c r="C1203" s="186"/>
      <c r="D1203" s="186" t="str">
        <f>IFERROR(__xludf.DUMMYFUNCTION("""COMPUTED_VALUE"""),"FALSO")</f>
        <v>FALSO</v>
      </c>
    </row>
    <row r="1204">
      <c r="B1204" s="186" t="str">
        <f>IFERROR(__xludf.DUMMYFUNCTION("""COMPUTED_VALUE"""),"PI5284Y")</f>
        <v>PI5284Y</v>
      </c>
      <c r="C1204" s="358" t="str">
        <f>IFERROR(__xludf.DUMMYFUNCTION("""COMPUTED_VALUE"""),"GARRAFA TERMICA BRILHA ESCURO HP PATRONO")</f>
        <v>GARRAFA TERMICA BRILHA ESCURO HP PATRONO</v>
      </c>
      <c r="D1204" s="186" t="str">
        <f>IFERROR(__xludf.DUMMYFUNCTION("""COMPUTED_VALUE"""),"FALSO")</f>
        <v>FALSO</v>
      </c>
    </row>
    <row r="1205">
      <c r="B1205" s="186" t="str">
        <f>IFERROR(__xludf.DUMMYFUNCTION("""COMPUTED_VALUE"""),"PI6325Y")</f>
        <v>PI6325Y</v>
      </c>
      <c r="C1205" s="186"/>
      <c r="D1205" s="186" t="str">
        <f>IFERROR(__xludf.DUMMYFUNCTION("""COMPUTED_VALUE"""),"FALSO")</f>
        <v>FALSO</v>
      </c>
    </row>
    <row r="1206">
      <c r="B1206" s="186" t="str">
        <f>IFERROR(__xludf.DUMMYFUNCTION("""COMPUTED_VALUE"""),"PI6326Y")</f>
        <v>PI6326Y</v>
      </c>
      <c r="C1206" s="186"/>
      <c r="D1206" s="186" t="str">
        <f>IFERROR(__xludf.DUMMYFUNCTION("""COMPUTED_VALUE"""),"FALSO")</f>
        <v>FALSO</v>
      </c>
    </row>
    <row r="1207">
      <c r="B1207" s="186" t="str">
        <f>IFERROR(__xludf.DUMMYFUNCTION("""COMPUTED_VALUE"""),"PI6319Y")</f>
        <v>PI6319Y</v>
      </c>
      <c r="C1207" s="186"/>
      <c r="D1207" s="186" t="str">
        <f>IFERROR(__xludf.DUMMYFUNCTION("""COMPUTED_VALUE"""),"FALSO")</f>
        <v>FALSO</v>
      </c>
    </row>
    <row r="1208">
      <c r="B1208" s="186" t="str">
        <f>IFERROR(__xludf.DUMMYFUNCTION("""COMPUTED_VALUE"""),"PI7106Y")</f>
        <v>PI7106Y</v>
      </c>
      <c r="C1208" s="186"/>
      <c r="D1208" s="186" t="str">
        <f>IFERROR(__xludf.DUMMYFUNCTION("""COMPUTED_VALUE"""),"FALSO")</f>
        <v>FALSO</v>
      </c>
    </row>
    <row r="1209">
      <c r="B1209" s="186" t="str">
        <f>IFERROR(__xludf.DUMMYFUNCTION("""COMPUTED_VALUE"""),"PI7695Y")</f>
        <v>PI7695Y</v>
      </c>
      <c r="C1209" s="186" t="str">
        <f>IFERROR(__xludf.DUMMYFUNCTION("""COMPUTED_VALUE"""),"GARRAFA TERMICA ROSE")</f>
        <v>GARRAFA TERMICA ROSE</v>
      </c>
      <c r="D1209" s="186" t="str">
        <f>IFERROR(__xludf.DUMMYFUNCTION("""COMPUTED_VALUE"""),"FALSO")</f>
        <v>FALSO</v>
      </c>
    </row>
    <row r="1210">
      <c r="B1210" s="186" t="str">
        <f>IFERROR(__xludf.DUMMYFUNCTION("""COMPUTED_VALUE"""),"PI5299Y")</f>
        <v>PI5299Y</v>
      </c>
      <c r="C1210" s="186"/>
      <c r="D1210" s="186" t="str">
        <f>IFERROR(__xludf.DUMMYFUNCTION("""COMPUTED_VALUE"""),"FALSO")</f>
        <v>FALSO</v>
      </c>
    </row>
    <row r="1211">
      <c r="B1211" s="186" t="str">
        <f>IFERROR(__xludf.DUMMYFUNCTION("""COMPUTED_VALUE"""),"PI6323Y")</f>
        <v>PI6323Y</v>
      </c>
      <c r="C1211" s="186"/>
      <c r="D1211" s="186" t="str">
        <f>IFERROR(__xludf.DUMMYFUNCTION("""COMPUTED_VALUE"""),"FALSO")</f>
        <v>FALSO</v>
      </c>
    </row>
    <row r="1212">
      <c r="B1212" s="186" t="str">
        <f>IFERROR(__xludf.DUMMYFUNCTION("""COMPUTED_VALUE"""),"PI7641Y")</f>
        <v>PI7641Y</v>
      </c>
      <c r="C1212" s="186" t="str">
        <f>IFERROR(__xludf.DUMMYFUNCTION("""COMPUTED_VALUE"""),"GARRAFA TERMICA COM ALCA VERDE MILITAR")</f>
        <v>GARRAFA TERMICA COM ALCA VERDE MILITAR</v>
      </c>
      <c r="D1212" s="186" t="str">
        <f>IFERROR(__xludf.DUMMYFUNCTION("""COMPUTED_VALUE"""),"FALSO")</f>
        <v>FALSO</v>
      </c>
    </row>
    <row r="1213">
      <c r="B1213" s="186" t="str">
        <f>IFERROR(__xludf.DUMMYFUNCTION("""COMPUTED_VALUE"""),"PI6033Y")</f>
        <v>PI6033Y</v>
      </c>
      <c r="C1213" s="186"/>
      <c r="D1213" s="186" t="str">
        <f>IFERROR(__xludf.DUMMYFUNCTION("""COMPUTED_VALUE"""),"FALSO")</f>
        <v>FALSO</v>
      </c>
    </row>
    <row r="1214">
      <c r="B1214" s="186" t="str">
        <f>IFERROR(__xludf.DUMMYFUNCTION("""COMPUTED_VALUE"""),"PI6379Y")</f>
        <v>PI6379Y</v>
      </c>
      <c r="C1214" s="186"/>
      <c r="D1214" s="186" t="str">
        <f>IFERROR(__xludf.DUMMYFUNCTION("""COMPUTED_VALUE"""),"FALSO")</f>
        <v>FALSO</v>
      </c>
    </row>
    <row r="1215">
      <c r="B1215" s="186" t="str">
        <f>IFERROR(__xludf.DUMMYFUNCTION("""COMPUTED_VALUE"""),"PI6317Y")</f>
        <v>PI6317Y</v>
      </c>
      <c r="C1215" s="186"/>
      <c r="D1215" s="186" t="str">
        <f>IFERROR(__xludf.DUMMYFUNCTION("""COMPUTED_VALUE"""),"FALSO")</f>
        <v>FALSO</v>
      </c>
    </row>
    <row r="1216">
      <c r="B1216" s="186" t="str">
        <f>IFERROR(__xludf.DUMMYFUNCTION("""COMPUTED_VALUE"""),"PI7475Y")</f>
        <v>PI7475Y</v>
      </c>
      <c r="C1216" s="186"/>
      <c r="D1216" s="186" t="str">
        <f>IFERROR(__xludf.DUMMYFUNCTION("""COMPUTED_VALUE"""),"FALSO")</f>
        <v>FALSO</v>
      </c>
    </row>
    <row r="1217">
      <c r="B1217" s="186" t="str">
        <f>IFERROR(__xludf.DUMMYFUNCTION("""COMPUTED_VALUE"""),"PI7079Y")</f>
        <v>PI7079Y</v>
      </c>
      <c r="C1217" s="186"/>
      <c r="D1217" s="186" t="str">
        <f>IFERROR(__xludf.DUMMYFUNCTION("""COMPUTED_VALUE"""),"FALSO")</f>
        <v>FALSO</v>
      </c>
    </row>
    <row r="1218">
      <c r="B1218" s="186" t="str">
        <f>IFERROR(__xludf.DUMMYFUNCTION("""COMPUTED_VALUE"""),"PI6334Y")</f>
        <v>PI6334Y</v>
      </c>
      <c r="C1218" s="186" t="str">
        <f>IFERROR(__xludf.DUMMYFUNCTION("""COMPUTED_VALUE"""),"COPO PARA VIAGEM CAMERA FOTOGRAFICA")</f>
        <v>COPO PARA VIAGEM CAMERA FOTOGRAFICA</v>
      </c>
      <c r="D1218" s="186" t="str">
        <f>IFERROR(__xludf.DUMMYFUNCTION("""COMPUTED_VALUE"""),"FALSO")</f>
        <v>FALSO</v>
      </c>
    </row>
    <row r="1219">
      <c r="B1219" s="186" t="str">
        <f>IFERROR(__xludf.DUMMYFUNCTION("""COMPUTED_VALUE"""),"PI6823Y")</f>
        <v>PI6823Y</v>
      </c>
      <c r="C1219" s="186" t="str">
        <f>IFERROR(__xludf.DUMMYFUNCTION("""COMPUTED_VALUE"""),"Copo Térmico Com Canudo HP Hogwarts")</f>
        <v>Copo Térmico Com Canudo HP Hogwarts</v>
      </c>
      <c r="D1219" s="186" t="str">
        <f>IFERROR(__xludf.DUMMYFUNCTION("""COMPUTED_VALUE"""),"FALSO")</f>
        <v>FALSO</v>
      </c>
    </row>
    <row r="1220">
      <c r="B1220" s="186" t="str">
        <f>IFERROR(__xludf.DUMMYFUNCTION("""COMPUTED_VALUE"""),"PI5793Y")</f>
        <v>PI5793Y</v>
      </c>
      <c r="C1220" s="186" t="str">
        <f>IFERROR(__xludf.DUMMYFUNCTION("""COMPUTED_VALUE"""),"CANECA TERMICA COM TAMPA UMA DOSE DE CAFE")</f>
        <v>CANECA TERMICA COM TAMPA UMA DOSE DE CAFE</v>
      </c>
      <c r="D1220" s="186" t="str">
        <f>IFERROR(__xludf.DUMMYFUNCTION("""COMPUTED_VALUE"""),"FALSO")</f>
        <v>FALSO</v>
      </c>
    </row>
    <row r="1221">
      <c r="B1221" s="186" t="str">
        <f>IFERROR(__xludf.DUMMYFUNCTION("""COMPUTED_VALUE"""),"PI5333Y")</f>
        <v>PI5333Y</v>
      </c>
      <c r="C1221" s="186"/>
      <c r="D1221" s="186" t="str">
        <f>IFERROR(__xludf.DUMMYFUNCTION("""COMPUTED_VALUE"""),"FALSO")</f>
        <v>FALSO</v>
      </c>
    </row>
    <row r="1222">
      <c r="B1222" s="186" t="str">
        <f>IFERROR(__xludf.DUMMYFUNCTION("""COMPUTED_VALUE"""),"PI6664Y")</f>
        <v>PI6664Y</v>
      </c>
      <c r="C1222" s="186"/>
      <c r="D1222" s="186" t="str">
        <f>IFERROR(__xludf.DUMMYFUNCTION("""COMPUTED_VALUE"""),"FALSO")</f>
        <v>FALSO</v>
      </c>
    </row>
    <row r="1223">
      <c r="B1223" s="186" t="str">
        <f>IFERROR(__xludf.DUMMYFUNCTION("""COMPUTED_VALUE"""),"PI5917Y")</f>
        <v>PI5917Y</v>
      </c>
      <c r="C1223" s="186"/>
      <c r="D1223" s="186" t="str">
        <f>IFERROR(__xludf.DUMMYFUNCTION("""COMPUTED_VALUE"""),"FALSO")</f>
        <v>FALSO</v>
      </c>
    </row>
    <row r="1224">
      <c r="B1224" s="186" t="str">
        <f>IFERROR(__xludf.DUMMYFUNCTION("""COMPUTED_VALUE"""),"PI5256Y")</f>
        <v>PI5256Y</v>
      </c>
      <c r="C1224" s="186"/>
      <c r="D1224" s="186" t="str">
        <f>IFERROR(__xludf.DUMMYFUNCTION("""COMPUTED_VALUE"""),"FALSO")</f>
        <v>FALSO</v>
      </c>
    </row>
    <row r="1225">
      <c r="B1225" s="186" t="str">
        <f>IFERROR(__xludf.DUMMYFUNCTION("""COMPUTED_VALUE"""),"PI5331Y")</f>
        <v>PI5331Y</v>
      </c>
      <c r="C1225" s="186"/>
      <c r="D1225" s="186" t="str">
        <f>IFERROR(__xludf.DUMMYFUNCTION("""COMPUTED_VALUE"""),"FALSO")</f>
        <v>FALSO</v>
      </c>
    </row>
    <row r="1226">
      <c r="B1226" s="186" t="str">
        <f>IFERROR(__xludf.DUMMYFUNCTION("""COMPUTED_VALUE"""),"PI6682Y")</f>
        <v>PI6682Y</v>
      </c>
      <c r="C1226" s="186"/>
      <c r="D1226" s="186" t="str">
        <f>IFERROR(__xludf.DUMMYFUNCTION("""COMPUTED_VALUE"""),"FALSO")</f>
        <v>FALSO</v>
      </c>
    </row>
    <row r="1227">
      <c r="B1227" s="186" t="str">
        <f>IFERROR(__xludf.DUMMYFUNCTION("""COMPUTED_VALUE"""),"PI4704Y")</f>
        <v>PI4704Y</v>
      </c>
      <c r="C1227" s="358" t="str">
        <f>IFERROR(__xludf.DUMMYFUNCTION("""COMPUTED_VALUE"""),"LUMINARIA TOUCH DA UMA LUZ")</f>
        <v>LUMINARIA TOUCH DA UMA LUZ</v>
      </c>
      <c r="D1227" s="186" t="str">
        <f>IFERROR(__xludf.DUMMYFUNCTION("""COMPUTED_VALUE"""),"FALSO")</f>
        <v>FALSO</v>
      </c>
    </row>
    <row r="1228">
      <c r="B1228" s="186" t="str">
        <f>IFERROR(__xludf.DUMMYFUNCTION("""COMPUTED_VALUE"""),"PI6821Y")</f>
        <v>PI6821Y</v>
      </c>
      <c r="C1228" s="186"/>
      <c r="D1228" s="186" t="str">
        <f>IFERROR(__xludf.DUMMYFUNCTION("""COMPUTED_VALUE"""),"FALSO")</f>
        <v>FALSO</v>
      </c>
    </row>
    <row r="1229">
      <c r="B1229" s="186" t="str">
        <f>IFERROR(__xludf.DUMMYFUNCTION("""COMPUTED_VALUE"""),"PI5353Y")</f>
        <v>PI5353Y</v>
      </c>
      <c r="C1229" s="186"/>
      <c r="D1229" s="186" t="str">
        <f>IFERROR(__xludf.DUMMYFUNCTION("""COMPUTED_VALUE"""),"FALSO")</f>
        <v>FALSO</v>
      </c>
    </row>
    <row r="1230">
      <c r="B1230" s="186" t="str">
        <f>IFERROR(__xludf.DUMMYFUNCTION("""COMPUTED_VALUE"""),"PI6266Y")</f>
        <v>PI6266Y</v>
      </c>
      <c r="C1230" s="186"/>
      <c r="D1230" s="186" t="str">
        <f>IFERROR(__xludf.DUMMYFUNCTION("""COMPUTED_VALUE"""),"Anatel Category 2 - Bluetooth Module")</f>
        <v>Anatel Category 2 - Bluetooth Module</v>
      </c>
    </row>
    <row r="1231">
      <c r="B1231" s="186" t="str">
        <f>IFERROR(__xludf.DUMMYFUNCTION("""COMPUTED_VALUE"""),"PI7127Y")</f>
        <v>PI7127Y</v>
      </c>
      <c r="C1231" s="186"/>
      <c r="D1231" s="186" t="str">
        <f>IFERROR(__xludf.DUMMYFUNCTION("""COMPUTED_VALUE"""),"FALSO")</f>
        <v>FALSO</v>
      </c>
    </row>
    <row r="1232">
      <c r="B1232" s="186" t="str">
        <f>IFERROR(__xludf.DUMMYFUNCTION("""COMPUTED_VALUE"""),"PI5263Y")</f>
        <v>PI5263Y</v>
      </c>
      <c r="C1232" s="186"/>
      <c r="D1232" s="186" t="str">
        <f>IFERROR(__xludf.DUMMYFUNCTION("""COMPUTED_VALUE"""),"FALSO")</f>
        <v>FALSO</v>
      </c>
    </row>
    <row r="1233">
      <c r="B1233" s="186" t="str">
        <f>IFERROR(__xludf.DUMMYFUNCTION("""COMPUTED_VALUE"""),"PI7399Y")</f>
        <v>PI7399Y</v>
      </c>
      <c r="C1233" s="186" t="str">
        <f>IFERROR(__xludf.DUMMYFUNCTION("""COMPUTED_VALUE"""),"KIT ORGANIZADOR DE MALA PRETO")</f>
        <v>KIT ORGANIZADOR DE MALA PRETO</v>
      </c>
      <c r="D1233" s="186" t="str">
        <f>IFERROR(__xludf.DUMMYFUNCTION("""COMPUTED_VALUE"""),"FALSO")</f>
        <v>FALSO</v>
      </c>
    </row>
    <row r="1234">
      <c r="B1234" s="186" t="str">
        <f>IFERROR(__xludf.DUMMYFUNCTION("""COMPUTED_VALUE"""),"PI6252Y")</f>
        <v>PI6252Y</v>
      </c>
      <c r="C1234" s="186"/>
      <c r="D1234" s="186" t="str">
        <f>IFERROR(__xludf.DUMMYFUNCTION("""COMPUTED_VALUE"""),"FALSO")</f>
        <v>FALSO</v>
      </c>
    </row>
    <row r="1235">
      <c r="B1235" s="186" t="str">
        <f>IFERROR(__xludf.DUMMYFUNCTION("""COMPUTED_VALUE"""),"PI5571Y")</f>
        <v>PI5571Y</v>
      </c>
      <c r="C1235" s="186" t="str">
        <f>IFERROR(__xludf.DUMMYFUNCTION("""COMPUTED_VALUE"""),"KIT VIAGEM PASSAPORTE E TAG VOO COM TUDO")</f>
        <v>KIT VIAGEM PASSAPORTE E TAG VOO COM TUDO</v>
      </c>
      <c r="D1235" s="186" t="str">
        <f>IFERROR(__xludf.DUMMYFUNCTION("""COMPUTED_VALUE"""),"FALSO")</f>
        <v>FALSO</v>
      </c>
    </row>
    <row r="1236">
      <c r="B1236" s="186" t="str">
        <f>IFERROR(__xludf.DUMMYFUNCTION("""COMPUTED_VALUE"""),"PI6212Y")</f>
        <v>PI6212Y</v>
      </c>
      <c r="C1236" s="186"/>
      <c r="D1236" s="186" t="str">
        <f>IFERROR(__xludf.DUMMYFUNCTION("""COMPUTED_VALUE"""),"FALSO")</f>
        <v>FALSO</v>
      </c>
    </row>
    <row r="1237">
      <c r="B1237" s="186" t="str">
        <f>IFERROR(__xludf.DUMMYFUNCTION("""COMPUTED_VALUE"""),"PI6275Y")</f>
        <v>PI6275Y</v>
      </c>
      <c r="C1237" s="186"/>
      <c r="D1237" s="186" t="str">
        <f>IFERROR(__xludf.DUMMYFUNCTION("""COMPUTED_VALUE"""),"FALSO")</f>
        <v>FALSO</v>
      </c>
    </row>
    <row r="1238">
      <c r="B1238" s="186" t="str">
        <f>IFERROR(__xludf.DUMMYFUNCTION("""COMPUTED_VALUE"""),"PI6276Y")</f>
        <v>PI6276Y</v>
      </c>
      <c r="C1238" s="186"/>
      <c r="D1238" s="186" t="str">
        <f>IFERROR(__xludf.DUMMYFUNCTION("""COMPUTED_VALUE"""),"FALSO")</f>
        <v>FALSO</v>
      </c>
    </row>
    <row r="1239">
      <c r="B1239" s="186" t="str">
        <f>IFERROR(__xludf.DUMMYFUNCTION("""COMPUTED_VALUE"""),"PI5823Y")</f>
        <v>PI5823Y</v>
      </c>
      <c r="C1239" s="186"/>
      <c r="D1239" s="186" t="str">
        <f>IFERROR(__xludf.DUMMYFUNCTION("""COMPUTED_VALUE"""),"FALSO")</f>
        <v>FALSO</v>
      </c>
    </row>
    <row r="1240">
      <c r="B1240" s="186" t="str">
        <f>IFERROR(__xludf.DUMMYFUNCTION("""COMPUTED_VALUE"""),"PI6313Y")</f>
        <v>PI6313Y</v>
      </c>
      <c r="C1240" s="186"/>
      <c r="D1240" s="186" t="str">
        <f>IFERROR(__xludf.DUMMYFUNCTION("""COMPUTED_VALUE"""),"FALSO")</f>
        <v>FALSO</v>
      </c>
    </row>
    <row r="1241">
      <c r="B1241" s="186" t="str">
        <f>IFERROR(__xludf.DUMMYFUNCTION("""COMPUTED_VALUE"""),"PI7081Y")</f>
        <v>PI7081Y</v>
      </c>
      <c r="C1241" s="186"/>
      <c r="D1241" s="186" t="str">
        <f>IFERROR(__xludf.DUMMYFUNCTION("""COMPUTED_VALUE"""),"FALSO")</f>
        <v>FALSO</v>
      </c>
    </row>
    <row r="1242">
      <c r="B1242" s="186" t="str">
        <f>IFERROR(__xludf.DUMMYFUNCTION("""COMPUTED_VALUE"""),"PI6294Y")</f>
        <v>PI6294Y</v>
      </c>
      <c r="C1242" s="186"/>
      <c r="D1242" s="186" t="str">
        <f>IFERROR(__xludf.DUMMYFUNCTION("""COMPUTED_VALUE"""),"FALSO")</f>
        <v>FALSO</v>
      </c>
    </row>
    <row r="1243">
      <c r="B1243" s="186" t="str">
        <f>IFERROR(__xludf.DUMMYFUNCTION("""COMPUTED_VALUE"""),"PI5869Y")</f>
        <v>PI5869Y</v>
      </c>
      <c r="C1243" s="186"/>
      <c r="D1243" s="186" t="str">
        <f>IFERROR(__xludf.DUMMYFUNCTION("""COMPUTED_VALUE"""),"FALSO")</f>
        <v>FALSO</v>
      </c>
    </row>
    <row r="1244">
      <c r="B1244" s="186" t="str">
        <f>IFERROR(__xludf.DUMMYFUNCTION("""COMPUTED_VALUE"""),"PI6659Y")</f>
        <v>PI6659Y</v>
      </c>
      <c r="C1244" s="186"/>
      <c r="D1244" s="186" t="str">
        <f>IFERROR(__xludf.DUMMYFUNCTION("""COMPUTED_VALUE"""),"FALSO")</f>
        <v>FALSO</v>
      </c>
    </row>
    <row r="1245">
      <c r="B1245" s="186" t="str">
        <f>IFERROR(__xludf.DUMMYFUNCTION("""COMPUTED_VALUE"""),"PI5941Y")</f>
        <v>PI5941Y</v>
      </c>
      <c r="C1245" s="186"/>
      <c r="D1245" s="186" t="str">
        <f>IFERROR(__xludf.DUMMYFUNCTION("""COMPUTED_VALUE"""),"FALSO")</f>
        <v>FALSO</v>
      </c>
    </row>
    <row r="1246">
      <c r="B1246" s="186" t="str">
        <f>IFERROR(__xludf.DUMMYFUNCTION("""COMPUTED_VALUE"""),"PI3220Y")</f>
        <v>PI3220Y</v>
      </c>
      <c r="C1246" s="186" t="str">
        <f>IFERROR(__xludf.DUMMYFUNCTION("""COMPUTED_VALUE"""),"GUARDA CHUVA CORACAO")</f>
        <v>GUARDA CHUVA CORACAO</v>
      </c>
      <c r="D1246" s="186" t="str">
        <f>IFERROR(__xludf.DUMMYFUNCTION("""COMPUTED_VALUE"""),"FALSO")</f>
        <v>FALSO</v>
      </c>
    </row>
    <row r="1247">
      <c r="B1247" s="186" t="str">
        <f>IFERROR(__xludf.DUMMYFUNCTION("""COMPUTED_VALUE"""),"PI7173Y")</f>
        <v>PI7173Y</v>
      </c>
      <c r="C1247" s="186"/>
      <c r="D1247" s="186" t="str">
        <f>IFERROR(__xludf.DUMMYFUNCTION("""COMPUTED_VALUE"""),"FALSO")</f>
        <v>FALSO</v>
      </c>
    </row>
    <row r="1248">
      <c r="B1248" s="186" t="str">
        <f>IFERROR(__xludf.DUMMYFUNCTION("""COMPUTED_VALUE"""),"PI5294Y")</f>
        <v>PI5294Y</v>
      </c>
      <c r="C1248" s="186"/>
      <c r="D1248" s="186" t="str">
        <f>IFERROR(__xludf.DUMMYFUNCTION("""COMPUTED_VALUE"""),"FALSO")</f>
        <v>FALSO</v>
      </c>
    </row>
    <row r="1249">
      <c r="B1249" s="186" t="str">
        <f>IFERROR(__xludf.DUMMYFUNCTION("""COMPUTED_VALUE"""),"PI7468Y")</f>
        <v>PI7468Y</v>
      </c>
      <c r="C1249" s="186"/>
      <c r="D1249" s="186" t="str">
        <f>IFERROR(__xludf.DUMMYFUNCTION("""COMPUTED_VALUE"""),"FALSO")</f>
        <v>FALSO</v>
      </c>
    </row>
    <row r="1250">
      <c r="B1250" s="186" t="str">
        <f>IFERROR(__xludf.DUMMYFUNCTION("""COMPUTED_VALUE"""),"PI7465Y")</f>
        <v>PI7465Y</v>
      </c>
      <c r="C1250" s="186"/>
      <c r="D1250" s="186" t="str">
        <f>IFERROR(__xludf.DUMMYFUNCTION("""COMPUTED_VALUE"""),"FALSO")</f>
        <v>FALSO</v>
      </c>
    </row>
    <row r="1251">
      <c r="B1251" s="186" t="str">
        <f>IFERROR(__xludf.DUMMYFUNCTION("""COMPUTED_VALUE"""),"PI5213")</f>
        <v>PI5213</v>
      </c>
      <c r="C1251" s="186"/>
      <c r="D1251" s="186" t="str">
        <f>IFERROR(__xludf.DUMMYFUNCTION("""COMPUTED_VALUE"""),"FALSO")</f>
        <v>FALSO</v>
      </c>
    </row>
    <row r="1252">
      <c r="B1252" s="186" t="str">
        <f>IFERROR(__xludf.DUMMYFUNCTION("""COMPUTED_VALUE"""),"PI5922Y")</f>
        <v>PI5922Y</v>
      </c>
      <c r="C1252" s="186"/>
      <c r="D1252" s="186" t="str">
        <f>IFERROR(__xludf.DUMMYFUNCTION("""COMPUTED_VALUE"""),"FALSO")</f>
        <v>FALSO</v>
      </c>
    </row>
    <row r="1253">
      <c r="B1253" s="186" t="str">
        <f>IFERROR(__xludf.DUMMYFUNCTION("""COMPUTED_VALUE"""),"CS2311")</f>
        <v>CS2311</v>
      </c>
      <c r="C1253" s="186"/>
      <c r="D1253" s="186" t="str">
        <f>IFERROR(__xludf.DUMMYFUNCTION("""COMPUTED_VALUE"""),"FALSO")</f>
        <v>FALSO</v>
      </c>
    </row>
    <row r="1254">
      <c r="B1254" s="186" t="str">
        <f>IFERROR(__xludf.DUMMYFUNCTION("""COMPUTED_VALUE"""),"CS2312")</f>
        <v>CS2312</v>
      </c>
      <c r="C1254" s="186"/>
      <c r="D1254" s="186" t="str">
        <f>IFERROR(__xludf.DUMMYFUNCTION("""COMPUTED_VALUE"""),"FALSO")</f>
        <v>FALSO</v>
      </c>
    </row>
    <row r="1255">
      <c r="B1255" s="186" t="str">
        <f>IFERROR(__xludf.DUMMYFUNCTION("""COMPUTED_VALUE"""),"CS2313")</f>
        <v>CS2313</v>
      </c>
      <c r="C1255" s="186"/>
      <c r="D1255" s="186" t="str">
        <f>IFERROR(__xludf.DUMMYFUNCTION("""COMPUTED_VALUE"""),"FALSO")</f>
        <v>FALSO</v>
      </c>
    </row>
    <row r="1256">
      <c r="B1256" s="186" t="str">
        <f>IFERROR(__xludf.DUMMYFUNCTION("""COMPUTED_VALUE"""),"CS2314")</f>
        <v>CS2314</v>
      </c>
      <c r="C1256" s="186"/>
      <c r="D1256" s="186" t="str">
        <f>IFERROR(__xludf.DUMMYFUNCTION("""COMPUTED_VALUE"""),"FALSO")</f>
        <v>FALSO</v>
      </c>
    </row>
    <row r="1257">
      <c r="B1257" s="186" t="str">
        <f>IFERROR(__xludf.DUMMYFUNCTION("""COMPUTED_VALUE"""),"CS2315")</f>
        <v>CS2315</v>
      </c>
      <c r="C1257" s="186"/>
      <c r="D1257" s="186" t="str">
        <f>IFERROR(__xludf.DUMMYFUNCTION("""COMPUTED_VALUE"""),"FALSO")</f>
        <v>FALSO</v>
      </c>
    </row>
    <row r="1258">
      <c r="B1258" s="186" t="str">
        <f>IFERROR(__xludf.DUMMYFUNCTION("""COMPUTED_VALUE"""),"CS2316")</f>
        <v>CS2316</v>
      </c>
      <c r="C1258" s="186"/>
      <c r="D1258" s="186" t="str">
        <f>IFERROR(__xludf.DUMMYFUNCTION("""COMPUTED_VALUE"""),"FALSO")</f>
        <v>FALSO</v>
      </c>
    </row>
    <row r="1259">
      <c r="B1259" s="186" t="str">
        <f>IFERROR(__xludf.DUMMYFUNCTION("""COMPUTED_VALUE"""),"CS2294")</f>
        <v>CS2294</v>
      </c>
      <c r="C1259" s="186"/>
      <c r="D1259" s="186" t="str">
        <f>IFERROR(__xludf.DUMMYFUNCTION("""COMPUTED_VALUE"""),"FALSO")</f>
        <v>FALSO</v>
      </c>
    </row>
    <row r="1260">
      <c r="B1260" s="186" t="str">
        <f>IFERROR(__xludf.DUMMYFUNCTION("""COMPUTED_VALUE"""),"PI6567Y")</f>
        <v>PI6567Y</v>
      </c>
      <c r="C1260" s="186" t="str">
        <f>IFERROR(__xludf.DUMMYFUNCTION("""COMPUTED_VALUE"""),"PORTA RETRATO 10 X 15 - FOTO VERTICAL")</f>
        <v>PORTA RETRATO 10 X 15 - FOTO VERTICAL</v>
      </c>
      <c r="D1260" s="186" t="str">
        <f>IFERROR(__xludf.DUMMYFUNCTION("""COMPUTED_VALUE"""),"FALSO")</f>
        <v>FALSO</v>
      </c>
    </row>
    <row r="1261">
      <c r="B1261" s="186" t="str">
        <f>IFERROR(__xludf.DUMMYFUNCTION("""COMPUTED_VALUE"""),"PI5888Y")</f>
        <v>PI5888Y</v>
      </c>
      <c r="C1261" s="186"/>
      <c r="D1261" s="186" t="str">
        <f>IFERROR(__xludf.DUMMYFUNCTION("""COMPUTED_VALUE"""),"FALSO")</f>
        <v>FALSO</v>
      </c>
    </row>
    <row r="1262">
      <c r="B1262" s="186" t="str">
        <f>IFERROR(__xludf.DUMMYFUNCTION("""COMPUTED_VALUE"""),"PI5237Y")</f>
        <v>PI5237Y</v>
      </c>
      <c r="C1262" s="186"/>
      <c r="D1262" s="186" t="str">
        <f>IFERROR(__xludf.DUMMYFUNCTION("""COMPUTED_VALUE"""),"FALSO")</f>
        <v>FALSO</v>
      </c>
    </row>
    <row r="1263">
      <c r="B1263" s="186" t="str">
        <f>IFERROR(__xludf.DUMMYFUNCTION("""COMPUTED_VALUE"""),"PI5089Y")</f>
        <v>PI5089Y</v>
      </c>
      <c r="C1263" s="186"/>
      <c r="D1263" s="186" t="str">
        <f>IFERROR(__xludf.DUMMYFUNCTION("""COMPUTED_VALUE"""),"FALSO")</f>
        <v>FALSO</v>
      </c>
    </row>
    <row r="1264">
      <c r="B1264" s="186" t="str">
        <f>IFERROR(__xludf.DUMMYFUNCTION("""COMPUTED_VALUE"""),"PI7722Y")</f>
        <v>PI7722Y</v>
      </c>
      <c r="C1264" s="186"/>
      <c r="D1264" s="186" t="str">
        <f>IFERROR(__xludf.DUMMYFUNCTION("""COMPUTED_VALUE"""),"FALSO")</f>
        <v>FALSO</v>
      </c>
    </row>
    <row r="1265">
      <c r="B1265" s="186" t="str">
        <f>IFERROR(__xludf.DUMMYFUNCTION("""COMPUTED_VALUE"""),"PI7738Y")</f>
        <v>PI7738Y</v>
      </c>
      <c r="C1265" s="186"/>
      <c r="D1265" s="186" t="str">
        <f>IFERROR(__xludf.DUMMYFUNCTION("""COMPUTED_VALUE"""),"INMETRO Toys System 5 - Ordinance 302")</f>
        <v>INMETRO Toys System 5 - Ordinance 302</v>
      </c>
    </row>
    <row r="1266">
      <c r="B1266" s="186" t="str">
        <f>IFERROR(__xludf.DUMMYFUNCTION("""COMPUTED_VALUE"""),"PI6260Y")</f>
        <v>PI6260Y</v>
      </c>
      <c r="C1266" s="186" t="str">
        <f>IFERROR(__xludf.DUMMYFUNCTION("""COMPUTED_VALUE"""),"VITROLA PÕE PRA TOCAR")</f>
        <v>VITROLA PÕE PRA TOCAR</v>
      </c>
      <c r="D1266" s="186" t="str">
        <f>IFERROR(__xludf.DUMMYFUNCTION("""COMPUTED_VALUE"""),"Anatel Category 2 - Bluetooth and Radiofrequency Comms")</f>
        <v>Anatel Category 2 - Bluetooth and Radiofrequency Comms</v>
      </c>
    </row>
    <row r="1267">
      <c r="B1267" s="186" t="str">
        <f>IFERROR(__xludf.DUMMYFUNCTION("""COMPUTED_VALUE"""),"PI7199Y")</f>
        <v>PI7199Y</v>
      </c>
      <c r="C1267" s="186"/>
      <c r="D1267" s="186" t="str">
        <f>IFERROR(__xludf.DUMMYFUNCTION("""COMPUTED_VALUE"""),"FALSO")</f>
        <v>FALSO</v>
      </c>
    </row>
    <row r="1268">
      <c r="B1268" s="186" t="str">
        <f>IFERROR(__xludf.DUMMYFUNCTION("""COMPUTED_VALUE"""),"PI6830Y")</f>
        <v>PI6830Y</v>
      </c>
      <c r="C1268" s="186"/>
      <c r="D1268" s="186" t="str">
        <f>IFERROR(__xludf.DUMMYFUNCTION("""COMPUTED_VALUE"""),"FALSO")</f>
        <v>FALSO</v>
      </c>
    </row>
    <row r="1269">
      <c r="B1269" s="186" t="str">
        <f>IFERROR(__xludf.DUMMYFUNCTION("""COMPUTED_VALUE"""),"PI6482Y")</f>
        <v>PI6482Y</v>
      </c>
      <c r="C1269" s="186" t="str">
        <f>IFERROR(__xludf.DUMMYFUNCTION("""COMPUTED_VALUE"""),"RELOGIO DE PAREDE NUMEROS MADEIRA")</f>
        <v>RELOGIO DE PAREDE NUMEROS MADEIRA</v>
      </c>
      <c r="D1269" s="186" t="str">
        <f>IFERROR(__xludf.DUMMYFUNCTION("""COMPUTED_VALUE"""),"FALSO")</f>
        <v>FALSO</v>
      </c>
    </row>
    <row r="1270">
      <c r="B1270" s="186" t="str">
        <f>IFERROR(__xludf.DUMMYFUNCTION("""COMPUTED_VALUE"""),"PI6202Y")</f>
        <v>PI6202Y</v>
      </c>
      <c r="C1270" s="186"/>
      <c r="D1270" s="186" t="str">
        <f>IFERROR(__xludf.DUMMYFUNCTION("""COMPUTED_VALUE"""),"FALSO")</f>
        <v>FALSO</v>
      </c>
    </row>
    <row r="1271">
      <c r="B1271" s="186" t="str">
        <f>IFERROR(__xludf.DUMMYFUNCTION("""COMPUTED_VALUE"""),"PI5935Y")</f>
        <v>PI5935Y</v>
      </c>
      <c r="C1271" s="186"/>
      <c r="D1271" s="186" t="str">
        <f>IFERROR(__xludf.DUMMYFUNCTION("""COMPUTED_VALUE"""),"FALSO")</f>
        <v>FALSO</v>
      </c>
    </row>
    <row r="1272">
      <c r="B1272" s="186" t="str">
        <f>IFERROR(__xludf.DUMMYFUNCTION("""COMPUTED_VALUE"""),"PI5289Y")</f>
        <v>PI5289Y</v>
      </c>
      <c r="C1272" s="186"/>
      <c r="D1272" s="186" t="str">
        <f>IFERROR(__xludf.DUMMYFUNCTION("""COMPUTED_VALUE"""),"FALSO")</f>
        <v>FALSO</v>
      </c>
    </row>
    <row r="1273">
      <c r="B1273" s="186" t="str">
        <f>IFERROR(__xludf.DUMMYFUNCTION("""COMPUTED_VALUE"""),"PI7214")</f>
        <v>PI7214</v>
      </c>
      <c r="C1273" s="186"/>
      <c r="D1273" s="186" t="str">
        <f>IFERROR(__xludf.DUMMYFUNCTION("""COMPUTED_VALUE"""),"FALSO")</f>
        <v>FALSO</v>
      </c>
    </row>
    <row r="1274">
      <c r="B1274" s="186" t="str">
        <f>IFERROR(__xludf.DUMMYFUNCTION("""COMPUTED_VALUE"""),"PI7154")</f>
        <v>PI7154</v>
      </c>
      <c r="C1274" s="186"/>
      <c r="D1274" s="186" t="str">
        <f>IFERROR(__xludf.DUMMYFUNCTION("""COMPUTED_VALUE"""),"FALSO")</f>
        <v>FALSO</v>
      </c>
    </row>
    <row r="1275">
      <c r="B1275" s="186" t="str">
        <f>IFERROR(__xludf.DUMMYFUNCTION("""COMPUTED_VALUE"""),"PI5302Y")</f>
        <v>PI5302Y</v>
      </c>
      <c r="C1275" s="186"/>
      <c r="D1275" s="186" t="str">
        <f>IFERROR(__xludf.DUMMYFUNCTION("""COMPUTED_VALUE"""),"FALSO")</f>
        <v>FALSO</v>
      </c>
    </row>
    <row r="1276">
      <c r="B1276" s="186" t="str">
        <f>IFERROR(__xludf.DUMMYFUNCTION("""COMPUTED_VALUE"""),"PI5811")</f>
        <v>PI5811</v>
      </c>
      <c r="C1276" s="186"/>
      <c r="D1276" s="186" t="str">
        <f>IFERROR(__xludf.DUMMYFUNCTION("""COMPUTED_VALUE"""),"FALSO")</f>
        <v>FALSO</v>
      </c>
    </row>
    <row r="1277">
      <c r="B1277" s="186" t="str">
        <f>IFERROR(__xludf.DUMMYFUNCTION("""COMPUTED_VALUE"""),"PI5455Y")</f>
        <v>PI5455Y</v>
      </c>
      <c r="C1277" s="186"/>
      <c r="D1277" s="186" t="str">
        <f>IFERROR(__xludf.DUMMYFUNCTION("""COMPUTED_VALUE"""),"FALSO")</f>
        <v>FALSO</v>
      </c>
    </row>
    <row r="1278">
      <c r="B1278" s="186" t="str">
        <f>IFERROR(__xludf.DUMMYFUNCTION("""COMPUTED_VALUE"""),"PI7217")</f>
        <v>PI7217</v>
      </c>
      <c r="C1278" s="186"/>
      <c r="D1278" s="186" t="str">
        <f>IFERROR(__xludf.DUMMYFUNCTION("""COMPUTED_VALUE"""),"FALSO")</f>
        <v>FALSO</v>
      </c>
    </row>
    <row r="1279">
      <c r="B1279" s="186" t="str">
        <f>IFERROR(__xludf.DUMMYFUNCTION("""COMPUTED_VALUE"""),"PI4943Y")</f>
        <v>PI4943Y</v>
      </c>
      <c r="C1279" s="186" t="str">
        <f>IFERROR(__xludf.DUMMYFUNCTION("""COMPUTED_VALUE"""),"CARREGADOR SEM FIO BEATLES HELP")</f>
        <v>CARREGADOR SEM FIO BEATLES HELP</v>
      </c>
      <c r="D1279" s="186" t="str">
        <f>IFERROR(__xludf.DUMMYFUNCTION("""COMPUTED_VALUE"""),"FALSO")</f>
        <v>FALSO</v>
      </c>
    </row>
    <row r="1280">
      <c r="B1280" s="186" t="str">
        <f>IFERROR(__xludf.DUMMYFUNCTION("""COMPUTED_VALUE"""),"PI5244Y")</f>
        <v>PI5244Y</v>
      </c>
      <c r="C1280" s="186"/>
      <c r="D1280" s="186" t="str">
        <f>IFERROR(__xludf.DUMMYFUNCTION("""COMPUTED_VALUE"""),"Anatel Category 3 - Cell Phones")</f>
        <v>Anatel Category 3 - Cell Phones</v>
      </c>
    </row>
    <row r="1281">
      <c r="B1281" s="186" t="str">
        <f>IFERROR(__xludf.DUMMYFUNCTION("""COMPUTED_VALUE"""),"PI5279Y")</f>
        <v>PI5279Y</v>
      </c>
      <c r="C1281" s="186"/>
      <c r="D1281" s="186" t="str">
        <f>IFERROR(__xludf.DUMMYFUNCTION("""COMPUTED_VALUE"""),"FALSO")</f>
        <v>FALSO</v>
      </c>
    </row>
    <row r="1282">
      <c r="B1282" s="186" t="str">
        <f>IFERROR(__xludf.DUMMYFUNCTION("""COMPUTED_VALUE"""),"PI6605Y")</f>
        <v>PI6605Y</v>
      </c>
      <c r="C1282" s="186" t="str">
        <f>IFERROR(__xludf.DUMMYFUNCTION("""COMPUTED_VALUE"""),"TABUA DE MADEIRA COM APOIO PARA TAÇAS")</f>
        <v>TABUA DE MADEIRA COM APOIO PARA TAÇAS</v>
      </c>
      <c r="D1282" s="186" t="str">
        <f>IFERROR(__xludf.DUMMYFUNCTION("""COMPUTED_VALUE"""),"FALSO")</f>
        <v>FALSO</v>
      </c>
    </row>
    <row r="1283">
      <c r="B1283" s="186" t="str">
        <f>IFERROR(__xludf.DUMMYFUNCTION("""COMPUTED_VALUE"""),"PI7971Y")</f>
        <v>PI7971Y</v>
      </c>
      <c r="C1283" s="186"/>
      <c r="D1283" s="186" t="str">
        <f>IFERROR(__xludf.DUMMYFUNCTION("""COMPUTED_VALUE"""),"FALSO")</f>
        <v>FALSO</v>
      </c>
    </row>
    <row r="1284">
      <c r="B1284" s="186" t="str">
        <f>IFERROR(__xludf.DUMMYFUNCTION("""COMPUTED_VALUE"""),"PI7452Y")</f>
        <v>PI7452Y</v>
      </c>
      <c r="C1284" s="186"/>
      <c r="D1284" s="186" t="str">
        <f>IFERROR(__xludf.DUMMYFUNCTION("""COMPUTED_VALUE"""),"FALSO")</f>
        <v>FALSO</v>
      </c>
    </row>
    <row r="1285">
      <c r="B1285" s="186" t="str">
        <f>IFERROR(__xludf.DUMMYFUNCTION("""COMPUTED_VALUE"""),"PI7453Y")</f>
        <v>PI7453Y</v>
      </c>
      <c r="C1285" s="186"/>
      <c r="D1285" s="186" t="str">
        <f>IFERROR(__xludf.DUMMYFUNCTION("""COMPUTED_VALUE"""),"FALSO")</f>
        <v>FALSO</v>
      </c>
    </row>
    <row r="1286">
      <c r="B1286" s="186" t="str">
        <f>IFERROR(__xludf.DUMMYFUNCTION("""COMPUTED_VALUE"""),"PI7450Y")</f>
        <v>PI7450Y</v>
      </c>
      <c r="C1286" s="186"/>
      <c r="D1286" s="186" t="str">
        <f>IFERROR(__xludf.DUMMYFUNCTION("""COMPUTED_VALUE"""),"FALSO")</f>
        <v>FALSO</v>
      </c>
    </row>
    <row r="1287">
      <c r="B1287" s="186" t="str">
        <f>IFERROR(__xludf.DUMMYFUNCTION("""COMPUTED_VALUE"""),"PI4892Y")</f>
        <v>PI4892Y</v>
      </c>
      <c r="C1287" s="186" t="str">
        <f>IFERROR(__xludf.DUMMYFUNCTION("""COMPUTED_VALUE"""),"LUMINARIA HP RELIQUIAS")</f>
        <v>LUMINARIA HP RELIQUIAS</v>
      </c>
      <c r="D1287" s="186" t="str">
        <f>IFERROR(__xludf.DUMMYFUNCTION("""COMPUTED_VALUE"""),"FALSO")</f>
        <v>FALSO</v>
      </c>
    </row>
    <row r="1288">
      <c r="B1288" s="186" t="str">
        <f>IFERROR(__xludf.DUMMYFUNCTION("""COMPUTED_VALUE"""),"PI6535Y")</f>
        <v>PI6535Y</v>
      </c>
      <c r="C1288" s="186" t="str">
        <f>IFERROR(__xludf.DUMMYFUNCTION("""COMPUTED_VALUE"""),"DUPLA LUMINARIAS COM IMA")</f>
        <v>DUPLA LUMINARIAS COM IMA</v>
      </c>
      <c r="D1288" s="186" t="str">
        <f>IFERROR(__xludf.DUMMYFUNCTION("""COMPUTED_VALUE"""),"FALSO")</f>
        <v>FALSO</v>
      </c>
    </row>
    <row r="1289">
      <c r="B1289" s="186" t="str">
        <f>IFERROR(__xludf.DUMMYFUNCTION("""COMPUTED_VALUE"""),"PI5919Y")</f>
        <v>PI5919Y</v>
      </c>
      <c r="C1289" s="186"/>
      <c r="D1289" s="186" t="str">
        <f>IFERROR(__xludf.DUMMYFUNCTION("""COMPUTED_VALUE"""),"FALSO")</f>
        <v>FALSO</v>
      </c>
    </row>
    <row r="1290">
      <c r="B1290" s="186" t="str">
        <f>IFERROR(__xludf.DUMMYFUNCTION("""COMPUTED_VALUE"""),"PI7808Y")</f>
        <v>PI7808Y</v>
      </c>
      <c r="C1290" s="186"/>
      <c r="D1290" s="186" t="str">
        <f>IFERROR(__xludf.DUMMYFUNCTION("""COMPUTED_VALUE"""),"FALSO")</f>
        <v>FALSO</v>
      </c>
    </row>
    <row r="1291">
      <c r="B1291" s="186" t="str">
        <f>IFERROR(__xludf.DUMMYFUNCTION("""COMPUTED_VALUE"""),"CS2029")</f>
        <v>CS2029</v>
      </c>
      <c r="C1291" s="186"/>
      <c r="D1291" s="186" t="str">
        <f>IFERROR(__xludf.DUMMYFUNCTION("""COMPUTED_VALUE"""),"FALSO")</f>
        <v>FALSO</v>
      </c>
    </row>
    <row r="1292">
      <c r="B1292" s="186" t="str">
        <f>IFERROR(__xludf.DUMMYFUNCTION("""COMPUTED_VALUE"""),"PI6771Y")</f>
        <v>PI6771Y</v>
      </c>
      <c r="C1292" s="186" t="str">
        <f>IFERROR(__xludf.DUMMYFUNCTION("""COMPUTED_VALUE"""),"CASTICAL DE CERAMICA AMARELO COM VELA")</f>
        <v>CASTICAL DE CERAMICA AMARELO COM VELA</v>
      </c>
      <c r="D1292" s="186" t="str">
        <f>IFERROR(__xludf.DUMMYFUNCTION("""COMPUTED_VALUE"""),"FALSO")</f>
        <v>FALSO</v>
      </c>
    </row>
    <row r="1293">
      <c r="B1293" s="186" t="str">
        <f>IFERROR(__xludf.DUMMYFUNCTION("""COMPUTED_VALUE"""),"PI6198Y")</f>
        <v>PI6198Y</v>
      </c>
      <c r="C1293" s="186"/>
      <c r="D1293" s="186" t="str">
        <f>IFERROR(__xludf.DUMMYFUNCTION("""COMPUTED_VALUE"""),"FALSO")</f>
        <v>FALSO</v>
      </c>
    </row>
    <row r="1294">
      <c r="B1294" s="186" t="str">
        <f>IFERROR(__xludf.DUMMYFUNCTION("""COMPUTED_VALUE"""),"PI6197Y")</f>
        <v>PI6197Y</v>
      </c>
      <c r="C1294" s="186"/>
      <c r="D1294" s="186" t="str">
        <f>IFERROR(__xludf.DUMMYFUNCTION("""COMPUTED_VALUE"""),"FALSO")</f>
        <v>FALSO</v>
      </c>
    </row>
    <row r="1295">
      <c r="B1295" s="186" t="str">
        <f>IFERROR(__xludf.DUMMYFUNCTION("""COMPUTED_VALUE"""),"PI7193Y")</f>
        <v>PI7193Y</v>
      </c>
      <c r="C1295" s="186"/>
      <c r="D1295" s="186" t="str">
        <f>IFERROR(__xludf.DUMMYFUNCTION("""COMPUTED_VALUE"""),"FALSO")</f>
        <v>FALSO</v>
      </c>
    </row>
    <row r="1296">
      <c r="B1296" s="186" t="str">
        <f>IFERROR(__xludf.DUMMYFUNCTION("""COMPUTED_VALUE"""),"PI7582Y")</f>
        <v>PI7582Y</v>
      </c>
      <c r="C1296" s="186"/>
      <c r="D1296" s="186" t="str">
        <f>IFERROR(__xludf.DUMMYFUNCTION("""COMPUTED_VALUE"""),"FALSO")</f>
        <v>FALSO</v>
      </c>
    </row>
    <row r="1297">
      <c r="B1297" s="186" t="str">
        <f>IFERROR(__xludf.DUMMYFUNCTION("""COMPUTED_VALUE"""),"MI4032Y")</f>
        <v>MI4032Y</v>
      </c>
      <c r="C1297" s="186" t="str">
        <f>IFERROR(__xludf.DUMMYFUNCTION("""COMPUTED_VALUE"""),"Adega 6 Garrafas Colmeia Preta")</f>
        <v>Adega 6 Garrafas Colmeia Preta</v>
      </c>
      <c r="D1297" s="186" t="str">
        <f>IFERROR(__xludf.DUMMYFUNCTION("""COMPUTED_VALUE"""),"FALSO")</f>
        <v>FALSO</v>
      </c>
    </row>
    <row r="1298">
      <c r="B1298" s="186" t="str">
        <f>IFERROR(__xludf.DUMMYFUNCTION("""COMPUTED_VALUE"""),"MI4067Y")</f>
        <v>MI4067Y</v>
      </c>
      <c r="C1298" s="186" t="str">
        <f>IFERROR(__xludf.DUMMYFUNCTION("""COMPUTED_VALUE"""),"Cadeira Curve Cinza")</f>
        <v>Cadeira Curve Cinza</v>
      </c>
      <c r="D1298" s="186" t="str">
        <f>IFERROR(__xludf.DUMMYFUNCTION("""COMPUTED_VALUE"""),"FALSO")</f>
        <v>FALSO</v>
      </c>
    </row>
    <row r="1299">
      <c r="B1299" s="186" t="str">
        <f>IFERROR(__xludf.DUMMYFUNCTION("""COMPUTED_VALUE"""),"MI4100Y")</f>
        <v>MI4100Y</v>
      </c>
      <c r="C1299" s="186" t="str">
        <f>IFERROR(__xludf.DUMMYFUNCTION("""COMPUTED_VALUE"""),"Cadeira de Balanço Sheep Off White")</f>
        <v>Cadeira de Balanço Sheep Off White</v>
      </c>
      <c r="D1299" s="186" t="str">
        <f>IFERROR(__xludf.DUMMYFUNCTION("""COMPUTED_VALUE"""),"FALSO")</f>
        <v>FALSO</v>
      </c>
    </row>
    <row r="1300">
      <c r="B1300" s="186" t="str">
        <f>IFERROR(__xludf.DUMMYFUNCTION("""COMPUTED_VALUE"""),"MI4066Y")</f>
        <v>MI4066Y</v>
      </c>
      <c r="C1300" s="186" t="str">
        <f>IFERROR(__xludf.DUMMYFUNCTION("""COMPUTED_VALUE"""),"Poltrona Curve Creme")</f>
        <v>Poltrona Curve Creme</v>
      </c>
      <c r="D1300" s="186" t="str">
        <f>IFERROR(__xludf.DUMMYFUNCTION("""COMPUTED_VALUE"""),"FALSO")</f>
        <v>FALSO</v>
      </c>
    </row>
    <row r="1301">
      <c r="B1301" s="186" t="str">
        <f>IFERROR(__xludf.DUMMYFUNCTION("""COMPUTED_VALUE"""),"MI4063Y")</f>
        <v>MI4063Y</v>
      </c>
      <c r="C1301" s="186" t="str">
        <f>IFERROR(__xludf.DUMMYFUNCTION("""COMPUTED_VALUE"""),"Pufe Gomos Off White")</f>
        <v>Pufe Gomos Off White</v>
      </c>
      <c r="D1301" s="186" t="str">
        <f>IFERROR(__xludf.DUMMYFUNCTION("""COMPUTED_VALUE"""),"FALSO")</f>
        <v>FALSO</v>
      </c>
    </row>
    <row r="1302">
      <c r="B1302" s="186" t="str">
        <f>IFERROR(__xludf.DUMMYFUNCTION("""COMPUTED_VALUE"""),"MI4064Y")</f>
        <v>MI4064Y</v>
      </c>
      <c r="C1302" s="186" t="str">
        <f>IFERROR(__xludf.DUMMYFUNCTION("""COMPUTED_VALUE"""),"Pufe Gomos Rose")</f>
        <v>Pufe Gomos Rose</v>
      </c>
      <c r="D1302" s="186" t="str">
        <f>IFERROR(__xludf.DUMMYFUNCTION("""COMPUTED_VALUE"""),"FALSO")</f>
        <v>FALSO</v>
      </c>
    </row>
    <row r="1303">
      <c r="B1303" s="186" t="str">
        <f>IFERROR(__xludf.DUMMYFUNCTION("""COMPUTED_VALUE"""),"MI4065Y")</f>
        <v>MI4065Y</v>
      </c>
      <c r="C1303" s="186" t="str">
        <f>IFERROR(__xludf.DUMMYFUNCTION("""COMPUTED_VALUE"""),"Pufe Gomos Verde")</f>
        <v>Pufe Gomos Verde</v>
      </c>
      <c r="D1303" s="186" t="str">
        <f>IFERROR(__xludf.DUMMYFUNCTION("""COMPUTED_VALUE"""),"FALSO")</f>
        <v>FALSO</v>
      </c>
    </row>
    <row r="1304">
      <c r="B1304" s="186" t="str">
        <f>IFERROR(__xludf.DUMMYFUNCTION("""COMPUTED_VALUE"""),"AC2172Y")</f>
        <v>AC2172Y</v>
      </c>
      <c r="C1304" s="186" t="str">
        <f>IFERROR(__xludf.DUMMYFUNCTION("""COMPUTED_VALUE"""),"RODINHA PARA REPOSIÇÃO")</f>
        <v>RODINHA PARA REPOSIÇÃO</v>
      </c>
      <c r="D1304" s="186" t="str">
        <f>IFERROR(__xludf.DUMMYFUNCTION("""COMPUTED_VALUE"""),"FALSO")</f>
        <v>FALSO</v>
      </c>
    </row>
    <row r="1305">
      <c r="B1305" s="186"/>
      <c r="C1305" s="186" t="str">
        <f>IFERROR(__xludf.DUMMYFUNCTION("""COMPUTED_VALUE"""),"LUMINARIA TOUCH BRILHANDO NA VIDA")</f>
        <v>LUMINARIA TOUCH BRILHANDO NA VIDA</v>
      </c>
      <c r="D1305" s="186" t="str">
        <f>IFERROR(__xludf.DUMMYFUNCTION("""COMPUTED_VALUE"""),"FALSO")</f>
        <v>FALSO</v>
      </c>
    </row>
    <row r="1306">
      <c r="B1306" s="186" t="str">
        <f>IFERROR(__xludf.DUMMYFUNCTION("""COMPUTED_VALUE"""),"PI7500Y")</f>
        <v>PI7500Y</v>
      </c>
      <c r="C1306" s="186"/>
      <c r="D1306" s="186" t="str">
        <f>IFERROR(__xludf.DUMMYFUNCTION("""COMPUTED_VALUE"""),"FALSO")</f>
        <v>FALSO</v>
      </c>
    </row>
    <row r="1307">
      <c r="B1307" s="186" t="str">
        <f>IFERROR(__xludf.DUMMYFUNCTION("""COMPUTED_VALUE"""),"PI7593Y")</f>
        <v>PI7593Y</v>
      </c>
      <c r="C1307" s="186"/>
      <c r="D1307" s="186" t="str">
        <f>IFERROR(__xludf.DUMMYFUNCTION("""COMPUTED_VALUE"""),"FALSO")</f>
        <v>FALSO</v>
      </c>
    </row>
    <row r="1308">
      <c r="B1308" s="186" t="str">
        <f>IFERROR(__xludf.DUMMYFUNCTION("""COMPUTED_VALUE"""),"PI7645Y")</f>
        <v>PI7645Y</v>
      </c>
      <c r="C1308" s="186"/>
      <c r="D1308" s="186" t="str">
        <f>IFERROR(__xludf.DUMMYFUNCTION("""COMPUTED_VALUE"""),"FALSO")</f>
        <v>FALSO</v>
      </c>
    </row>
    <row r="1309">
      <c r="B1309" s="186" t="str">
        <f>IFERROR(__xludf.DUMMYFUNCTION("""COMPUTED_VALUE"""),"PI6878Y")</f>
        <v>PI6878Y</v>
      </c>
      <c r="C1309" s="186" t="str">
        <f>IFERROR(__xludf.DUMMYFUNCTION("""COMPUTED_VALUE"""),"MOCHILA LAPTOP BASICA PRETA")</f>
        <v>MOCHILA LAPTOP BASICA PRETA</v>
      </c>
      <c r="D1309" s="186" t="str">
        <f>IFERROR(__xludf.DUMMYFUNCTION("""COMPUTED_VALUE"""),"FALSO")</f>
        <v>FALSO</v>
      </c>
    </row>
    <row r="1310">
      <c r="B1310" s="186" t="str">
        <f>IFERROR(__xludf.DUMMYFUNCTION("""COMPUTED_VALUE"""),"PI7589Y")</f>
        <v>PI7589Y</v>
      </c>
      <c r="C1310" s="186"/>
      <c r="D1310" s="186" t="str">
        <f>IFERROR(__xludf.DUMMYFUNCTION("""COMPUTED_VALUE"""),"FALSO")</f>
        <v>FALSO</v>
      </c>
    </row>
    <row r="1311">
      <c r="B1311" s="186" t="str">
        <f>IFERROR(__xludf.DUMMYFUNCTION("""COMPUTED_VALUE"""),"PI5950Y")</f>
        <v>PI5950Y</v>
      </c>
      <c r="C1311" s="186" t="str">
        <f>IFERROR(__xludf.DUMMYFUNCTION("""COMPUTED_VALUE"""),"MOCHILA LAPTOP GATO PRETO")</f>
        <v>MOCHILA LAPTOP GATO PRETO</v>
      </c>
      <c r="D1311" s="186" t="str">
        <f>IFERROR(__xludf.DUMMYFUNCTION("""COMPUTED_VALUE"""),"FALSO")</f>
        <v>FALSO</v>
      </c>
    </row>
    <row r="1312">
      <c r="B1312" s="186" t="str">
        <f>IFERROR(__xludf.DUMMYFUNCTION("""COMPUTED_VALUE"""),"PI6968Y")</f>
        <v>PI6968Y</v>
      </c>
      <c r="C1312" s="186" t="str">
        <f>IFERROR(__xludf.DUMMYFUNCTION("""COMPUTED_VALUE"""),"MOCHILA LAPTOP TODO DIA PRETA")</f>
        <v>MOCHILA LAPTOP TODO DIA PRETA</v>
      </c>
      <c r="D1312" s="186" t="str">
        <f>IFERROR(__xludf.DUMMYFUNCTION("""COMPUTED_VALUE"""),"FALSO")</f>
        <v>FALSO</v>
      </c>
    </row>
    <row r="1313">
      <c r="B1313" s="186" t="str">
        <f>IFERROR(__xludf.DUMMYFUNCTION("""COMPUTED_VALUE"""),"PI6969Y")</f>
        <v>PI6969Y</v>
      </c>
      <c r="C1313" s="186" t="str">
        <f>IFERROR(__xludf.DUMMYFUNCTION("""COMPUTED_VALUE"""),"MOCHILA LAPTOP TODO DIA CLARA")</f>
        <v>MOCHILA LAPTOP TODO DIA CLARA</v>
      </c>
      <c r="D1313" s="186" t="str">
        <f>IFERROR(__xludf.DUMMYFUNCTION("""COMPUTED_VALUE"""),"FALSO")</f>
        <v>FALSO</v>
      </c>
    </row>
    <row r="1314">
      <c r="B1314" s="186" t="str">
        <f>IFERROR(__xludf.DUMMYFUNCTION("""COMPUTED_VALUE"""),"PI6386Y")</f>
        <v>PI6386Y</v>
      </c>
      <c r="C1314" s="186"/>
      <c r="D1314" s="186" t="str">
        <f>IFERROR(__xludf.DUMMYFUNCTION("""COMPUTED_VALUE"""),"FALSO")</f>
        <v>FALSO</v>
      </c>
    </row>
    <row r="1315">
      <c r="B1315" s="186" t="str">
        <f>IFERROR(__xludf.DUMMYFUNCTION("""COMPUTED_VALUE"""),"PI6966Y")</f>
        <v>PI6966Y</v>
      </c>
      <c r="C1315" s="186"/>
      <c r="D1315" s="186" t="str">
        <f>IFERROR(__xludf.DUMMYFUNCTION("""COMPUTED_VALUE"""),"FALSO")</f>
        <v>FALSO</v>
      </c>
    </row>
    <row r="1316">
      <c r="B1316" s="186" t="str">
        <f>IFERROR(__xludf.DUMMYFUNCTION("""COMPUTED_VALUE"""),"PI6134Y")</f>
        <v>PI6134Y</v>
      </c>
      <c r="C1316" s="186"/>
      <c r="D1316" s="186" t="str">
        <f>IFERROR(__xludf.DUMMYFUNCTION("""COMPUTED_VALUE"""),"FALSO")</f>
        <v>FALSO</v>
      </c>
    </row>
    <row r="1317">
      <c r="B1317" s="186" t="str">
        <f>IFERROR(__xludf.DUMMYFUNCTION("""COMPUTED_VALUE"""),"PI5642Y")</f>
        <v>PI5642Y</v>
      </c>
      <c r="C1317" s="186"/>
      <c r="D1317" s="186" t="str">
        <f>IFERROR(__xludf.DUMMYFUNCTION("""COMPUTED_VALUE"""),"FALSO")</f>
        <v>FALSO</v>
      </c>
    </row>
    <row r="1318">
      <c r="B1318" s="186" t="str">
        <f>IFERROR(__xludf.DUMMYFUNCTION("""COMPUTED_VALUE"""),"PI7523Y")</f>
        <v>PI7523Y</v>
      </c>
      <c r="C1318" s="186"/>
      <c r="D1318" s="186" t="str">
        <f>IFERROR(__xludf.DUMMYFUNCTION("""COMPUTED_VALUE"""),"FALSO")</f>
        <v>FALSO</v>
      </c>
    </row>
    <row r="1319">
      <c r="B1319" s="186" t="str">
        <f>IFERROR(__xludf.DUMMYFUNCTION("""COMPUTED_VALUE"""),"PI7618Y")</f>
        <v>PI7618Y</v>
      </c>
      <c r="C1319" s="186"/>
      <c r="D1319" s="186" t="str">
        <f>IFERROR(__xludf.DUMMYFUNCTION("""COMPUTED_VALUE"""),"FALSO")</f>
        <v>FALSO</v>
      </c>
    </row>
    <row r="1320">
      <c r="B1320" s="186" t="str">
        <f>IFERROR(__xludf.DUMMYFUNCTION("""COMPUTED_VALUE"""),"PI5584Y")</f>
        <v>PI5584Y</v>
      </c>
      <c r="C1320" s="186" t="str">
        <f>IFERROR(__xludf.DUMMYFUNCTION("""COMPUTED_VALUE"""),"MOCHILA LAPTOP TODO DIA PRETA E CARAMELO")</f>
        <v>MOCHILA LAPTOP TODO DIA PRETA E CARAMELO</v>
      </c>
      <c r="D1320" s="186" t="str">
        <f>IFERROR(__xludf.DUMMYFUNCTION("""COMPUTED_VALUE"""),"FALSO")</f>
        <v>FALSO</v>
      </c>
    </row>
    <row r="1321">
      <c r="B1321" s="186" t="str">
        <f>IFERROR(__xludf.DUMMYFUNCTION("""COMPUTED_VALUE"""),"PI5587Y")</f>
        <v>PI5587Y</v>
      </c>
      <c r="C1321" s="186" t="str">
        <f>IFERROR(__xludf.DUMMYFUNCTION("""COMPUTED_VALUE"""),"MOCHILA LAPTOP TODO DIA BORDO E CARAMELO")</f>
        <v>MOCHILA LAPTOP TODO DIA BORDO E CARAMELO</v>
      </c>
      <c r="D1321" s="186" t="str">
        <f>IFERROR(__xludf.DUMMYFUNCTION("""COMPUTED_VALUE"""),"FALSO")</f>
        <v>FALSO</v>
      </c>
    </row>
    <row r="1322">
      <c r="B1322" s="186" t="str">
        <f>IFERROR(__xludf.DUMMYFUNCTION("""COMPUTED_VALUE"""),"PI6398Y")</f>
        <v>PI6398Y</v>
      </c>
      <c r="C1322" s="186"/>
      <c r="D1322" s="186" t="str">
        <f>IFERROR(__xludf.DUMMYFUNCTION("""COMPUTED_VALUE"""),"FALSO")</f>
        <v>FALSO</v>
      </c>
    </row>
    <row r="1323">
      <c r="B1323" s="186" t="str">
        <f>IFERROR(__xludf.DUMMYFUNCTION("""COMPUTED_VALUE"""),"PI6951Y")</f>
        <v>PI6951Y</v>
      </c>
      <c r="C1323" s="186"/>
      <c r="D1323" s="186" t="str">
        <f>IFERROR(__xludf.DUMMYFUNCTION("""COMPUTED_VALUE"""),"FALSO")</f>
        <v>FALSO</v>
      </c>
    </row>
    <row r="1324">
      <c r="B1324" s="186" t="str">
        <f>IFERROR(__xludf.DUMMYFUNCTION("""COMPUTED_VALUE"""),"PI6388Y")</f>
        <v>PI6388Y</v>
      </c>
      <c r="C1324" s="186"/>
      <c r="D1324" s="186" t="str">
        <f>IFERROR(__xludf.DUMMYFUNCTION("""COMPUTED_VALUE"""),"FALSO")</f>
        <v>FALSO</v>
      </c>
    </row>
    <row r="1325">
      <c r="B1325" s="186" t="str">
        <f>IFERROR(__xludf.DUMMYFUNCTION("""COMPUTED_VALUE"""),"PI6403Y")</f>
        <v>PI6403Y</v>
      </c>
      <c r="C1325" s="186"/>
      <c r="D1325" s="186" t="str">
        <f>IFERROR(__xludf.DUMMYFUNCTION("""COMPUTED_VALUE"""),"FALSO")</f>
        <v>FALSO</v>
      </c>
    </row>
    <row r="1326">
      <c r="B1326" s="186" t="str">
        <f>IFERROR(__xludf.DUMMYFUNCTION("""COMPUTED_VALUE"""),"PI7625Y")</f>
        <v>PI7625Y</v>
      </c>
      <c r="C1326" s="186"/>
      <c r="D1326" s="186" t="str">
        <f>IFERROR(__xludf.DUMMYFUNCTION("""COMPUTED_VALUE"""),"FALSO")</f>
        <v>FALSO</v>
      </c>
    </row>
    <row r="1327">
      <c r="B1327" s="186" t="str">
        <f>IFERROR(__xludf.DUMMYFUNCTION("""COMPUTED_VALUE"""),"PI7737Y")</f>
        <v>PI7737Y</v>
      </c>
      <c r="C1327" s="186"/>
      <c r="D1327" s="186" t="str">
        <f>IFERROR(__xludf.DUMMYFUNCTION("""COMPUTED_VALUE"""),"FALSO")</f>
        <v>FALSO</v>
      </c>
    </row>
    <row r="1328">
      <c r="B1328" s="186" t="str">
        <f>IFERROR(__xludf.DUMMYFUNCTION("""COMPUTED_VALUE"""),"PI6399Y")</f>
        <v>PI6399Y</v>
      </c>
      <c r="C1328" s="186" t="str">
        <f>IFERROR(__xludf.DUMMYFUNCTION("""COMPUTED_VALUE"""),"MOCHILA MODULAR LAPTOP ALCAS REMOVIVEL")</f>
        <v>MOCHILA MODULAR LAPTOP ALCAS REMOVIVEL</v>
      </c>
      <c r="D1328" s="186" t="str">
        <f>IFERROR(__xludf.DUMMYFUNCTION("""COMPUTED_VALUE"""),"FALSO")</f>
        <v>FALSO</v>
      </c>
    </row>
    <row r="1329">
      <c r="B1329" s="186" t="str">
        <f>IFERROR(__xludf.DUMMYFUNCTION("""COMPUTED_VALUE"""),"PI6888Y")</f>
        <v>PI6888Y</v>
      </c>
      <c r="C1329" s="186"/>
      <c r="D1329" s="186" t="str">
        <f>IFERROR(__xludf.DUMMYFUNCTION("""COMPUTED_VALUE"""),"FALSO")</f>
        <v>FALSO</v>
      </c>
    </row>
    <row r="1330">
      <c r="B1330" s="186" t="str">
        <f>IFERROR(__xludf.DUMMYFUNCTION("""COMPUTED_VALUE"""),"PI6890Y")</f>
        <v>PI6890Y</v>
      </c>
      <c r="C1330" s="186"/>
      <c r="D1330" s="186" t="str">
        <f>IFERROR(__xludf.DUMMYFUNCTION("""COMPUTED_VALUE"""),"FALSO")</f>
        <v>FALSO</v>
      </c>
    </row>
    <row r="1331">
      <c r="B1331" s="186" t="str">
        <f>IFERROR(__xludf.DUMMYFUNCTION("""COMPUTED_VALUE"""),"PI6881Y")</f>
        <v>PI6881Y</v>
      </c>
      <c r="C1331" s="186" t="str">
        <f>IFERROR(__xludf.DUMMYFUNCTION("""COMPUTED_VALUE"""),"MOCHILA LAPTOP BOLSOS PRETO")</f>
        <v>MOCHILA LAPTOP BOLSOS PRETO</v>
      </c>
      <c r="D1331" s="186" t="str">
        <f>IFERROR(__xludf.DUMMYFUNCTION("""COMPUTED_VALUE"""),"FALSO")</f>
        <v>FALSO</v>
      </c>
    </row>
    <row r="1332">
      <c r="B1332" s="186" t="str">
        <f>IFERROR(__xludf.DUMMYFUNCTION("""COMPUTED_VALUE"""),"PI6881Y")</f>
        <v>PI6881Y</v>
      </c>
      <c r="C1332" s="186" t="str">
        <f>IFERROR(__xludf.DUMMYFUNCTION("""COMPUTED_VALUE"""),"MOCHILA LAPTOP BOLSOS PRETO")</f>
        <v>MOCHILA LAPTOP BOLSOS PRETO</v>
      </c>
      <c r="D1332" s="186" t="str">
        <f>IFERROR(__xludf.DUMMYFUNCTION("""COMPUTED_VALUE"""),"FALSO")</f>
        <v>FALSO</v>
      </c>
    </row>
    <row r="1333">
      <c r="B1333" s="186" t="str">
        <f>IFERROR(__xludf.DUMMYFUNCTION("""COMPUTED_VALUE"""),"PI6882Y")</f>
        <v>PI6882Y</v>
      </c>
      <c r="C1333" s="186"/>
      <c r="D1333" s="186" t="str">
        <f>IFERROR(__xludf.DUMMYFUNCTION("""COMPUTED_VALUE"""),"FALSO")</f>
        <v>FALSO</v>
      </c>
    </row>
    <row r="1334">
      <c r="B1334" s="186" t="str">
        <f>IFERROR(__xludf.DUMMYFUNCTION("""COMPUTED_VALUE"""),"PI6713Y")</f>
        <v>PI6713Y</v>
      </c>
      <c r="C1334" s="186" t="str">
        <f>IFERROR(__xludf.DUMMYFUNCTION("""COMPUTED_VALUE"""),"MOCHILA E BOLSO TERMICO REMOVIVEL VERDE")</f>
        <v>MOCHILA E BOLSO TERMICO REMOVIVEL VERDE</v>
      </c>
      <c r="D1334" s="186" t="str">
        <f>IFERROR(__xludf.DUMMYFUNCTION("""COMPUTED_VALUE"""),"FALSO")</f>
        <v>FALSO</v>
      </c>
    </row>
    <row r="1335">
      <c r="B1335" s="186" t="str">
        <f>IFERROR(__xludf.DUMMYFUNCTION("""COMPUTED_VALUE"""),"PI7584Y")</f>
        <v>PI7584Y</v>
      </c>
      <c r="C1335" s="186"/>
      <c r="D1335" s="186" t="str">
        <f>IFERROR(__xludf.DUMMYFUNCTION("""COMPUTED_VALUE"""),"FALSO")</f>
        <v>FALSO</v>
      </c>
    </row>
    <row r="1336">
      <c r="B1336" s="186" t="str">
        <f>IFERROR(__xludf.DUMMYFUNCTION("""COMPUTED_VALUE"""),"PI6528Y")</f>
        <v>PI6528Y</v>
      </c>
      <c r="C1336" s="186" t="str">
        <f>IFERROR(__xludf.DUMMYFUNCTION("""COMPUTED_VALUE"""),"MOCHILA COM BERÇO - MATERNIDADE")</f>
        <v>MOCHILA COM BERÇO - MATERNIDADE</v>
      </c>
      <c r="D1336" s="186" t="str">
        <f>IFERROR(__xludf.DUMMYFUNCTION("""COMPUTED_VALUE"""),"FALSO")</f>
        <v>FALSO</v>
      </c>
    </row>
    <row r="1337">
      <c r="B1337" s="186" t="str">
        <f>IFERROR(__xludf.DUMMYFUNCTION("""COMPUTED_VALUE"""),"PI6400Y")</f>
        <v>PI6400Y</v>
      </c>
      <c r="C1337" s="186"/>
      <c r="D1337" s="186" t="str">
        <f>IFERROR(__xludf.DUMMYFUNCTION("""COMPUTED_VALUE"""),"FALSO")</f>
        <v>FALSO</v>
      </c>
    </row>
    <row r="1338">
      <c r="B1338" s="186" t="str">
        <f>IFERROR(__xludf.DUMMYFUNCTION("""COMPUTED_VALUE"""),"PI7586Y")</f>
        <v>PI7586Y</v>
      </c>
      <c r="C1338" s="186"/>
      <c r="D1338" s="186" t="str">
        <f>IFERROR(__xludf.DUMMYFUNCTION("""COMPUTED_VALUE"""),"FALSO")</f>
        <v>FALSO</v>
      </c>
    </row>
    <row r="1339">
      <c r="B1339" s="186" t="str">
        <f>IFERROR(__xludf.DUMMYFUNCTION("""COMPUTED_VALUE"""),"PI6417Y")</f>
        <v>PI6417Y</v>
      </c>
      <c r="C1339" s="186"/>
      <c r="D1339" s="186" t="str">
        <f>IFERROR(__xludf.DUMMYFUNCTION("""COMPUTED_VALUE"""),"FALSO")</f>
        <v>FALSO</v>
      </c>
    </row>
    <row r="1340">
      <c r="B1340" s="186" t="str">
        <f>IFERROR(__xludf.DUMMYFUNCTION("""COMPUTED_VALUE"""),"PI6410Y")</f>
        <v>PI6410Y</v>
      </c>
      <c r="C1340" s="186"/>
      <c r="D1340" s="186" t="str">
        <f>IFERROR(__xludf.DUMMYFUNCTION("""COMPUTED_VALUE"""),"FALSO")</f>
        <v>FALSO</v>
      </c>
    </row>
    <row r="1341">
      <c r="B1341" s="186" t="str">
        <f>IFERROR(__xludf.DUMMYFUNCTION("""COMPUTED_VALUE"""),"PI7605Y")</f>
        <v>PI7605Y</v>
      </c>
      <c r="C1341" s="186"/>
      <c r="D1341" s="186" t="str">
        <f>IFERROR(__xludf.DUMMYFUNCTION("""COMPUTED_VALUE"""),"FALSO")</f>
        <v>FALSO</v>
      </c>
    </row>
    <row r="1342">
      <c r="B1342" s="186" t="str">
        <f>IFERROR(__xludf.DUMMYFUNCTION("""COMPUTED_VALUE"""),"PI6965Y")</f>
        <v>PI6965Y</v>
      </c>
      <c r="C1342" s="186" t="str">
        <f>IFERROR(__xludf.DUMMYFUNCTION("""COMPUTED_VALUE"""),"BOLSA CANVAS POA MARINHO")</f>
        <v>BOLSA CANVAS POA MARINHO</v>
      </c>
      <c r="D1342" s="186" t="str">
        <f>IFERROR(__xludf.DUMMYFUNCTION("""COMPUTED_VALUE"""),"FALSO")</f>
        <v>FALSO</v>
      </c>
    </row>
    <row r="1343">
      <c r="B1343" s="186" t="str">
        <f>IFERROR(__xludf.DUMMYFUNCTION("""COMPUTED_VALUE"""),"PI6900Y")</f>
        <v>PI6900Y</v>
      </c>
      <c r="C1343" s="186"/>
      <c r="D1343" s="186" t="str">
        <f>IFERROR(__xludf.DUMMYFUNCTION("""COMPUTED_VALUE"""),"FALSO")</f>
        <v>FALSO</v>
      </c>
    </row>
    <row r="1344">
      <c r="B1344" s="186" t="str">
        <f>IFERROR(__xludf.DUMMYFUNCTION("""COMPUTED_VALUE"""),"PI7131Y")</f>
        <v>PI7131Y</v>
      </c>
      <c r="C1344" s="186"/>
      <c r="D1344" s="186" t="str">
        <f>IFERROR(__xludf.DUMMYFUNCTION("""COMPUTED_VALUE"""),"FALSO")</f>
        <v>FALSO</v>
      </c>
    </row>
    <row r="1345">
      <c r="B1345" s="186" t="str">
        <f>IFERROR(__xludf.DUMMYFUNCTION("""COMPUTED_VALUE"""),"PI6412Y")</f>
        <v>PI6412Y</v>
      </c>
      <c r="C1345" s="186"/>
      <c r="D1345" s="186" t="str">
        <f>IFERROR(__xludf.DUMMYFUNCTION("""COMPUTED_VALUE"""),"FALSO")</f>
        <v>FALSO</v>
      </c>
    </row>
    <row r="1346">
      <c r="B1346" s="186" t="str">
        <f>IFERROR(__xludf.DUMMYFUNCTION("""COMPUTED_VALUE"""),"PI6518Y")</f>
        <v>PI6518Y</v>
      </c>
      <c r="C1346" s="186" t="str">
        <f>IFERROR(__xludf.DUMMYFUNCTION("""COMPUTED_VALUE"""),"BOLSA DE ACADEMIA PRETA")</f>
        <v>BOLSA DE ACADEMIA PRETA</v>
      </c>
      <c r="D1346" s="186" t="str">
        <f>IFERROR(__xludf.DUMMYFUNCTION("""COMPUTED_VALUE"""),"FALSO")</f>
        <v>FALSO</v>
      </c>
    </row>
    <row r="1347">
      <c r="B1347" s="186" t="str">
        <f>IFERROR(__xludf.DUMMYFUNCTION("""COMPUTED_VALUE"""),"PI6418Y")</f>
        <v>PI6418Y</v>
      </c>
      <c r="C1347" s="186"/>
      <c r="D1347" s="186" t="str">
        <f>IFERROR(__xludf.DUMMYFUNCTION("""COMPUTED_VALUE"""),"FALSO")</f>
        <v>FALSO</v>
      </c>
    </row>
    <row r="1348">
      <c r="B1348" s="186" t="str">
        <f>IFERROR(__xludf.DUMMYFUNCTION("""COMPUTED_VALUE"""),"PI6136Y")</f>
        <v>PI6136Y</v>
      </c>
      <c r="C1348" s="186"/>
      <c r="D1348" s="186" t="str">
        <f>IFERROR(__xludf.DUMMYFUNCTION("""COMPUTED_VALUE"""),"FALSO")</f>
        <v>FALSO</v>
      </c>
    </row>
    <row r="1349">
      <c r="B1349" s="186" t="str">
        <f>IFERROR(__xludf.DUMMYFUNCTION("""COMPUTED_VALUE"""),"PI4801Y")</f>
        <v>PI4801Y</v>
      </c>
      <c r="C1349" s="186" t="str">
        <f>IFERROR(__xludf.DUMMYFUNCTION("""COMPUTED_VALUE"""),"BOLSA HP BRASAO DE HOGWARTS")</f>
        <v>BOLSA HP BRASAO DE HOGWARTS</v>
      </c>
      <c r="D1349" s="186" t="str">
        <f>IFERROR(__xludf.DUMMYFUNCTION("""COMPUTED_VALUE"""),"FALSO")</f>
        <v>FALSO</v>
      </c>
    </row>
    <row r="1350">
      <c r="B1350" s="186" t="str">
        <f>IFERROR(__xludf.DUMMYFUNCTION("""COMPUTED_VALUE"""),"PI7525Y")</f>
        <v>PI7525Y</v>
      </c>
      <c r="C1350" s="186" t="str">
        <f>IFERROR(__xludf.DUMMYFUNCTION("""COMPUTED_VALUE"""),"BOLSA HP CROSSBODY VARINHA")</f>
        <v>BOLSA HP CROSSBODY VARINHA</v>
      </c>
      <c r="D1350" s="186" t="str">
        <f>IFERROR(__xludf.DUMMYFUNCTION("""COMPUTED_VALUE"""),"FALSO")</f>
        <v>FALSO</v>
      </c>
    </row>
    <row r="1351">
      <c r="B1351" s="186" t="str">
        <f>IFERROR(__xludf.DUMMYFUNCTION("""COMPUTED_VALUE"""),"PI4361Y")</f>
        <v>PI4361Y</v>
      </c>
      <c r="C1351" s="186" t="str">
        <f>IFERROR(__xludf.DUMMYFUNCTION("""COMPUTED_VALUE"""),"BOLSA BEM ESTAR AZUL")</f>
        <v>BOLSA BEM ESTAR AZUL</v>
      </c>
      <c r="D1351" s="186" t="str">
        <f>IFERROR(__xludf.DUMMYFUNCTION("""COMPUTED_VALUE"""),"FALSO")</f>
        <v>FALSO</v>
      </c>
    </row>
    <row r="1352">
      <c r="B1352" s="186" t="str">
        <f>IFERROR(__xludf.DUMMYFUNCTION("""COMPUTED_VALUE"""),"PI7782Y")</f>
        <v>PI7782Y</v>
      </c>
      <c r="C1352" s="186"/>
      <c r="D1352" s="186" t="str">
        <f>IFERROR(__xludf.DUMMYFUNCTION("""COMPUTED_VALUE"""),"FALSO")</f>
        <v>FALSO</v>
      </c>
    </row>
    <row r="1353">
      <c r="B1353" s="186" t="str">
        <f>IFERROR(__xludf.DUMMYFUNCTION("""COMPUTED_VALUE"""),"PI6956Y")</f>
        <v>PI6956Y</v>
      </c>
      <c r="C1353" s="186"/>
      <c r="D1353" s="186" t="str">
        <f>IFERROR(__xludf.DUMMYFUNCTION("""COMPUTED_VALUE"""),"FALSO")</f>
        <v>FALSO</v>
      </c>
    </row>
    <row r="1354">
      <c r="B1354" s="186" t="str">
        <f>IFERROR(__xludf.DUMMYFUNCTION("""COMPUTED_VALUE"""),"PI5593Y")</f>
        <v>PI5593Y</v>
      </c>
      <c r="C1354" s="186" t="str">
        <f>IFERROR(__xludf.DUMMYFUNCTION("""COMPUTED_VALUE"""),"BOLSA VERSATIL CARAMELO")</f>
        <v>BOLSA VERSATIL CARAMELO</v>
      </c>
      <c r="D1354" s="186" t="str">
        <f>IFERROR(__xludf.DUMMYFUNCTION("""COMPUTED_VALUE"""),"FALSO")</f>
        <v>FALSO</v>
      </c>
    </row>
    <row r="1355">
      <c r="B1355" s="186" t="str">
        <f>IFERROR(__xludf.DUMMYFUNCTION("""COMPUTED_VALUE"""),"PI5374Y")</f>
        <v>PI5374Y</v>
      </c>
      <c r="C1355" s="186"/>
      <c r="D1355" s="186" t="str">
        <f>IFERROR(__xludf.DUMMYFUNCTION("""COMPUTED_VALUE"""),"FALSO")</f>
        <v>FALSO</v>
      </c>
    </row>
    <row r="1356">
      <c r="B1356" s="186" t="str">
        <f>IFERROR(__xludf.DUMMYFUNCTION("""COMPUTED_VALUE"""),"PI6419Y")</f>
        <v>PI6419Y</v>
      </c>
      <c r="C1356" s="186"/>
      <c r="D1356" s="186" t="str">
        <f>IFERROR(__xludf.DUMMYFUNCTION("""COMPUTED_VALUE"""),"FALSO")</f>
        <v>FALSO</v>
      </c>
    </row>
    <row r="1357">
      <c r="B1357" s="186" t="str">
        <f>IFERROR(__xludf.DUMMYFUNCTION("""COMPUTED_VALUE"""),"PI6880Y")</f>
        <v>PI6880Y</v>
      </c>
      <c r="C1357" s="186"/>
      <c r="D1357" s="186" t="str">
        <f>IFERROR(__xludf.DUMMYFUNCTION("""COMPUTED_VALUE"""),"FALSO")</f>
        <v>FALSO</v>
      </c>
    </row>
    <row r="1358">
      <c r="B1358" s="186" t="str">
        <f>IFERROR(__xludf.DUMMYFUNCTION("""COMPUTED_VALUE"""),"PI5392Y")</f>
        <v>PI5392Y</v>
      </c>
      <c r="C1358" s="186"/>
      <c r="D1358" s="186" t="str">
        <f>IFERROR(__xludf.DUMMYFUNCTION("""COMPUTED_VALUE"""),"FALSO")</f>
        <v>FALSO</v>
      </c>
    </row>
    <row r="1359">
      <c r="B1359" s="186" t="str">
        <f>IFERROR(__xludf.DUMMYFUNCTION("""COMPUTED_VALUE"""),"PI6877Y")</f>
        <v>PI6877Y</v>
      </c>
      <c r="C1359" s="186"/>
      <c r="D1359" s="186" t="str">
        <f>IFERROR(__xludf.DUMMYFUNCTION("""COMPUTED_VALUE"""),"FALSO")</f>
        <v>FALSO</v>
      </c>
    </row>
    <row r="1360">
      <c r="B1360" s="186" t="str">
        <f>IFERROR(__xludf.DUMMYFUNCTION("""COMPUTED_VALUE"""),"PI6945Y")</f>
        <v>PI6945Y</v>
      </c>
      <c r="C1360" s="186"/>
      <c r="D1360" s="186" t="str">
        <f>IFERROR(__xludf.DUMMYFUNCTION("""COMPUTED_VALUE"""),"FALSO")</f>
        <v>FALSO</v>
      </c>
    </row>
    <row r="1361">
      <c r="B1361" s="186" t="str">
        <f>IFERROR(__xludf.DUMMYFUNCTION("""COMPUTED_VALUE"""),"PI5337Y")</f>
        <v>PI5337Y</v>
      </c>
      <c r="C1361" s="186"/>
      <c r="D1361" s="186" t="str">
        <f>IFERROR(__xludf.DUMMYFUNCTION("""COMPUTED_VALUE"""),"FALSO")</f>
        <v>FALSO</v>
      </c>
    </row>
    <row r="1362">
      <c r="B1362" s="186" t="str">
        <f>IFERROR(__xludf.DUMMYFUNCTION("""COMPUTED_VALUE"""),"PI6520Y")</f>
        <v>PI6520Y</v>
      </c>
      <c r="C1362" s="186" t="str">
        <f>IFERROR(__xludf.DUMMYFUNCTION("""COMPUTED_VALUE"""),"BOLSA CANVAS LISTRADA")</f>
        <v>BOLSA CANVAS LISTRADA</v>
      </c>
      <c r="D1362" s="186" t="str">
        <f>IFERROR(__xludf.DUMMYFUNCTION("""COMPUTED_VALUE"""),"FALSO")</f>
        <v>FALSO</v>
      </c>
    </row>
    <row r="1363">
      <c r="B1363" s="186" t="str">
        <f>IFERROR(__xludf.DUMMYFUNCTION("""COMPUTED_VALUE"""),"PI5330Y")</f>
        <v>PI5330Y</v>
      </c>
      <c r="C1363" s="186"/>
      <c r="D1363" s="186" t="str">
        <f>IFERROR(__xludf.DUMMYFUNCTION("""COMPUTED_VALUE"""),"FALSO")</f>
        <v>FALSO</v>
      </c>
    </row>
    <row r="1364">
      <c r="B1364" s="186" t="str">
        <f>IFERROR(__xludf.DUMMYFUNCTION("""COMPUTED_VALUE"""),"PI5328Y")</f>
        <v>PI5328Y</v>
      </c>
      <c r="C1364" s="186"/>
      <c r="D1364" s="186" t="str">
        <f>IFERROR(__xludf.DUMMYFUNCTION("""COMPUTED_VALUE"""),"FALSO")</f>
        <v>FALSO</v>
      </c>
    </row>
    <row r="1365">
      <c r="B1365" s="186" t="str">
        <f>IFERROR(__xludf.DUMMYFUNCTION("""COMPUTED_VALUE"""),"PI5304Y")</f>
        <v>PI5304Y</v>
      </c>
      <c r="C1365" s="186"/>
      <c r="D1365" s="186" t="str">
        <f>IFERROR(__xludf.DUMMYFUNCTION("""COMPUTED_VALUE"""),"FALSO")</f>
        <v>FALSO</v>
      </c>
    </row>
    <row r="1366">
      <c r="B1366" s="186" t="str">
        <f>IFERROR(__xludf.DUMMYFUNCTION("""COMPUTED_VALUE"""),"PI5305Y")</f>
        <v>PI5305Y</v>
      </c>
      <c r="C1366" s="186"/>
      <c r="D1366" s="186" t="str">
        <f>IFERROR(__xludf.DUMMYFUNCTION("""COMPUTED_VALUE"""),"FALSO")</f>
        <v>FALSO</v>
      </c>
    </row>
    <row r="1367">
      <c r="B1367" s="186" t="str">
        <f>IFERROR(__xludf.DUMMYFUNCTION("""COMPUTED_VALUE"""),"PI6003Y")</f>
        <v>PI6003Y</v>
      </c>
      <c r="C1367" s="186"/>
      <c r="D1367" s="186" t="str">
        <f>IFERROR(__xludf.DUMMYFUNCTION("""COMPUTED_VALUE"""),"FALSO")</f>
        <v>FALSO</v>
      </c>
    </row>
    <row r="1368">
      <c r="B1368" s="186" t="str">
        <f>IFERROR(__xludf.DUMMYFUNCTION("""COMPUTED_VALUE"""),"CS2331")</f>
        <v>CS2331</v>
      </c>
      <c r="C1368" s="186"/>
      <c r="D1368" s="186" t="str">
        <f>IFERROR(__xludf.DUMMYFUNCTION("""COMPUTED_VALUE"""),"FALSO")</f>
        <v>FALSO</v>
      </c>
    </row>
    <row r="1369">
      <c r="B1369" s="186" t="str">
        <f>IFERROR(__xludf.DUMMYFUNCTION("""COMPUTED_VALUE"""),"PI6002Y")</f>
        <v>PI6002Y</v>
      </c>
      <c r="C1369" s="186"/>
      <c r="D1369" s="186" t="str">
        <f>IFERROR(__xludf.DUMMYFUNCTION("""COMPUTED_VALUE"""),"FALSO")</f>
        <v>FALSO</v>
      </c>
    </row>
    <row r="1370">
      <c r="B1370" s="186" t="str">
        <f>IFERROR(__xludf.DUMMYFUNCTION("""COMPUTED_VALUE"""),"PI7502Y")</f>
        <v>PI7502Y</v>
      </c>
      <c r="C1370" s="186"/>
      <c r="D1370" s="186" t="str">
        <f>IFERROR(__xludf.DUMMYFUNCTION("""COMPUTED_VALUE"""),"FALSO")</f>
        <v>FALSO</v>
      </c>
    </row>
    <row r="1371">
      <c r="B1371" s="186" t="str">
        <f>IFERROR(__xludf.DUMMYFUNCTION("""COMPUTED_VALUE"""),"PI4798Y")</f>
        <v>PI4798Y</v>
      </c>
      <c r="C1371" s="186" t="str">
        <f>IFERROR(__xludf.DUMMYFUNCTION("""COMPUTED_VALUE"""),"BOLSA MUDA DE COR LISTRADA")</f>
        <v>BOLSA MUDA DE COR LISTRADA</v>
      </c>
      <c r="D1371" s="186" t="str">
        <f>IFERROR(__xludf.DUMMYFUNCTION("""COMPUTED_VALUE"""),"FALSO")</f>
        <v>FALSO</v>
      </c>
    </row>
    <row r="1372">
      <c r="B1372" s="186" t="str">
        <f>IFERROR(__xludf.DUMMYFUNCTION("""COMPUTED_VALUE"""),"PI5207Y")</f>
        <v>PI5207Y</v>
      </c>
      <c r="C1372" s="186"/>
      <c r="D1372" s="186" t="str">
        <f>IFERROR(__xludf.DUMMYFUNCTION("""COMPUTED_VALUE"""),"FALSO")</f>
        <v>FALSO</v>
      </c>
    </row>
    <row r="1373">
      <c r="B1373" s="186" t="str">
        <f>IFERROR(__xludf.DUMMYFUNCTION("""COMPUTED_VALUE"""),"PI6955Y")</f>
        <v>PI6955Y</v>
      </c>
      <c r="C1373" s="186"/>
      <c r="D1373" s="186" t="str">
        <f>IFERROR(__xludf.DUMMYFUNCTION("""COMPUTED_VALUE"""),"FALSO")</f>
        <v>FALSO</v>
      </c>
    </row>
    <row r="1374">
      <c r="B1374" s="186" t="str">
        <f>IFERROR(__xludf.DUMMYFUNCTION("""COMPUTED_VALUE"""),"PI6948Y")</f>
        <v>PI6948Y</v>
      </c>
      <c r="C1374" s="186"/>
      <c r="D1374" s="186" t="str">
        <f>IFERROR(__xludf.DUMMYFUNCTION("""COMPUTED_VALUE"""),"FALSO")</f>
        <v>FALSO</v>
      </c>
    </row>
    <row r="1375">
      <c r="B1375" s="186" t="str">
        <f>IFERROR(__xludf.DUMMYFUNCTION("""COMPUTED_VALUE"""),"PI6870Y")</f>
        <v>PI6870Y</v>
      </c>
      <c r="C1375" s="186"/>
      <c r="D1375" s="186" t="str">
        <f>IFERROR(__xludf.DUMMYFUNCTION("""COMPUTED_VALUE"""),"FALSO")</f>
        <v>FALSO</v>
      </c>
    </row>
    <row r="1376">
      <c r="B1376" s="186" t="str">
        <f>IFERROR(__xludf.DUMMYFUNCTION("""COMPUTED_VALUE"""),"PI6801Y")</f>
        <v>PI6801Y</v>
      </c>
      <c r="C1376" s="186"/>
      <c r="D1376" s="186" t="str">
        <f>IFERROR(__xludf.DUMMYFUNCTION("""COMPUTED_VALUE"""),"FALSO")</f>
        <v>FALSO</v>
      </c>
    </row>
    <row r="1377">
      <c r="B1377" s="186" t="str">
        <f>IFERROR(__xludf.DUMMYFUNCTION("""COMPUTED_VALUE"""),"PI6869Y")</f>
        <v>PI6869Y</v>
      </c>
      <c r="C1377" s="186"/>
      <c r="D1377" s="186" t="str">
        <f>IFERROR(__xludf.DUMMYFUNCTION("""COMPUTED_VALUE"""),"FALSO")</f>
        <v>FALSO</v>
      </c>
    </row>
    <row r="1378">
      <c r="B1378" s="186" t="str">
        <f>IFERROR(__xludf.DUMMYFUNCTION("""COMPUTED_VALUE"""),"PI6915Y")</f>
        <v>PI6915Y</v>
      </c>
      <c r="C1378" s="186"/>
      <c r="D1378" s="186" t="str">
        <f>IFERROR(__xludf.DUMMYFUNCTION("""COMPUTED_VALUE"""),"FALSO")</f>
        <v>FALSO</v>
      </c>
    </row>
    <row r="1379">
      <c r="B1379" s="186" t="str">
        <f>IFERROR(__xludf.DUMMYFUNCTION("""COMPUTED_VALUE"""),"PI7527Y")</f>
        <v>PI7527Y</v>
      </c>
      <c r="C1379" s="186"/>
      <c r="D1379" s="186" t="str">
        <f>IFERROR(__xludf.DUMMYFUNCTION("""COMPUTED_VALUE"""),"FALSO")</f>
        <v>FALSO</v>
      </c>
    </row>
    <row r="1380">
      <c r="B1380" s="186" t="str">
        <f>IFERROR(__xludf.DUMMYFUNCTION("""COMPUTED_VALUE"""),"PI7820Y")</f>
        <v>PI7820Y</v>
      </c>
      <c r="C1380" s="186"/>
      <c r="D1380" s="186" t="str">
        <f>IFERROR(__xludf.DUMMYFUNCTION("""COMPUTED_VALUE"""),"FALSO")</f>
        <v>FALSO</v>
      </c>
    </row>
    <row r="1381">
      <c r="B1381" s="186" t="str">
        <f>IFERROR(__xludf.DUMMYFUNCTION("""COMPUTED_VALUE"""),"PI6799Y")</f>
        <v>PI6799Y</v>
      </c>
      <c r="C1381" s="186"/>
      <c r="D1381" s="186" t="str">
        <f>IFERROR(__xludf.DUMMYFUNCTION("""COMPUTED_VALUE"""),"FALSO")</f>
        <v>FALSO</v>
      </c>
    </row>
    <row r="1382">
      <c r="B1382" s="186" t="str">
        <f>IFERROR(__xludf.DUMMYFUNCTION("""COMPUTED_VALUE"""),"PI6519Y")</f>
        <v>PI6519Y</v>
      </c>
      <c r="C1382" s="186" t="str">
        <f>IFERROR(__xludf.DUMMYFUNCTION("""COMPUTED_VALUE"""),"BOLSA DUFFLE DOBRAVEL")</f>
        <v>BOLSA DUFFLE DOBRAVEL</v>
      </c>
      <c r="D1382" s="186" t="str">
        <f>IFERROR(__xludf.DUMMYFUNCTION("""COMPUTED_VALUE"""),"FALSO")</f>
        <v>FALSO</v>
      </c>
    </row>
    <row r="1383">
      <c r="B1383" s="186" t="str">
        <f>IFERROR(__xludf.DUMMYFUNCTION("""COMPUTED_VALUE"""),"PI6889Y")</f>
        <v>PI6889Y</v>
      </c>
      <c r="C1383" s="186"/>
      <c r="D1383" s="186" t="str">
        <f>IFERROR(__xludf.DUMMYFUNCTION("""COMPUTED_VALUE"""),"FALSO")</f>
        <v>FALSO</v>
      </c>
    </row>
    <row r="1384">
      <c r="B1384" s="186" t="str">
        <f>IFERROR(__xludf.DUMMYFUNCTION("""COMPUTED_VALUE"""),"PI5391Y")</f>
        <v>PI5391Y</v>
      </c>
      <c r="C1384" s="186"/>
      <c r="D1384" s="186" t="str">
        <f>IFERROR(__xludf.DUMMYFUNCTION("""COMPUTED_VALUE"""),"FALSO")</f>
        <v>FALSO</v>
      </c>
    </row>
    <row r="1385">
      <c r="B1385" s="186" t="str">
        <f>IFERROR(__xludf.DUMMYFUNCTION("""COMPUTED_VALUE"""),"PI6851Y")</f>
        <v>PI6851Y</v>
      </c>
      <c r="C1385" s="186"/>
      <c r="D1385" s="186" t="str">
        <f>IFERROR(__xludf.DUMMYFUNCTION("""COMPUTED_VALUE"""),"FALSO")</f>
        <v>FALSO</v>
      </c>
    </row>
    <row r="1386">
      <c r="B1386" s="186" t="str">
        <f>IFERROR(__xludf.DUMMYFUNCTION("""COMPUTED_VALUE"""),"PI7812Y")</f>
        <v>PI7812Y</v>
      </c>
      <c r="C1386" s="186"/>
      <c r="D1386" s="186" t="str">
        <f>IFERROR(__xludf.DUMMYFUNCTION("""COMPUTED_VALUE"""),"FALSO")</f>
        <v>FALSO</v>
      </c>
    </row>
    <row r="1387">
      <c r="B1387" s="186" t="str">
        <f>IFERROR(__xludf.DUMMYFUNCTION("""COMPUTED_VALUE"""),"PI7606Y")</f>
        <v>PI7606Y</v>
      </c>
      <c r="C1387" s="186"/>
      <c r="D1387" s="186" t="str">
        <f>IFERROR(__xludf.DUMMYFUNCTION("""COMPUTED_VALUE"""),"FALSO")</f>
        <v>FALSO</v>
      </c>
    </row>
    <row r="1388">
      <c r="B1388" s="186" t="str">
        <f>IFERROR(__xludf.DUMMYFUNCTION("""COMPUTED_VALUE"""),"PI5251Y")</f>
        <v>PI5251Y</v>
      </c>
      <c r="C1388" s="186"/>
      <c r="D1388" s="186" t="str">
        <f>IFERROR(__xludf.DUMMYFUNCTION("""COMPUTED_VALUE"""),"FALSO")</f>
        <v>FALSO</v>
      </c>
    </row>
    <row r="1389">
      <c r="B1389" s="186" t="str">
        <f>IFERROR(__xludf.DUMMYFUNCTION("""COMPUTED_VALUE"""),"PI6858Y")</f>
        <v>PI6858Y</v>
      </c>
      <c r="C1389" s="186"/>
      <c r="D1389" s="186" t="str">
        <f>IFERROR(__xludf.DUMMYFUNCTION("""COMPUTED_VALUE"""),"FALSO")</f>
        <v>FALSO</v>
      </c>
    </row>
    <row r="1390">
      <c r="B1390" s="186" t="str">
        <f>IFERROR(__xludf.DUMMYFUNCTION("""COMPUTED_VALUE"""),"PI7479Y")</f>
        <v>PI7479Y</v>
      </c>
      <c r="C1390" s="186" t="str">
        <f>IFERROR(__xludf.DUMMYFUNCTION("""COMPUTED_VALUE"""),"MALA DE VIAGEM CHUMBO")</f>
        <v>MALA DE VIAGEM CHUMBO</v>
      </c>
      <c r="D1390" s="186" t="str">
        <f>IFERROR(__xludf.DUMMYFUNCTION("""COMPUTED_VALUE"""),"FALSO")</f>
        <v>FALSO</v>
      </c>
    </row>
    <row r="1391">
      <c r="B1391" s="186" t="str">
        <f>IFERROR(__xludf.DUMMYFUNCTION("""COMPUTED_VALUE"""),"PI6978Y")</f>
        <v>PI6978Y</v>
      </c>
      <c r="C1391" s="186" t="str">
        <f>IFERROR(__xludf.DUMMYFUNCTION("""COMPUTED_VALUE"""),"MALA DE VIAGEM PRETA COM ADESIVOS")</f>
        <v>MALA DE VIAGEM PRETA COM ADESIVOS</v>
      </c>
      <c r="D1391" s="186" t="str">
        <f>IFERROR(__xludf.DUMMYFUNCTION("""COMPUTED_VALUE"""),"FALSO")</f>
        <v>FALSO</v>
      </c>
    </row>
    <row r="1392">
      <c r="B1392" s="186" t="str">
        <f>IFERROR(__xludf.DUMMYFUNCTION("""COMPUTED_VALUE"""),"PI6668Y")</f>
        <v>PI6668Y</v>
      </c>
      <c r="C1392" s="186" t="str">
        <f>IFERROR(__xludf.DUMMYFUNCTION("""COMPUTED_VALUE"""),"MALA DE VIAGEM OFF WHITE COM ADESIVOS")</f>
        <v>MALA DE VIAGEM OFF WHITE COM ADESIVOS</v>
      </c>
      <c r="D1392" s="186" t="str">
        <f>IFERROR(__xludf.DUMMYFUNCTION("""COMPUTED_VALUE"""),"FALSO")</f>
        <v>FALSO</v>
      </c>
    </row>
    <row r="1393">
      <c r="B1393" s="186" t="str">
        <f>IFERROR(__xludf.DUMMYFUNCTION("""COMPUTED_VALUE"""),"PI6668Y")</f>
        <v>PI6668Y</v>
      </c>
      <c r="C1393" s="186" t="str">
        <f>IFERROR(__xludf.DUMMYFUNCTION("""COMPUTED_VALUE"""),"MALA DE VIAGEM OFF WHITE COM ADESIVOS")</f>
        <v>MALA DE VIAGEM OFF WHITE COM ADESIVOS</v>
      </c>
      <c r="D1393" s="186" t="str">
        <f>IFERROR(__xludf.DUMMYFUNCTION("""COMPUTED_VALUE"""),"FALSO")</f>
        <v>FALSO</v>
      </c>
    </row>
    <row r="1394">
      <c r="B1394" s="186" t="str">
        <f>IFERROR(__xludf.DUMMYFUNCTION("""COMPUTED_VALUE"""),"PI6733Y")</f>
        <v>PI6733Y</v>
      </c>
      <c r="C1394" s="186"/>
      <c r="D1394" s="186" t="str">
        <f>IFERROR(__xludf.DUMMYFUNCTION("""COMPUTED_VALUE"""),"FALSO")</f>
        <v>FALSO</v>
      </c>
    </row>
    <row r="1395">
      <c r="B1395" s="186" t="str">
        <f>IFERROR(__xludf.DUMMYFUNCTION("""COMPUTED_VALUE"""),"PI6734Y")</f>
        <v>PI6734Y</v>
      </c>
      <c r="C1395" s="186"/>
      <c r="D1395" s="186" t="str">
        <f>IFERROR(__xludf.DUMMYFUNCTION("""COMPUTED_VALUE"""),"FALSO")</f>
        <v>FALSO</v>
      </c>
    </row>
    <row r="1396">
      <c r="B1396" s="186" t="str">
        <f>IFERROR(__xludf.DUMMYFUNCTION("""COMPUTED_VALUE"""),"PI6612Y")</f>
        <v>PI6612Y</v>
      </c>
      <c r="C1396" s="186"/>
      <c r="D1396" s="186" t="str">
        <f>IFERROR(__xludf.DUMMYFUNCTION("""COMPUTED_VALUE"""),"FALSO")</f>
        <v>FALSO</v>
      </c>
    </row>
    <row r="1397">
      <c r="B1397" s="186" t="str">
        <f>IFERROR(__xludf.DUMMYFUNCTION("""COMPUTED_VALUE"""),"PI5397Y")</f>
        <v>PI5397Y</v>
      </c>
      <c r="C1397" s="186"/>
      <c r="D1397" s="186" t="str">
        <f>IFERROR(__xludf.DUMMYFUNCTION("""COMPUTED_VALUE"""),"FALSO")</f>
        <v>FALSO</v>
      </c>
    </row>
    <row r="1398">
      <c r="B1398" s="186" t="str">
        <f>IFERROR(__xludf.DUMMYFUNCTION("""COMPUTED_VALUE"""),"PI5377Y")</f>
        <v>PI5377Y</v>
      </c>
      <c r="C1398" s="186"/>
      <c r="D1398" s="186" t="str">
        <f>IFERROR(__xludf.DUMMYFUNCTION("""COMPUTED_VALUE"""),"FALSO")</f>
        <v>FALSO</v>
      </c>
    </row>
    <row r="1399">
      <c r="B1399" s="186" t="str">
        <f>IFERROR(__xludf.DUMMYFUNCTION("""COMPUTED_VALUE"""),"PI5999Y")</f>
        <v>PI5999Y</v>
      </c>
      <c r="C1399" s="186"/>
      <c r="D1399" s="186" t="str">
        <f>IFERROR(__xludf.DUMMYFUNCTION("""COMPUTED_VALUE"""),"FALSO")</f>
        <v>FALSO</v>
      </c>
    </row>
    <row r="1400">
      <c r="B1400" s="186" t="str">
        <f>IFERROR(__xludf.DUMMYFUNCTION("""COMPUTED_VALUE"""),"PI5410Y")</f>
        <v>PI5410Y</v>
      </c>
      <c r="C1400" s="186"/>
      <c r="D1400" s="186" t="str">
        <f>IFERROR(__xludf.DUMMYFUNCTION("""COMPUTED_VALUE"""),"FALSO")</f>
        <v>FALSO</v>
      </c>
    </row>
    <row r="1401">
      <c r="B1401" s="186" t="str">
        <f>IFERROR(__xludf.DUMMYFUNCTION("""COMPUTED_VALUE"""),"PI6665Y")</f>
        <v>PI6665Y</v>
      </c>
      <c r="C1401" s="186"/>
      <c r="D1401" s="186" t="str">
        <f>IFERROR(__xludf.DUMMYFUNCTION("""COMPUTED_VALUE"""),"FALSO")</f>
        <v>FALSO</v>
      </c>
    </row>
    <row r="1402">
      <c r="B1402" s="186" t="str">
        <f>IFERROR(__xludf.DUMMYFUNCTION("""COMPUTED_VALUE"""),"PI6886Y")</f>
        <v>PI6886Y</v>
      </c>
      <c r="C1402" s="186"/>
      <c r="D1402" s="186" t="str">
        <f>IFERROR(__xludf.DUMMYFUNCTION("""COMPUTED_VALUE"""),"FALSO")</f>
        <v>FALSO</v>
      </c>
    </row>
    <row r="1403">
      <c r="B1403" s="186" t="str">
        <f>IFERROR(__xludf.DUMMYFUNCTION("""COMPUTED_VALUE"""),"PI6432Y")</f>
        <v>PI6432Y</v>
      </c>
      <c r="C1403" s="186"/>
      <c r="D1403" s="186" t="str">
        <f>IFERROR(__xludf.DUMMYFUNCTION("""COMPUTED_VALUE"""),"FALSO")</f>
        <v>FALSO</v>
      </c>
    </row>
    <row r="1404">
      <c r="B1404" s="186" t="str">
        <f>IFERROR(__xludf.DUMMYFUNCTION("""COMPUTED_VALUE"""),"PI6853Y")</f>
        <v>PI6853Y</v>
      </c>
      <c r="C1404" s="186"/>
      <c r="D1404" s="186" t="str">
        <f>IFERROR(__xludf.DUMMYFUNCTION("""COMPUTED_VALUE"""),"FALSO")</f>
        <v>FALSO</v>
      </c>
    </row>
    <row r="1405">
      <c r="B1405" s="186" t="str">
        <f>IFERROR(__xludf.DUMMYFUNCTION("""COMPUTED_VALUE"""),"PI7600Y")</f>
        <v>PI7600Y</v>
      </c>
      <c r="C1405" s="186"/>
      <c r="D1405" s="186" t="str">
        <f>IFERROR(__xludf.DUMMYFUNCTION("""COMPUTED_VALUE"""),"FALSO")</f>
        <v>FALSO</v>
      </c>
    </row>
    <row r="1406">
      <c r="B1406" s="186" t="str">
        <f>IFERROR(__xludf.DUMMYFUNCTION("""COMPUTED_VALUE"""),"PI6544Y")</f>
        <v>PI6544Y</v>
      </c>
      <c r="C1406" s="186" t="str">
        <f>IFERROR(__xludf.DUMMYFUNCTION("""COMPUTED_VALUE"""),"NECESSAIRE PUFFER NEON 1")</f>
        <v>NECESSAIRE PUFFER NEON 1</v>
      </c>
      <c r="D1406" s="186" t="str">
        <f>IFERROR(__xludf.DUMMYFUNCTION("""COMPUTED_VALUE"""),"FALSO")</f>
        <v>FALSO</v>
      </c>
    </row>
    <row r="1407">
      <c r="B1407" s="186" t="str">
        <f>IFERROR(__xludf.DUMMYFUNCTION("""COMPUTED_VALUE"""),"PI6545Y")</f>
        <v>PI6545Y</v>
      </c>
      <c r="C1407" s="186" t="str">
        <f>IFERROR(__xludf.DUMMYFUNCTION("""COMPUTED_VALUE"""),"NECESSAIRE PUFFER NEON 2")</f>
        <v>NECESSAIRE PUFFER NEON 2</v>
      </c>
      <c r="D1407" s="186" t="str">
        <f>IFERROR(__xludf.DUMMYFUNCTION("""COMPUTED_VALUE"""),"FALSO")</f>
        <v>FALSO</v>
      </c>
    </row>
    <row r="1408">
      <c r="B1408" s="186" t="str">
        <f>IFERROR(__xludf.DUMMYFUNCTION("""COMPUTED_VALUE"""),"PI6546Y")</f>
        <v>PI6546Y</v>
      </c>
      <c r="C1408" s="186" t="str">
        <f>IFERROR(__xludf.DUMMYFUNCTION("""COMPUTED_VALUE"""),"NECESSAIRE PUFFER NEON 3")</f>
        <v>NECESSAIRE PUFFER NEON 3</v>
      </c>
      <c r="D1408" s="186" t="str">
        <f>IFERROR(__xludf.DUMMYFUNCTION("""COMPUTED_VALUE"""),"FALSO")</f>
        <v>FALSO</v>
      </c>
    </row>
    <row r="1409">
      <c r="B1409" s="186" t="str">
        <f>IFERROR(__xludf.DUMMYFUNCTION("""COMPUTED_VALUE"""),"PI6964Y")</f>
        <v>PI6964Y</v>
      </c>
      <c r="C1409" s="186"/>
      <c r="D1409" s="186" t="str">
        <f>IFERROR(__xludf.DUMMYFUNCTION("""COMPUTED_VALUE"""),"FALSO")</f>
        <v>FALSO</v>
      </c>
    </row>
    <row r="1410">
      <c r="B1410" s="186" t="str">
        <f>IFERROR(__xludf.DUMMYFUNCTION("""COMPUTED_VALUE"""),"PI6440Y")</f>
        <v>PI6440Y</v>
      </c>
      <c r="C1410" s="186"/>
      <c r="D1410" s="186" t="str">
        <f>IFERROR(__xludf.DUMMYFUNCTION("""COMPUTED_VALUE"""),"FALSO")</f>
        <v>FALSO</v>
      </c>
    </row>
    <row r="1411">
      <c r="B1411" s="186" t="str">
        <f>IFERROR(__xludf.DUMMYFUNCTION("""COMPUTED_VALUE"""),"PI7082Y")</f>
        <v>PI7082Y</v>
      </c>
      <c r="C1411" s="186"/>
      <c r="D1411" s="186" t="str">
        <f>IFERROR(__xludf.DUMMYFUNCTION("""COMPUTED_VALUE"""),"FALSO")</f>
        <v>FALSO</v>
      </c>
    </row>
    <row r="1412">
      <c r="B1412" s="186" t="str">
        <f>IFERROR(__xludf.DUMMYFUNCTION("""COMPUTED_VALUE"""),"PI6711Y")</f>
        <v>PI6711Y</v>
      </c>
      <c r="C1412" s="186"/>
      <c r="D1412" s="186" t="str">
        <f>IFERROR(__xludf.DUMMYFUNCTION("""COMPUTED_VALUE"""),"FALSO")</f>
        <v>FALSO</v>
      </c>
    </row>
    <row r="1413">
      <c r="B1413" s="186" t="str">
        <f>IFERROR(__xludf.DUMMYFUNCTION("""COMPUTED_VALUE"""),"PI7071Y")</f>
        <v>PI7071Y</v>
      </c>
      <c r="C1413" s="186"/>
      <c r="D1413" s="186" t="str">
        <f>IFERROR(__xludf.DUMMYFUNCTION("""COMPUTED_VALUE"""),"FALSO")</f>
        <v>FALSO</v>
      </c>
    </row>
    <row r="1414">
      <c r="B1414" s="186" t="str">
        <f>IFERROR(__xludf.DUMMYFUNCTION("""COMPUTED_VALUE"""),"PI6527Y")</f>
        <v>PI6527Y</v>
      </c>
      <c r="C1414" s="186" t="str">
        <f>IFERROR(__xludf.DUMMYFUNCTION("""COMPUTED_VALUE"""),"NECESSAIRE TERMICA FLORAL - CPG")</f>
        <v>NECESSAIRE TERMICA FLORAL - CPG</v>
      </c>
      <c r="D1414" s="186" t="str">
        <f>IFERROR(__xludf.DUMMYFUNCTION("""COMPUTED_VALUE"""),"FALSO")</f>
        <v>FALSO</v>
      </c>
    </row>
    <row r="1415">
      <c r="B1415" s="186" t="str">
        <f>IFERROR(__xludf.DUMMYFUNCTION("""COMPUTED_VALUE"""),"PI7596Y")</f>
        <v>PI7596Y</v>
      </c>
      <c r="C1415" s="186"/>
      <c r="D1415" s="186" t="str">
        <f>IFERROR(__xludf.DUMMYFUNCTION("""COMPUTED_VALUE"""),"FALSO")</f>
        <v>FALSO</v>
      </c>
    </row>
    <row r="1416">
      <c r="B1416" s="186" t="str">
        <f>IFERROR(__xludf.DUMMYFUNCTION("""COMPUTED_VALUE"""),"PI6912Y")</f>
        <v>PI6912Y</v>
      </c>
      <c r="C1416" s="186"/>
      <c r="D1416" s="186" t="str">
        <f>IFERROR(__xludf.DUMMYFUNCTION("""COMPUTED_VALUE"""),"FALSO")</f>
        <v>FALSO</v>
      </c>
    </row>
    <row r="1417">
      <c r="B1417" s="186" t="str">
        <f>IFERROR(__xludf.DUMMYFUNCTION("""COMPUTED_VALUE"""),"PI6901Y")</f>
        <v>PI6901Y</v>
      </c>
      <c r="C1417" s="186"/>
      <c r="D1417" s="186" t="str">
        <f>IFERROR(__xludf.DUMMYFUNCTION("""COMPUTED_VALUE"""),"FALSO")</f>
        <v>FALSO</v>
      </c>
    </row>
    <row r="1418">
      <c r="B1418" s="186" t="str">
        <f>IFERROR(__xludf.DUMMYFUNCTION("""COMPUTED_VALUE"""),"PI6434Y")</f>
        <v>PI6434Y</v>
      </c>
      <c r="C1418" s="186"/>
      <c r="D1418" s="186" t="str">
        <f>IFERROR(__xludf.DUMMYFUNCTION("""COMPUTED_VALUE"""),"FALSO")</f>
        <v>FALSO</v>
      </c>
    </row>
    <row r="1419">
      <c r="B1419" s="186" t="str">
        <f>IFERROR(__xludf.DUMMYFUNCTION("""COMPUTED_VALUE"""),"PI7503Y")</f>
        <v>PI7503Y</v>
      </c>
      <c r="C1419" s="186"/>
      <c r="D1419" s="186" t="str">
        <f>IFERROR(__xludf.DUMMYFUNCTION("""COMPUTED_VALUE"""),"FALSO")</f>
        <v>FALSO</v>
      </c>
    </row>
    <row r="1420">
      <c r="B1420" s="186" t="str">
        <f>IFERROR(__xludf.DUMMYFUNCTION("""COMPUTED_VALUE"""),"PI6796Y")</f>
        <v>PI6796Y</v>
      </c>
      <c r="C1420" s="186"/>
      <c r="D1420" s="186" t="str">
        <f>IFERROR(__xludf.DUMMYFUNCTION("""COMPUTED_VALUE"""),"FALSO")</f>
        <v>FALSO</v>
      </c>
    </row>
    <row r="1421">
      <c r="B1421" s="186" t="str">
        <f>IFERROR(__xludf.DUMMYFUNCTION("""COMPUTED_VALUE"""),"PI7591Y")</f>
        <v>PI7591Y</v>
      </c>
      <c r="C1421" s="186"/>
      <c r="D1421" s="186" t="str">
        <f>IFERROR(__xludf.DUMMYFUNCTION("""COMPUTED_VALUE"""),"FALSO")</f>
        <v>FALSO</v>
      </c>
    </row>
    <row r="1422">
      <c r="B1422" s="186" t="str">
        <f>IFERROR(__xludf.DUMMYFUNCTION("""COMPUTED_VALUE"""),"PI7633Y")</f>
        <v>PI7633Y</v>
      </c>
      <c r="C1422" s="186"/>
      <c r="D1422" s="186" t="str">
        <f>IFERROR(__xludf.DUMMYFUNCTION("""COMPUTED_VALUE"""),"FALSO")</f>
        <v>FALSO</v>
      </c>
    </row>
    <row r="1423">
      <c r="B1423" s="186" t="str">
        <f>IFERROR(__xludf.DUMMYFUNCTION("""COMPUTED_VALUE"""),"PI6008Y")</f>
        <v>PI6008Y</v>
      </c>
      <c r="C1423" s="186" t="str">
        <f>IFERROR(__xludf.DUMMYFUNCTION("""COMPUTED_VALUE"""),"ESTOJO DIVISORIAS GATO PRETO")</f>
        <v>ESTOJO DIVISORIAS GATO PRETO</v>
      </c>
      <c r="D1423" s="186" t="str">
        <f>IFERROR(__xludf.DUMMYFUNCTION("""COMPUTED_VALUE"""),"FALSO")</f>
        <v>FALSO</v>
      </c>
    </row>
    <row r="1424">
      <c r="B1424" s="186" t="str">
        <f>IFERROR(__xludf.DUMMYFUNCTION("""COMPUTED_VALUE"""),"PI5959Y")</f>
        <v>PI5959Y</v>
      </c>
      <c r="C1424" s="186"/>
      <c r="D1424" s="186" t="str">
        <f>IFERROR(__xludf.DUMMYFUNCTION("""COMPUTED_VALUE"""),"INMETRO Toys System 5 - Ordinance 302")</f>
        <v>INMETRO Toys System 5 - Ordinance 302</v>
      </c>
    </row>
    <row r="1425">
      <c r="B1425" s="186" t="str">
        <f>IFERROR(__xludf.DUMMYFUNCTION("""COMPUTED_VALUE"""),"PI6910Y")</f>
        <v>PI6910Y</v>
      </c>
      <c r="C1425" s="186"/>
      <c r="D1425" s="186" t="str">
        <f>IFERROR(__xludf.DUMMYFUNCTION("""COMPUTED_VALUE"""),"FALSO")</f>
        <v>FALSO</v>
      </c>
    </row>
    <row r="1426">
      <c r="B1426" s="186" t="str">
        <f>IFERROR(__xludf.DUMMYFUNCTION("""COMPUTED_VALUE"""),"PI6859Y")</f>
        <v>PI6859Y</v>
      </c>
      <c r="C1426" s="186"/>
      <c r="D1426" s="186" t="str">
        <f>IFERROR(__xludf.DUMMYFUNCTION("""COMPUTED_VALUE"""),"FALSO")</f>
        <v>FALSO</v>
      </c>
    </row>
    <row r="1427">
      <c r="B1427" s="186" t="str">
        <f>IFERROR(__xludf.DUMMYFUNCTION("""COMPUTED_VALUE"""),"PI6446Y")</f>
        <v>PI6446Y</v>
      </c>
      <c r="C1427" s="186"/>
      <c r="D1427" s="186" t="str">
        <f>IFERROR(__xludf.DUMMYFUNCTION("""COMPUTED_VALUE"""),"FALSO")</f>
        <v>FALSO</v>
      </c>
    </row>
    <row r="1428">
      <c r="B1428" s="186" t="str">
        <f>IFERROR(__xludf.DUMMYFUNCTION("""COMPUTED_VALUE"""),"PI6940Y")</f>
        <v>PI6940Y</v>
      </c>
      <c r="C1428" s="186"/>
      <c r="D1428" s="186" t="str">
        <f>IFERROR(__xludf.DUMMYFUNCTION("""COMPUTED_VALUE"""),"FALSO")</f>
        <v>FALSO</v>
      </c>
    </row>
    <row r="1429">
      <c r="B1429" s="186" t="str">
        <f>IFERROR(__xludf.DUMMYFUNCTION("""COMPUTED_VALUE"""),"PI5375Y")</f>
        <v>PI5375Y</v>
      </c>
      <c r="C1429" s="186"/>
      <c r="D1429" s="186" t="str">
        <f>IFERROR(__xludf.DUMMYFUNCTION("""COMPUTED_VALUE"""),"FALSO")</f>
        <v>FALSO</v>
      </c>
    </row>
    <row r="1430">
      <c r="B1430" s="186" t="str">
        <f>IFERROR(__xludf.DUMMYFUNCTION("""COMPUTED_VALUE"""),"PI5036Y")</f>
        <v>PI5036Y</v>
      </c>
      <c r="C1430" s="186" t="str">
        <f>IFERROR(__xludf.DUMMYFUNCTION("""COMPUTED_VALUE"""),"PICNIC INSULATED BAG WITH WOODEN TRAY")</f>
        <v>PICNIC INSULATED BAG WITH WOODEN TRAY</v>
      </c>
      <c r="D1430" s="186" t="str">
        <f>IFERROR(__xludf.DUMMYFUNCTION("""COMPUTED_VALUE"""),"FALSO")</f>
        <v>FALSO</v>
      </c>
    </row>
    <row r="1431">
      <c r="B1431" s="186" t="str">
        <f>IFERROR(__xludf.DUMMYFUNCTION("""COMPUTED_VALUE"""),"PI7673Y")</f>
        <v>PI7673Y</v>
      </c>
      <c r="C1431" s="186"/>
      <c r="D1431" s="186" t="str">
        <f>IFERROR(__xludf.DUMMYFUNCTION("""COMPUTED_VALUE"""),"FALSO")</f>
        <v>FALSO</v>
      </c>
    </row>
    <row r="1432">
      <c r="B1432" s="186" t="str">
        <f>IFERROR(__xludf.DUMMYFUNCTION("""COMPUTED_VALUE"""),"PI5376Y")</f>
        <v>PI5376Y</v>
      </c>
      <c r="C1432" s="186"/>
      <c r="D1432" s="186" t="str">
        <f>IFERROR(__xludf.DUMMYFUNCTION("""COMPUTED_VALUE"""),"FALSO")</f>
        <v>FALSO</v>
      </c>
    </row>
    <row r="1433">
      <c r="B1433" s="186" t="str">
        <f>IFERROR(__xludf.DUMMYFUNCTION("""COMPUTED_VALUE"""),"PI5855Y")</f>
        <v>PI5855Y</v>
      </c>
      <c r="C1433" s="186"/>
      <c r="D1433" s="186" t="str">
        <f>IFERROR(__xludf.DUMMYFUNCTION("""COMPUTED_VALUE"""),"FALSO")</f>
        <v>FALSO</v>
      </c>
    </row>
    <row r="1434">
      <c r="B1434" s="186" t="str">
        <f>IFERROR(__xludf.DUMMYFUNCTION("""COMPUTED_VALUE"""),"PI5412Y")</f>
        <v>PI5412Y</v>
      </c>
      <c r="C1434" s="186"/>
      <c r="D1434" s="186" t="str">
        <f>IFERROR(__xludf.DUMMYFUNCTION("""COMPUTED_VALUE"""),"FALSO")</f>
        <v>FALSO</v>
      </c>
    </row>
    <row r="1435">
      <c r="B1435" s="186" t="str">
        <f>IFERROR(__xludf.DUMMYFUNCTION("""COMPUTED_VALUE"""),"PI7736Y")</f>
        <v>PI7736Y</v>
      </c>
      <c r="C1435" s="186"/>
      <c r="D1435" s="186" t="str">
        <f>IFERROR(__xludf.DUMMYFUNCTION("""COMPUTED_VALUE"""),"FALSO")</f>
        <v>FALSO</v>
      </c>
    </row>
    <row r="1436">
      <c r="B1436" s="186" t="str">
        <f>IFERROR(__xludf.DUMMYFUNCTION("""COMPUTED_VALUE"""),"PI7736Y")</f>
        <v>PI7736Y</v>
      </c>
      <c r="C1436" s="186"/>
      <c r="D1436" s="186" t="str">
        <f>IFERROR(__xludf.DUMMYFUNCTION("""COMPUTED_VALUE"""),"FALSO")</f>
        <v>FALSO</v>
      </c>
    </row>
    <row r="1437">
      <c r="B1437" s="186" t="str">
        <f>IFERROR(__xludf.DUMMYFUNCTION("""COMPUTED_VALUE"""),"PI4375Y")</f>
        <v>PI4375Y</v>
      </c>
      <c r="C1437" s="186" t="str">
        <f>IFERROR(__xludf.DUMMYFUNCTION("""COMPUTED_VALUE"""),"MALA DE BORDO HP HOGWARTS")</f>
        <v>MALA DE BORDO HP HOGWARTS</v>
      </c>
      <c r="D1437" s="186" t="str">
        <f>IFERROR(__xludf.DUMMYFUNCTION("""COMPUTED_VALUE"""),"FALSO")</f>
        <v>FALSO</v>
      </c>
    </row>
    <row r="1438">
      <c r="B1438" s="186" t="str">
        <f>IFERROR(__xludf.DUMMYFUNCTION("""COMPUTED_VALUE"""),"PI7542Y")</f>
        <v>PI7542Y</v>
      </c>
      <c r="C1438" s="186"/>
      <c r="D1438" s="186" t="str">
        <f>IFERROR(__xludf.DUMMYFUNCTION("""COMPUTED_VALUE"""),"FALSO")</f>
        <v>FALSO</v>
      </c>
    </row>
    <row r="1439">
      <c r="B1439" s="186" t="str">
        <f>IFERROR(__xludf.DUMMYFUNCTION("""COMPUTED_VALUE"""),"PI7597Y")</f>
        <v>PI7597Y</v>
      </c>
      <c r="C1439" s="186"/>
      <c r="D1439" s="186" t="str">
        <f>IFERROR(__xludf.DUMMYFUNCTION("""COMPUTED_VALUE"""),"FALSO")</f>
        <v>FALSO</v>
      </c>
    </row>
    <row r="1440">
      <c r="B1440" s="186" t="str">
        <f>IFERROR(__xludf.DUMMYFUNCTION("""COMPUTED_VALUE"""),"PI6909Y")</f>
        <v>PI6909Y</v>
      </c>
      <c r="C1440" s="186"/>
      <c r="D1440" s="186" t="str">
        <f>IFERROR(__xludf.DUMMYFUNCTION("""COMPUTED_VALUE"""),"FALSO")</f>
        <v>FALSO</v>
      </c>
    </row>
    <row r="1441">
      <c r="B1441" s="186" t="str">
        <f>IFERROR(__xludf.DUMMYFUNCTION("""COMPUTED_VALUE"""),"PI6914Y")</f>
        <v>PI6914Y</v>
      </c>
      <c r="C1441" s="186"/>
      <c r="D1441" s="186" t="str">
        <f>IFERROR(__xludf.DUMMYFUNCTION("""COMPUTED_VALUE"""),"FALSO")</f>
        <v>FALSO</v>
      </c>
    </row>
    <row r="1442">
      <c r="B1442" s="186" t="str">
        <f>IFERROR(__xludf.DUMMYFUNCTION("""COMPUTED_VALUE"""),"PI7617Y")</f>
        <v>PI7617Y</v>
      </c>
      <c r="C1442" s="186"/>
      <c r="D1442" s="186" t="str">
        <f>IFERROR(__xludf.DUMMYFUNCTION("""COMPUTED_VALUE"""),"FALSO")</f>
        <v>FALSO</v>
      </c>
    </row>
    <row r="1443">
      <c r="B1443" s="186" t="str">
        <f>IFERROR(__xludf.DUMMYFUNCTION("""COMPUTED_VALUE"""),"PI6091Y")</f>
        <v>PI6091Y</v>
      </c>
      <c r="C1443" s="186"/>
      <c r="D1443" s="186" t="str">
        <f>IFERROR(__xludf.DUMMYFUNCTION("""COMPUTED_VALUE"""),"FALSO")</f>
        <v>FALSO</v>
      </c>
    </row>
    <row r="1444">
      <c r="B1444" s="186" t="str">
        <f>IFERROR(__xludf.DUMMYFUNCTION("""COMPUTED_VALUE"""),"PI7647Y")</f>
        <v>PI7647Y</v>
      </c>
      <c r="C1444" s="186"/>
      <c r="D1444" s="186" t="str">
        <f>IFERROR(__xludf.DUMMYFUNCTION("""COMPUTED_VALUE"""),"FALSO")</f>
        <v>FALSO</v>
      </c>
    </row>
    <row r="1445">
      <c r="B1445" s="186" t="str">
        <f>IFERROR(__xludf.DUMMYFUNCTION("""COMPUTED_VALUE"""),"PI7619Y")</f>
        <v>PI7619Y</v>
      </c>
      <c r="C1445" s="186"/>
      <c r="D1445" s="186" t="str">
        <f>IFERROR(__xludf.DUMMYFUNCTION("""COMPUTED_VALUE"""),"FALSO")</f>
        <v>FALSO</v>
      </c>
    </row>
    <row r="1446">
      <c r="B1446" s="186" t="str">
        <f>IFERROR(__xludf.DUMMYFUNCTION("""COMPUTED_VALUE"""),"PI6430Y")</f>
        <v>PI6430Y</v>
      </c>
      <c r="C1446" s="186"/>
      <c r="D1446" s="186" t="str">
        <f>IFERROR(__xludf.DUMMYFUNCTION("""COMPUTED_VALUE"""),"FALSO")</f>
        <v>FALSO</v>
      </c>
    </row>
    <row r="1447">
      <c r="B1447" s="186" t="str">
        <f>IFERROR(__xludf.DUMMYFUNCTION("""COMPUTED_VALUE"""),"PI6428Y")</f>
        <v>PI6428Y</v>
      </c>
      <c r="C1447" s="186"/>
      <c r="D1447" s="186" t="str">
        <f>IFERROR(__xludf.DUMMYFUNCTION("""COMPUTED_VALUE"""),"FALSO")</f>
        <v>FALSO</v>
      </c>
    </row>
    <row r="1448">
      <c r="B1448" s="186" t="str">
        <f>IFERROR(__xludf.DUMMYFUNCTION("""COMPUTED_VALUE"""),"PI7620Y")</f>
        <v>PI7620Y</v>
      </c>
      <c r="C1448" s="186"/>
      <c r="D1448" s="186" t="str">
        <f>IFERROR(__xludf.DUMMYFUNCTION("""COMPUTED_VALUE"""),"FALSO")</f>
        <v>FALSO</v>
      </c>
    </row>
    <row r="1449">
      <c r="B1449" s="186" t="str">
        <f>IFERROR(__xludf.DUMMYFUNCTION("""COMPUTED_VALUE"""),"PI6421Y")</f>
        <v>PI6421Y</v>
      </c>
      <c r="C1449" s="186"/>
      <c r="D1449" s="186" t="str">
        <f>IFERROR(__xludf.DUMMYFUNCTION("""COMPUTED_VALUE"""),"FALSO")</f>
        <v>FALSO</v>
      </c>
    </row>
    <row r="1450">
      <c r="B1450" s="186" t="str">
        <f>IFERROR(__xludf.DUMMYFUNCTION("""COMPUTED_VALUE"""),"PI6422Y")</f>
        <v>PI6422Y</v>
      </c>
      <c r="C1450" s="186"/>
      <c r="D1450" s="186" t="str">
        <f>IFERROR(__xludf.DUMMYFUNCTION("""COMPUTED_VALUE"""),"FALSO")</f>
        <v>FALSO</v>
      </c>
    </row>
    <row r="1451">
      <c r="B1451" s="186" t="str">
        <f>IFERROR(__xludf.DUMMYFUNCTION("""COMPUTED_VALUE"""),"PI6946Y")</f>
        <v>PI6946Y</v>
      </c>
      <c r="C1451" s="186"/>
      <c r="D1451" s="186" t="str">
        <f>IFERROR(__xludf.DUMMYFUNCTION("""COMPUTED_VALUE"""),"FALSO")</f>
        <v>FALSO</v>
      </c>
    </row>
    <row r="1452">
      <c r="B1452" s="186" t="str">
        <f>IFERROR(__xludf.DUMMYFUNCTION("""COMPUTED_VALUE"""),"PI7337Y")</f>
        <v>PI7337Y</v>
      </c>
      <c r="C1452" s="186" t="str">
        <f>IFERROR(__xludf.DUMMYFUNCTION("""COMPUTED_VALUE"""),"BOLSA TERMICA LISTRAS")</f>
        <v>BOLSA TERMICA LISTRAS</v>
      </c>
      <c r="D1452" s="186" t="str">
        <f>IFERROR(__xludf.DUMMYFUNCTION("""COMPUTED_VALUE"""),"FALSO")</f>
        <v>FALSO</v>
      </c>
    </row>
    <row r="1453">
      <c r="B1453" s="186" t="str">
        <f>IFERROR(__xludf.DUMMYFUNCTION("""COMPUTED_VALUE"""),"PI6101Y")</f>
        <v>PI6101Y</v>
      </c>
      <c r="C1453" s="186"/>
      <c r="D1453" s="186" t="str">
        <f>IFERROR(__xludf.DUMMYFUNCTION("""COMPUTED_VALUE"""),"FALSO")</f>
        <v>FALSO</v>
      </c>
    </row>
    <row r="1454">
      <c r="B1454" s="186" t="str">
        <f>IFERROR(__xludf.DUMMYFUNCTION("""COMPUTED_VALUE"""),"PI7501Y")</f>
        <v>PI7501Y</v>
      </c>
      <c r="C1454" s="186"/>
      <c r="D1454" s="186" t="str">
        <f>IFERROR(__xludf.DUMMYFUNCTION("""COMPUTED_VALUE"""),"FALSO")</f>
        <v>FALSO</v>
      </c>
    </row>
    <row r="1455">
      <c r="B1455" s="186" t="str">
        <f>IFERROR(__xludf.DUMMYFUNCTION("""COMPUTED_VALUE"""),"PI7480Y")</f>
        <v>PI7480Y</v>
      </c>
      <c r="C1455" s="186"/>
      <c r="D1455" s="186" t="str">
        <f>IFERROR(__xludf.DUMMYFUNCTION("""COMPUTED_VALUE"""),"FALSO")</f>
        <v>FALSO</v>
      </c>
    </row>
    <row r="1456">
      <c r="B1456" s="186" t="str">
        <f>IFERROR(__xludf.DUMMYFUNCTION("""COMPUTED_VALUE"""),"PI4564Y")</f>
        <v>PI4564Y</v>
      </c>
      <c r="C1456" s="186" t="str">
        <f>IFERROR(__xludf.DUMMYFUNCTION("""COMPUTED_VALUE"""),"BOLSA LANCHEIRA TERMICA AZUL")</f>
        <v>BOLSA LANCHEIRA TERMICA AZUL</v>
      </c>
      <c r="D1456" s="186" t="str">
        <f>IFERROR(__xludf.DUMMYFUNCTION("""COMPUTED_VALUE"""),"FALSO")</f>
        <v>FALSO</v>
      </c>
    </row>
    <row r="1457">
      <c r="B1457" s="186" t="str">
        <f>IFERROR(__xludf.DUMMYFUNCTION("""COMPUTED_VALUE"""),"PI5378Y")</f>
        <v>PI5378Y</v>
      </c>
      <c r="C1457" s="186"/>
      <c r="D1457" s="186" t="str">
        <f>IFERROR(__xludf.DUMMYFUNCTION("""COMPUTED_VALUE"""),"FALSO")</f>
        <v>FALSO</v>
      </c>
    </row>
    <row r="1458">
      <c r="B1458" s="186" t="str">
        <f>IFERROR(__xludf.DUMMYFUNCTION("""COMPUTED_VALUE"""),"PI7819Y")</f>
        <v>PI7819Y</v>
      </c>
      <c r="C1458" s="186"/>
      <c r="D1458" s="186" t="str">
        <f>IFERROR(__xludf.DUMMYFUNCTION("""COMPUTED_VALUE"""),"FALSO")</f>
        <v>FALSO</v>
      </c>
    </row>
    <row r="1459">
      <c r="B1459" s="186" t="str">
        <f>IFERROR(__xludf.DUMMYFUNCTION("""COMPUTED_VALUE"""),"PI7211Y")</f>
        <v>PI7211Y</v>
      </c>
      <c r="C1459" s="186"/>
      <c r="D1459" s="186" t="str">
        <f>IFERROR(__xludf.DUMMYFUNCTION("""COMPUTED_VALUE"""),"FALSO")</f>
        <v>FALSO</v>
      </c>
    </row>
    <row r="1460">
      <c r="B1460" s="186" t="str">
        <f>IFERROR(__xludf.DUMMYFUNCTION("""COMPUTED_VALUE"""),"PI7588Y")</f>
        <v>PI7588Y</v>
      </c>
      <c r="C1460" s="186"/>
      <c r="D1460" s="186" t="str">
        <f>IFERROR(__xludf.DUMMYFUNCTION("""COMPUTED_VALUE"""),"FALSO")</f>
        <v>FALSO</v>
      </c>
    </row>
    <row r="1461">
      <c r="B1461" s="186" t="str">
        <f>IFERROR(__xludf.DUMMYFUNCTION("""COMPUTED_VALUE"""),"PI7522Y")</f>
        <v>PI7522Y</v>
      </c>
      <c r="C1461" s="186"/>
      <c r="D1461" s="186" t="str">
        <f>IFERROR(__xludf.DUMMYFUNCTION("""COMPUTED_VALUE"""),"FALSO")</f>
        <v>FALSO</v>
      </c>
    </row>
    <row r="1462">
      <c r="B1462" s="186" t="str">
        <f>IFERROR(__xludf.DUMMYFUNCTION("""COMPUTED_VALUE"""),"PI6898Y")</f>
        <v>PI6898Y</v>
      </c>
      <c r="C1462" s="186"/>
      <c r="D1462" s="186" t="str">
        <f>IFERROR(__xludf.DUMMYFUNCTION("""COMPUTED_VALUE"""),"FALSO")</f>
        <v>FALSO</v>
      </c>
    </row>
    <row r="1463">
      <c r="B1463" s="186" t="str">
        <f>IFERROR(__xludf.DUMMYFUNCTION("""COMPUTED_VALUE"""),"PI6908Y")</f>
        <v>PI6908Y</v>
      </c>
      <c r="C1463" s="186"/>
      <c r="D1463" s="186" t="str">
        <f>IFERROR(__xludf.DUMMYFUNCTION("""COMPUTED_VALUE"""),"FALSO")</f>
        <v>FALSO</v>
      </c>
    </row>
    <row r="1464">
      <c r="B1464" s="186" t="str">
        <f>IFERROR(__xludf.DUMMYFUNCTION("""COMPUTED_VALUE"""),"PI7418Y")</f>
        <v>PI7418Y</v>
      </c>
      <c r="C1464" s="186"/>
      <c r="D1464" s="186" t="str">
        <f>IFERROR(__xludf.DUMMYFUNCTION("""COMPUTED_VALUE"""),"FALSO")</f>
        <v>FALSO</v>
      </c>
    </row>
    <row r="1465">
      <c r="B1465" s="186" t="str">
        <f>IFERROR(__xludf.DUMMYFUNCTION("""COMPUTED_VALUE"""),"PI7499Y")</f>
        <v>PI7499Y</v>
      </c>
      <c r="C1465" s="186"/>
      <c r="D1465" s="186" t="str">
        <f>IFERROR(__xludf.DUMMYFUNCTION("""COMPUTED_VALUE"""),"FALSO")</f>
        <v>FALSO</v>
      </c>
    </row>
    <row r="1466">
      <c r="B1466" s="186" t="str">
        <f>IFERROR(__xludf.DUMMYFUNCTION("""COMPUTED_VALUE"""),"PI5361Y")</f>
        <v>PI5361Y</v>
      </c>
      <c r="C1466" s="186"/>
      <c r="D1466" s="186" t="str">
        <f>IFERROR(__xludf.DUMMYFUNCTION("""COMPUTED_VALUE"""),"FALSO")</f>
        <v>FALSO</v>
      </c>
    </row>
    <row r="1467">
      <c r="B1467" s="186" t="str">
        <f>IFERROR(__xludf.DUMMYFUNCTION("""COMPUTED_VALUE"""),"PI5359Y")</f>
        <v>PI5359Y</v>
      </c>
      <c r="C1467" s="186"/>
      <c r="D1467" s="186" t="str">
        <f>IFERROR(__xludf.DUMMYFUNCTION("""COMPUTED_VALUE"""),"FALSO")</f>
        <v>FALSO</v>
      </c>
    </row>
    <row r="1468">
      <c r="B1468" s="186" t="str">
        <f>IFERROR(__xludf.DUMMYFUNCTION("""COMPUTED_VALUE"""),"PI6100Y")</f>
        <v>PI6100Y</v>
      </c>
      <c r="C1468" s="186"/>
      <c r="D1468" s="186" t="str">
        <f>IFERROR(__xludf.DUMMYFUNCTION("""COMPUTED_VALUE"""),"FALSO")</f>
        <v>FALSO</v>
      </c>
    </row>
    <row r="1469">
      <c r="B1469" s="186" t="str">
        <f>IFERROR(__xludf.DUMMYFUNCTION("""COMPUTED_VALUE"""),"PI5856Y")</f>
        <v>PI5856Y</v>
      </c>
      <c r="C1469" s="186"/>
      <c r="D1469" s="186" t="str">
        <f>IFERROR(__xludf.DUMMYFUNCTION("""COMPUTED_VALUE"""),"FALSO")</f>
        <v>FALSO</v>
      </c>
    </row>
    <row r="1470">
      <c r="B1470" s="186" t="str">
        <f>IFERROR(__xludf.DUMMYFUNCTION("""COMPUTED_VALUE"""),"PI6093Y")</f>
        <v>PI6093Y</v>
      </c>
      <c r="C1470" s="186"/>
      <c r="D1470" s="186" t="str">
        <f>IFERROR(__xludf.DUMMYFUNCTION("""COMPUTED_VALUE"""),"FALSO")</f>
        <v>FALSO</v>
      </c>
    </row>
    <row r="1471">
      <c r="B1471" s="186" t="str">
        <f>IFERROR(__xludf.DUMMYFUNCTION("""COMPUTED_VALUE"""),"PI6449Y")</f>
        <v>PI6449Y</v>
      </c>
      <c r="C1471" s="186"/>
      <c r="D1471" s="186" t="str">
        <f>IFERROR(__xludf.DUMMYFUNCTION("""COMPUTED_VALUE"""),"FALSO")</f>
        <v>FALSO</v>
      </c>
    </row>
    <row r="1472">
      <c r="B1472" s="186" t="str">
        <f>IFERROR(__xludf.DUMMYFUNCTION("""COMPUTED_VALUE"""),"PI5306Y")</f>
        <v>PI5306Y</v>
      </c>
      <c r="C1472" s="186" t="str">
        <f>IFERROR(__xludf.DUMMYFUNCTION("""COMPUTED_VALUE"""),"CARTEIRA HP")</f>
        <v>CARTEIRA HP</v>
      </c>
      <c r="D1472" s="186" t="str">
        <f>IFERROR(__xludf.DUMMYFUNCTION("""COMPUTED_VALUE"""),"FALSO")</f>
        <v>FALSO</v>
      </c>
    </row>
    <row r="1473">
      <c r="B1473" s="186" t="str">
        <f>IFERROR(__xludf.DUMMYFUNCTION("""COMPUTED_VALUE"""),"PI6450Y")</f>
        <v>PI6450Y</v>
      </c>
      <c r="C1473" s="186"/>
      <c r="D1473" s="186" t="str">
        <f>IFERROR(__xludf.DUMMYFUNCTION("""COMPUTED_VALUE"""),"FALSO")</f>
        <v>FALSO</v>
      </c>
    </row>
    <row r="1474">
      <c r="B1474" s="186" t="str">
        <f>IFERROR(__xludf.DUMMYFUNCTION("""COMPUTED_VALUE"""),"PI7291Y")</f>
        <v>PI7291Y</v>
      </c>
      <c r="C1474" s="186"/>
      <c r="D1474" s="186" t="str">
        <f>IFERROR(__xludf.DUMMYFUNCTION("""COMPUTED_VALUE"""),"FALSO")</f>
        <v>FALSO</v>
      </c>
    </row>
    <row r="1475">
      <c r="B1475" s="186" t="str">
        <f>IFERROR(__xludf.DUMMYFUNCTION("""COMPUTED_VALUE"""),"PI6092Y")</f>
        <v>PI6092Y</v>
      </c>
      <c r="C1475" s="186"/>
      <c r="D1475" s="186" t="str">
        <f>IFERROR(__xludf.DUMMYFUNCTION("""COMPUTED_VALUE"""),"FALSO")</f>
        <v>FALSO</v>
      </c>
    </row>
    <row r="1476">
      <c r="B1476" s="186" t="str">
        <f>IFERROR(__xludf.DUMMYFUNCTION("""COMPUTED_VALUE"""),"PI7289Y")</f>
        <v>PI7289Y</v>
      </c>
      <c r="C1476" s="186"/>
      <c r="D1476" s="186" t="str">
        <f>IFERROR(__xludf.DUMMYFUNCTION("""COMPUTED_VALUE"""),"FALSO")</f>
        <v>FALSO</v>
      </c>
    </row>
    <row r="1477">
      <c r="B1477" s="186" t="str">
        <f>IFERROR(__xludf.DUMMYFUNCTION("""COMPUTED_VALUE"""),"PI7290Y")</f>
        <v>PI7290Y</v>
      </c>
      <c r="C1477" s="186"/>
      <c r="D1477" s="186" t="str">
        <f>IFERROR(__xludf.DUMMYFUNCTION("""COMPUTED_VALUE"""),"FALSO")</f>
        <v>FALSO</v>
      </c>
    </row>
    <row r="1478">
      <c r="B1478" s="186" t="str">
        <f>IFERROR(__xludf.DUMMYFUNCTION("""COMPUTED_VALUE"""),"PI7292Y")</f>
        <v>PI7292Y</v>
      </c>
      <c r="C1478" s="186"/>
      <c r="D1478" s="186" t="str">
        <f>IFERROR(__xludf.DUMMYFUNCTION("""COMPUTED_VALUE"""),"FALSO")</f>
        <v>FALSO</v>
      </c>
    </row>
    <row r="1479">
      <c r="B1479" s="186" t="str">
        <f>IFERROR(__xludf.DUMMYFUNCTION("""COMPUTED_VALUE"""),"PI6529Y")</f>
        <v>PI6529Y</v>
      </c>
      <c r="C1479" s="186" t="str">
        <f>IFERROR(__xludf.DUMMYFUNCTION("""COMPUTED_VALUE"""),"CARTEIRA ALÇA")</f>
        <v>CARTEIRA ALÇA</v>
      </c>
      <c r="D1479" s="186" t="str">
        <f>IFERROR(__xludf.DUMMYFUNCTION("""COMPUTED_VALUE"""),"FALSO")</f>
        <v>FALSO</v>
      </c>
    </row>
    <row r="1480">
      <c r="B1480" s="186" t="str">
        <f>IFERROR(__xludf.DUMMYFUNCTION("""COMPUTED_VALUE"""),"PI6670Y")</f>
        <v>PI6670Y</v>
      </c>
      <c r="C1480" s="186"/>
      <c r="D1480" s="186" t="str">
        <f>IFERROR(__xludf.DUMMYFUNCTION("""COMPUTED_VALUE"""),"FALSO")</f>
        <v>FALSO</v>
      </c>
    </row>
    <row r="1481">
      <c r="B1481" s="186" t="str">
        <f>IFERROR(__xludf.DUMMYFUNCTION("""COMPUTED_VALUE"""),"PI5329Y")</f>
        <v>PI5329Y</v>
      </c>
      <c r="C1481" s="186"/>
      <c r="D1481" s="186" t="str">
        <f>IFERROR(__xludf.DUMMYFUNCTION("""COMPUTED_VALUE"""),"FALSO")</f>
        <v>FALSO</v>
      </c>
    </row>
    <row r="1482">
      <c r="B1482" s="186" t="str">
        <f>IFERROR(__xludf.DUMMYFUNCTION("""COMPUTED_VALUE"""),"PI6448Y")</f>
        <v>PI6448Y</v>
      </c>
      <c r="C1482" s="186"/>
      <c r="D1482" s="186" t="str">
        <f>IFERROR(__xludf.DUMMYFUNCTION("""COMPUTED_VALUE"""),"FALSO")</f>
        <v>FALSO</v>
      </c>
    </row>
    <row r="1483">
      <c r="B1483" s="186" t="str">
        <f>IFERROR(__xludf.DUMMYFUNCTION("""COMPUTED_VALUE"""),"PI6667Y")</f>
        <v>PI6667Y</v>
      </c>
      <c r="C1483" s="186"/>
      <c r="D1483" s="186" t="str">
        <f>IFERROR(__xludf.DUMMYFUNCTION("""COMPUTED_VALUE"""),"FALSO")</f>
        <v>FALSO</v>
      </c>
    </row>
    <row r="1484">
      <c r="B1484" s="186"/>
      <c r="C1484" s="186"/>
      <c r="D1484" s="186" t="str">
        <f>IFERROR(__xludf.DUMMYFUNCTION("""COMPUTED_VALUE"""),"FALSO")</f>
        <v>FALSO</v>
      </c>
    </row>
    <row r="1485">
      <c r="B1485" s="186" t="str">
        <f>IFERROR(__xludf.DUMMYFUNCTION("""COMPUTED_VALUE"""),"PI7383Y")</f>
        <v>PI7383Y</v>
      </c>
      <c r="C1485" s="186" t="str">
        <f>IFERROR(__xludf.DUMMYFUNCTION("""COMPUTED_VALUE"""),"PELUCIA 2 EM 1 COELHO E CARTOLA")</f>
        <v>PELUCIA 2 EM 1 COELHO E CARTOLA</v>
      </c>
      <c r="D1485" s="186" t="str">
        <f>IFERROR(__xludf.DUMMYFUNCTION("""COMPUTED_VALUE"""),"INMETRO Toys System 5 - Ordinance 302")</f>
        <v>INMETRO Toys System 5 - Ordinance 302</v>
      </c>
    </row>
    <row r="1486">
      <c r="B1486" s="186" t="str">
        <f>IFERROR(__xludf.DUMMYFUNCTION("""COMPUTED_VALUE"""),"CS2047")</f>
        <v>CS2047</v>
      </c>
      <c r="C1486" s="186" t="str">
        <f>IFERROR(__xludf.DUMMYFUNCTION("""COMPUTED_VALUE"""),"ABRIDOR DE GARRAFA ONCA")</f>
        <v>ABRIDOR DE GARRAFA ONCA</v>
      </c>
      <c r="D1486" s="186" t="str">
        <f>IFERROR(__xludf.DUMMYFUNCTION("""COMPUTED_VALUE"""),"FALSO")</f>
        <v>FALSO</v>
      </c>
    </row>
    <row r="1487">
      <c r="B1487" s="186" t="str">
        <f>IFERROR(__xludf.DUMMYFUNCTION("""COMPUTED_VALUE"""),"AC2278Y")</f>
        <v>AC2278Y</v>
      </c>
      <c r="C1487" s="186" t="str">
        <f>IFERROR(__xludf.DUMMYFUNCTION("""COMPUTED_VALUE"""),"AC PARA PI7117Y 01")</f>
        <v>AC PARA PI7117Y 01</v>
      </c>
      <c r="D1487" s="186" t="str">
        <f>IFERROR(__xludf.DUMMYFUNCTION("""COMPUTED_VALUE"""),"FALSO")</f>
        <v>FALSO</v>
      </c>
    </row>
    <row r="1488">
      <c r="B1488" s="186" t="str">
        <f>IFERROR(__xludf.DUMMYFUNCTION("""COMPUTED_VALUE"""),"AC2279Y")</f>
        <v>AC2279Y</v>
      </c>
      <c r="C1488" s="186" t="str">
        <f>IFERROR(__xludf.DUMMYFUNCTION("""COMPUTED_VALUE"""),"AC PARA PI7117Y 02")</f>
        <v>AC PARA PI7117Y 02</v>
      </c>
      <c r="D1488" s="186" t="str">
        <f>IFERROR(__xludf.DUMMYFUNCTION("""COMPUTED_VALUE"""),"FALSO")</f>
        <v>FALSO</v>
      </c>
    </row>
    <row r="1489">
      <c r="B1489" s="186" t="str">
        <f>IFERROR(__xludf.DUMMYFUNCTION("""COMPUTED_VALUE"""),"AC2216Y")</f>
        <v>AC2216Y</v>
      </c>
      <c r="C1489" s="186" t="str">
        <f>IFERROR(__xludf.DUMMYFUNCTION("""COMPUTED_VALUE"""),"AC 1 FOR PI6231Y")</f>
        <v>AC 1 FOR PI6231Y</v>
      </c>
      <c r="D1489" s="186" t="str">
        <f>IFERROR(__xludf.DUMMYFUNCTION("""COMPUTED_VALUE"""),"FALSO")</f>
        <v>FALSO</v>
      </c>
    </row>
    <row r="1490">
      <c r="B1490" s="186" t="str">
        <f>IFERROR(__xludf.DUMMYFUNCTION("""COMPUTED_VALUE"""),"AC2218Y")</f>
        <v>AC2218Y</v>
      </c>
      <c r="C1490" s="186" t="str">
        <f>IFERROR(__xludf.DUMMYFUNCTION("""COMPUTED_VALUE"""),"AC FOR PI6463Y")</f>
        <v>AC FOR PI6463Y</v>
      </c>
      <c r="D1490" s="186" t="str">
        <f>IFERROR(__xludf.DUMMYFUNCTION("""COMPUTED_VALUE"""),"FALSO")</f>
        <v>FALSO</v>
      </c>
    </row>
    <row r="1491">
      <c r="B1491" s="186" t="str">
        <f>IFERROR(__xludf.DUMMYFUNCTION("""COMPUTED_VALUE"""),"AC2217Y")</f>
        <v>AC2217Y</v>
      </c>
      <c r="C1491" s="186" t="str">
        <f>IFERROR(__xludf.DUMMYFUNCTION("""COMPUTED_VALUE"""),"AC 2 FOR PI6231Y")</f>
        <v>AC 2 FOR PI6231Y</v>
      </c>
      <c r="D1491" s="186" t="str">
        <f>IFERROR(__xludf.DUMMYFUNCTION("""COMPUTED_VALUE"""),"FALSO")</f>
        <v>FALSO</v>
      </c>
    </row>
    <row r="1492">
      <c r="B1492" s="186" t="str">
        <f>IFERROR(__xludf.DUMMYFUNCTION("""COMPUTED_VALUE"""),"AC2163Y")</f>
        <v>AC2163Y</v>
      </c>
      <c r="C1492" s="186" t="str">
        <f>IFERROR(__xludf.DUMMYFUNCTION("""COMPUTED_VALUE"""),"AC CORDINHA PARA PI5095Y")</f>
        <v>AC CORDINHA PARA PI5095Y</v>
      </c>
      <c r="D1492" s="186" t="str">
        <f>IFERROR(__xludf.DUMMYFUNCTION("""COMPUTED_VALUE"""),"FALSO")</f>
        <v>FALSO</v>
      </c>
    </row>
    <row r="1493">
      <c r="B1493" s="186" t="str">
        <f>IFERROR(__xludf.DUMMYFUNCTION("""COMPUTED_VALUE"""),"AC2251Y")</f>
        <v>AC2251Y</v>
      </c>
      <c r="C1493" s="186" t="str">
        <f>IFERROR(__xludf.DUMMYFUNCTION("""COMPUTED_VALUE"""),"AC PARA PI6708Y")</f>
        <v>AC PARA PI6708Y</v>
      </c>
      <c r="D1493" s="186" t="str">
        <f>IFERROR(__xludf.DUMMYFUNCTION("""COMPUTED_VALUE"""),"FALSO")</f>
        <v>FALSO</v>
      </c>
    </row>
    <row r="1494">
      <c r="B1494" s="186" t="str">
        <f>IFERROR(__xludf.DUMMYFUNCTION("""COMPUTED_VALUE"""),"AC2264Y")</f>
        <v>AC2264Y</v>
      </c>
      <c r="C1494" s="186" t="str">
        <f>IFERROR(__xludf.DUMMYFUNCTION("""COMPUTED_VALUE"""),"AC PARA PI4753Y")</f>
        <v>AC PARA PI4753Y</v>
      </c>
      <c r="D1494" s="186" t="str">
        <f>IFERROR(__xludf.DUMMYFUNCTION("""COMPUTED_VALUE"""),"FALSO")</f>
        <v>FALSO</v>
      </c>
    </row>
    <row r="1495">
      <c r="B1495" s="186" t="str">
        <f>IFERROR(__xludf.DUMMYFUNCTION("""COMPUTED_VALUE"""),"AC2257Y")</f>
        <v>AC2257Y</v>
      </c>
      <c r="C1495" s="186" t="str">
        <f>IFERROR(__xludf.DUMMYFUNCTION("""COMPUTED_VALUE"""),"AC PARA PI5093Y")</f>
        <v>AC PARA PI5093Y</v>
      </c>
      <c r="D1495" s="186" t="str">
        <f>IFERROR(__xludf.DUMMYFUNCTION("""COMPUTED_VALUE"""),"FALSO")</f>
        <v>FALSO</v>
      </c>
    </row>
    <row r="1496">
      <c r="B1496" s="186" t="str">
        <f>IFERROR(__xludf.DUMMYFUNCTION("""COMPUTED_VALUE"""),"AC2261Y")</f>
        <v>AC2261Y</v>
      </c>
      <c r="C1496" s="186" t="str">
        <f>IFERROR(__xludf.DUMMYFUNCTION("""COMPUTED_VALUE"""),"AC PARA PI5443Y")</f>
        <v>AC PARA PI5443Y</v>
      </c>
      <c r="D1496" s="186" t="str">
        <f>IFERROR(__xludf.DUMMYFUNCTION("""COMPUTED_VALUE"""),"FALSO")</f>
        <v>FALSO</v>
      </c>
    </row>
    <row r="1497">
      <c r="B1497" s="186" t="str">
        <f>IFERROR(__xludf.DUMMYFUNCTION("""COMPUTED_VALUE"""),"AC2258Y")</f>
        <v>AC2258Y</v>
      </c>
      <c r="C1497" s="186" t="str">
        <f>IFERROR(__xludf.DUMMYFUNCTION("""COMPUTED_VALUE"""),"AC PARA PI6287Y")</f>
        <v>AC PARA PI6287Y</v>
      </c>
      <c r="D1497" s="186" t="str">
        <f>IFERROR(__xludf.DUMMYFUNCTION("""COMPUTED_VALUE"""),"FALSO")</f>
        <v>FALSO</v>
      </c>
    </row>
    <row r="1498">
      <c r="B1498" s="186" t="str">
        <f>IFERROR(__xludf.DUMMYFUNCTION("""COMPUTED_VALUE"""),"AC2260Y")</f>
        <v>AC2260Y</v>
      </c>
      <c r="C1498" s="186" t="str">
        <f>IFERROR(__xludf.DUMMYFUNCTION("""COMPUTED_VALUE"""),"AC PARA PI6352")</f>
        <v>AC PARA PI6352</v>
      </c>
      <c r="D1498" s="186" t="str">
        <f>IFERROR(__xludf.DUMMYFUNCTION("""COMPUTED_VALUE"""),"FALSO")</f>
        <v>FALSO</v>
      </c>
    </row>
    <row r="1499">
      <c r="B1499" s="186" t="str">
        <f>IFERROR(__xludf.DUMMYFUNCTION("""COMPUTED_VALUE"""),"AC2259Y")</f>
        <v>AC2259Y</v>
      </c>
      <c r="C1499" s="186" t="str">
        <f>IFERROR(__xludf.DUMMYFUNCTION("""COMPUTED_VALUE"""),"AC PARA PI6371Y")</f>
        <v>AC PARA PI6371Y</v>
      </c>
      <c r="D1499" s="186" t="str">
        <f>IFERROR(__xludf.DUMMYFUNCTION("""COMPUTED_VALUE"""),"FALSO")</f>
        <v>FALSO</v>
      </c>
    </row>
    <row r="1500">
      <c r="B1500" s="186" t="str">
        <f>IFERROR(__xludf.DUMMYFUNCTION("""COMPUTED_VALUE"""),"AC2162Y")</f>
        <v>AC2162Y</v>
      </c>
      <c r="C1500" s="186" t="str">
        <f>IFERROR(__xludf.DUMMYFUNCTION("""COMPUTED_VALUE"""),"AC FREIO PARA PI5075Y E PI5076Y")</f>
        <v>AC FREIO PARA PI5075Y E PI5076Y</v>
      </c>
      <c r="D1500" s="186" t="str">
        <f>IFERROR(__xludf.DUMMYFUNCTION("""COMPUTED_VALUE"""),"FALSO")</f>
        <v>FALSO</v>
      </c>
    </row>
    <row r="1501">
      <c r="B1501" s="186" t="str">
        <f>IFERROR(__xludf.DUMMYFUNCTION("""COMPUTED_VALUE"""),"AC2202Y")</f>
        <v>AC2202Y</v>
      </c>
      <c r="C1501" s="186" t="str">
        <f>IFERROR(__xludf.DUMMYFUNCTION("""COMPUTED_VALUE"""),"ACESSORIO PARA PI5140Y")</f>
        <v>ACESSORIO PARA PI5140Y</v>
      </c>
      <c r="D1501" s="186" t="str">
        <f>IFERROR(__xludf.DUMMYFUNCTION("""COMPUTED_VALUE"""),"FALSO")</f>
        <v>FALSO</v>
      </c>
    </row>
    <row r="1502">
      <c r="B1502" s="186" t="str">
        <f>IFERROR(__xludf.DUMMYFUNCTION("""COMPUTED_VALUE"""),"AC2252Y")</f>
        <v>AC2252Y</v>
      </c>
      <c r="C1502" s="186" t="str">
        <f>IFERROR(__xludf.DUMMYFUNCTION("""COMPUTED_VALUE"""),"AC CAPA EXTRA PARA PI7040Y")</f>
        <v>AC CAPA EXTRA PARA PI7040Y</v>
      </c>
      <c r="D1502" s="186" t="str">
        <f>IFERROR(__xludf.DUMMYFUNCTION("""COMPUTED_VALUE"""),"FALSO")</f>
        <v>FALSO</v>
      </c>
    </row>
    <row r="1503">
      <c r="B1503" s="186" t="str">
        <f>IFERROR(__xludf.DUMMYFUNCTION("""COMPUTED_VALUE"""),"AC2215Y")</f>
        <v>AC2215Y</v>
      </c>
      <c r="C1503" s="186" t="str">
        <f>IFERROR(__xludf.DUMMYFUNCTION("""COMPUTED_VALUE"""),"AC FOR PEN PI5936Y")</f>
        <v>AC FOR PEN PI5936Y</v>
      </c>
      <c r="D1503" s="186" t="str">
        <f>IFERROR(__xludf.DUMMYFUNCTION("""COMPUTED_VALUE"""),"FALSO")</f>
        <v>FALSO</v>
      </c>
    </row>
    <row r="1504">
      <c r="B1504" s="186" t="str">
        <f>IFERROR(__xludf.DUMMYFUNCTION("""COMPUTED_VALUE"""),"AC2176Y")</f>
        <v>AC2176Y</v>
      </c>
      <c r="C1504" s="186" t="str">
        <f>IFERROR(__xludf.DUMMYFUNCTION("""COMPUTED_VALUE"""),"AC PARA PI4427Y")</f>
        <v>AC PARA PI4427Y</v>
      </c>
      <c r="D1504" s="186" t="str">
        <f>IFERROR(__xludf.DUMMYFUNCTION("""COMPUTED_VALUE"""),"FALSO")</f>
        <v>FALSO</v>
      </c>
    </row>
    <row r="1505">
      <c r="B1505" s="186" t="str">
        <f>IFERROR(__xludf.DUMMYFUNCTION("""COMPUTED_VALUE"""),"AC2231Y")</f>
        <v>AC2231Y</v>
      </c>
      <c r="C1505" s="186" t="str">
        <f>IFERROR(__xludf.DUMMYFUNCTION("""COMPUTED_VALUE"""),"AC PARA PI4669Y")</f>
        <v>AC PARA PI4669Y</v>
      </c>
      <c r="D1505" s="186" t="str">
        <f>IFERROR(__xludf.DUMMYFUNCTION("""COMPUTED_VALUE"""),"FALSO")</f>
        <v>FALSO</v>
      </c>
    </row>
    <row r="1506">
      <c r="B1506" s="186" t="str">
        <f>IFERROR(__xludf.DUMMYFUNCTION("""COMPUTED_VALUE"""),"AC2169Y")</f>
        <v>AC2169Y</v>
      </c>
      <c r="C1506" s="186" t="str">
        <f>IFERROR(__xludf.DUMMYFUNCTION("""COMPUTED_VALUE"""),"AC PARA PI5081Y E PI5082Y COM ALCA")</f>
        <v>AC PARA PI5081Y E PI5082Y COM ALCA</v>
      </c>
      <c r="D1506" s="186" t="str">
        <f>IFERROR(__xludf.DUMMYFUNCTION("""COMPUTED_VALUE"""),"FALSO")</f>
        <v>FALSO</v>
      </c>
    </row>
    <row r="1507">
      <c r="B1507" s="186" t="str">
        <f>IFERROR(__xludf.DUMMYFUNCTION("""COMPUTED_VALUE"""),"AC2170Y")</f>
        <v>AC2170Y</v>
      </c>
      <c r="C1507" s="186" t="str">
        <f>IFERROR(__xludf.DUMMYFUNCTION("""COMPUTED_VALUE"""),"AC PARA PI5081Y E PI5082Y SEM ALCA")</f>
        <v>AC PARA PI5081Y E PI5082Y SEM ALCA</v>
      </c>
      <c r="D1507" s="186" t="str">
        <f>IFERROR(__xludf.DUMMYFUNCTION("""COMPUTED_VALUE"""),"FALSO")</f>
        <v>FALSO</v>
      </c>
    </row>
    <row r="1508">
      <c r="B1508" s="186" t="str">
        <f>IFERROR(__xludf.DUMMYFUNCTION("""COMPUTED_VALUE"""),"AC2168Y")</f>
        <v>AC2168Y</v>
      </c>
      <c r="C1508" s="186" t="str">
        <f>IFERROR(__xludf.DUMMYFUNCTION("""COMPUTED_VALUE"""),"AC PARA PI5159Y")</f>
        <v>AC PARA PI5159Y</v>
      </c>
      <c r="D1508" s="186" t="str">
        <f>IFERROR(__xludf.DUMMYFUNCTION("""COMPUTED_VALUE"""),"FALSO")</f>
        <v>FALSO</v>
      </c>
    </row>
    <row r="1509">
      <c r="B1509" s="186" t="str">
        <f>IFERROR(__xludf.DUMMYFUNCTION("""COMPUTED_VALUE"""),"AC2159Y")</f>
        <v>AC2159Y</v>
      </c>
      <c r="C1509" s="186" t="str">
        <f>IFERROR(__xludf.DUMMYFUNCTION("""COMPUTED_VALUE"""),"AC PARA PI5171Y")</f>
        <v>AC PARA PI5171Y</v>
      </c>
      <c r="D1509" s="186" t="str">
        <f>IFERROR(__xludf.DUMMYFUNCTION("""COMPUTED_VALUE"""),"FALSO")</f>
        <v>FALSO</v>
      </c>
    </row>
    <row r="1510">
      <c r="B1510" s="186" t="str">
        <f>IFERROR(__xludf.DUMMYFUNCTION("""COMPUTED_VALUE"""),"AC2173Y")</f>
        <v>AC2173Y</v>
      </c>
      <c r="C1510" s="186" t="str">
        <f>IFERROR(__xludf.DUMMYFUNCTION("""COMPUTED_VALUE"""),"AC PARA PI5179Y")</f>
        <v>AC PARA PI5179Y</v>
      </c>
      <c r="D1510" s="186" t="str">
        <f>IFERROR(__xludf.DUMMYFUNCTION("""COMPUTED_VALUE"""),"FALSO")</f>
        <v>FALSO</v>
      </c>
    </row>
    <row r="1511">
      <c r="B1511" s="186" t="str">
        <f>IFERROR(__xludf.DUMMYFUNCTION("""COMPUTED_VALUE"""),"AC2171Y")</f>
        <v>AC2171Y</v>
      </c>
      <c r="C1511" s="186" t="str">
        <f>IFERROR(__xludf.DUMMYFUNCTION("""COMPUTED_VALUE"""),"AC PARA PI5196Y")</f>
        <v>AC PARA PI5196Y</v>
      </c>
      <c r="D1511" s="186" t="str">
        <f>IFERROR(__xludf.DUMMYFUNCTION("""COMPUTED_VALUE"""),"FALSO")</f>
        <v>FALSO</v>
      </c>
    </row>
    <row r="1512">
      <c r="B1512" s="186" t="str">
        <f>IFERROR(__xludf.DUMMYFUNCTION("""COMPUTED_VALUE"""),"AC2177Y")</f>
        <v>AC2177Y</v>
      </c>
      <c r="C1512" s="186" t="str">
        <f>IFERROR(__xludf.DUMMYFUNCTION("""COMPUTED_VALUE"""),"AC PARA PI5315Y")</f>
        <v>AC PARA PI5315Y</v>
      </c>
      <c r="D1512" s="186" t="str">
        <f>IFERROR(__xludf.DUMMYFUNCTION("""COMPUTED_VALUE"""),"FALSO")</f>
        <v>FALSO</v>
      </c>
    </row>
    <row r="1513">
      <c r="B1513" s="186" t="str">
        <f>IFERROR(__xludf.DUMMYFUNCTION("""COMPUTED_VALUE"""),"AC2209Y")</f>
        <v>AC2209Y</v>
      </c>
      <c r="C1513" s="186" t="str">
        <f>IFERROR(__xludf.DUMMYFUNCTION("""COMPUTED_VALUE"""),"AC PARA PI5479Y")</f>
        <v>AC PARA PI5479Y</v>
      </c>
      <c r="D1513" s="186" t="str">
        <f>IFERROR(__xludf.DUMMYFUNCTION("""COMPUTED_VALUE"""),"FALSO")</f>
        <v>FALSO</v>
      </c>
    </row>
    <row r="1514">
      <c r="B1514" s="186" t="str">
        <f>IFERROR(__xludf.DUMMYFUNCTION("""COMPUTED_VALUE"""),"AC2235Y")</f>
        <v>AC2235Y</v>
      </c>
      <c r="C1514" s="186" t="str">
        <f>IFERROR(__xludf.DUMMYFUNCTION("""COMPUTED_VALUE"""),"AC PARA PI5558Y")</f>
        <v>AC PARA PI5558Y</v>
      </c>
      <c r="D1514" s="186" t="str">
        <f>IFERROR(__xludf.DUMMYFUNCTION("""COMPUTED_VALUE"""),"FALSO")</f>
        <v>FALSO</v>
      </c>
    </row>
    <row r="1515">
      <c r="B1515" s="186" t="str">
        <f>IFERROR(__xludf.DUMMYFUNCTION("""COMPUTED_VALUE"""),"AC2210Y")</f>
        <v>AC2210Y</v>
      </c>
      <c r="C1515" s="186" t="str">
        <f>IFERROR(__xludf.DUMMYFUNCTION("""COMPUTED_VALUE"""),"AC PARA PI5867Y")</f>
        <v>AC PARA PI5867Y</v>
      </c>
      <c r="D1515" s="186" t="str">
        <f>IFERROR(__xludf.DUMMYFUNCTION("""COMPUTED_VALUE"""),"FALSO")</f>
        <v>FALSO</v>
      </c>
    </row>
    <row r="1516">
      <c r="B1516" s="186" t="str">
        <f>IFERROR(__xludf.DUMMYFUNCTION("""COMPUTED_VALUE"""),"AC2256Y")</f>
        <v>AC2256Y</v>
      </c>
      <c r="C1516" s="186" t="str">
        <f>IFERROR(__xludf.DUMMYFUNCTION("""COMPUTED_VALUE"""),"AC PARA PI6707Y")</f>
        <v>AC PARA PI6707Y</v>
      </c>
      <c r="D1516" s="186" t="str">
        <f>IFERROR(__xludf.DUMMYFUNCTION("""COMPUTED_VALUE"""),"FALSO")</f>
        <v>FALSO</v>
      </c>
    </row>
    <row r="1517">
      <c r="B1517" s="186" t="str">
        <f>IFERROR(__xludf.DUMMYFUNCTION("""COMPUTED_VALUE"""),"AC2233Y")</f>
        <v>AC2233Y</v>
      </c>
      <c r="C1517" s="186" t="str">
        <f>IFERROR(__xludf.DUMMYFUNCTION("""COMPUTED_VALUE"""),"AC CAIXA DE PRESENTE PARA PI6475Y")</f>
        <v>AC CAIXA DE PRESENTE PARA PI6475Y</v>
      </c>
      <c r="D1517" s="186" t="str">
        <f>IFERROR(__xludf.DUMMYFUNCTION("""COMPUTED_VALUE"""),"FALSO")</f>
        <v>FALSO</v>
      </c>
    </row>
    <row r="1518">
      <c r="B1518" s="186" t="str">
        <f>IFERROR(__xludf.DUMMYFUNCTION("""COMPUTED_VALUE"""),"AC2285Y")</f>
        <v>AC2285Y</v>
      </c>
      <c r="C1518" s="186"/>
      <c r="D1518" s="186" t="str">
        <f>IFERROR(__xludf.DUMMYFUNCTION("""COMPUTED_VALUE"""),"FALSO")</f>
        <v>FALSO</v>
      </c>
    </row>
    <row r="1519">
      <c r="B1519" s="186" t="str">
        <f>IFERROR(__xludf.DUMMYFUNCTION("""COMPUTED_VALUE"""),"AC2236Y")</f>
        <v>AC2236Y</v>
      </c>
      <c r="C1519" s="186" t="str">
        <f>IFERROR(__xludf.DUMMYFUNCTION("""COMPUTED_VALUE"""),"AC ALCAS")</f>
        <v>AC ALCAS</v>
      </c>
      <c r="D1519" s="186" t="str">
        <f>IFERROR(__xludf.DUMMYFUNCTION("""COMPUTED_VALUE"""),"FALSO")</f>
        <v>FALSO</v>
      </c>
    </row>
    <row r="1520">
      <c r="B1520" s="186" t="str">
        <f>IFERROR(__xludf.DUMMYFUNCTION("""COMPUTED_VALUE"""),"AC2241Y")</f>
        <v>AC2241Y</v>
      </c>
      <c r="C1520" s="186" t="str">
        <f>IFERROR(__xludf.DUMMYFUNCTION("""COMPUTED_VALUE"""),"AC MANUAL PARA PI6509Y")</f>
        <v>AC MANUAL PARA PI6509Y</v>
      </c>
      <c r="D1520" s="186" t="str">
        <f>IFERROR(__xludf.DUMMYFUNCTION("""COMPUTED_VALUE"""),"FALSO")</f>
        <v>FALSO</v>
      </c>
    </row>
    <row r="1521">
      <c r="B1521" s="186" t="str">
        <f>IFERROR(__xludf.DUMMYFUNCTION("""COMPUTED_VALUE"""),"AC2180Y")</f>
        <v>AC2180Y</v>
      </c>
      <c r="C1521" s="186" t="str">
        <f>IFERROR(__xludf.DUMMYFUNCTION("""COMPUTED_VALUE"""),"AC CANETA PARA PI4311Y")</f>
        <v>AC CANETA PARA PI4311Y</v>
      </c>
      <c r="D1521" s="186" t="str">
        <f>IFERROR(__xludf.DUMMYFUNCTION("""COMPUTED_VALUE"""),"FALSO")</f>
        <v>FALSO</v>
      </c>
    </row>
    <row r="1522">
      <c r="B1522" s="186" t="str">
        <f>IFERROR(__xludf.DUMMYFUNCTION("""COMPUTED_VALUE"""),"AC2180Y")</f>
        <v>AC2180Y</v>
      </c>
      <c r="C1522" s="186" t="str">
        <f>IFERROR(__xludf.DUMMYFUNCTION("""COMPUTED_VALUE"""),"AC CANETA PARA PI4311Y")</f>
        <v>AC CANETA PARA PI4311Y</v>
      </c>
      <c r="D1522" s="186" t="str">
        <f>IFERROR(__xludf.DUMMYFUNCTION("""COMPUTED_VALUE"""),"FALSO")</f>
        <v>FALSO</v>
      </c>
    </row>
    <row r="1523">
      <c r="B1523" s="186" t="str">
        <f>IFERROR(__xludf.DUMMYFUNCTION("""COMPUTED_VALUE"""),"AC2180Y")</f>
        <v>AC2180Y</v>
      </c>
      <c r="C1523" s="186" t="str">
        <f>IFERROR(__xludf.DUMMYFUNCTION("""COMPUTED_VALUE"""),"AC CANETA PARA PI4311Y")</f>
        <v>AC CANETA PARA PI4311Y</v>
      </c>
      <c r="D1523" s="186" t="str">
        <f>IFERROR(__xludf.DUMMYFUNCTION("""COMPUTED_VALUE"""),"FALSO")</f>
        <v>FALSO</v>
      </c>
    </row>
    <row r="1524">
      <c r="B1524" s="186" t="str">
        <f>IFERROR(__xludf.DUMMYFUNCTION("""COMPUTED_VALUE"""),"AC2164Y")</f>
        <v>AC2164Y</v>
      </c>
      <c r="C1524" s="186" t="str">
        <f>IFERROR(__xludf.DUMMYFUNCTION("""COMPUTED_VALUE"""),"AC CANETA PARA PI5123Y")</f>
        <v>AC CANETA PARA PI5123Y</v>
      </c>
      <c r="D1524" s="186" t="str">
        <f>IFERROR(__xludf.DUMMYFUNCTION("""COMPUTED_VALUE"""),"FALSO")</f>
        <v>FALSO</v>
      </c>
    </row>
    <row r="1525">
      <c r="B1525" s="186" t="str">
        <f>IFERROR(__xludf.DUMMYFUNCTION("""COMPUTED_VALUE"""),"AC2232Y")</f>
        <v>AC2232Y</v>
      </c>
      <c r="C1525" s="186" t="str">
        <f>IFERROR(__xludf.DUMMYFUNCTION("""COMPUTED_VALUE"""),"AC PLUGUE PARA PI6475Y")</f>
        <v>AC PLUGUE PARA PI6475Y</v>
      </c>
      <c r="D1525" s="186" t="str">
        <f>IFERROR(__xludf.DUMMYFUNCTION("""COMPUTED_VALUE"""),"FALSO")</f>
        <v>FALSO</v>
      </c>
    </row>
    <row r="1526">
      <c r="B1526" s="186" t="str">
        <f>IFERROR(__xludf.DUMMYFUNCTION("""COMPUTED_VALUE"""),"PI6727Y")</f>
        <v>PI6727Y</v>
      </c>
      <c r="C1526" s="186" t="str">
        <f>IFERROR(__xludf.DUMMYFUNCTION("""COMPUTED_VALUE"""),"PORTA RETRATO ACRILICO VERDE NEON G")</f>
        <v>PORTA RETRATO ACRILICO VERDE NEON G</v>
      </c>
      <c r="D1526" s="186" t="str">
        <f>IFERROR(__xludf.DUMMYFUNCTION("""COMPUTED_VALUE"""),"FALSO")</f>
        <v>FALSO</v>
      </c>
    </row>
    <row r="1527">
      <c r="B1527" s="186" t="str">
        <f>IFERROR(__xludf.DUMMYFUNCTION("""COMPUTED_VALUE"""),"PI6812Y")</f>
        <v>PI6812Y</v>
      </c>
      <c r="C1527" s="186" t="str">
        <f>IFERROR(__xludf.DUMMYFUNCTION("""COMPUTED_VALUE"""),"PORTA RETRATO ACRILICO VERDE NEON P")</f>
        <v>PORTA RETRATO ACRILICO VERDE NEON P</v>
      </c>
      <c r="D1527" s="186" t="str">
        <f>IFERROR(__xludf.DUMMYFUNCTION("""COMPUTED_VALUE"""),"FALSO")</f>
        <v>FALSO</v>
      </c>
    </row>
    <row r="1528">
      <c r="B1528" s="186" t="str">
        <f>IFERROR(__xludf.DUMMYFUNCTION("""COMPUTED_VALUE"""),"PI7099Y")</f>
        <v>PI7099Y</v>
      </c>
      <c r="C1528" s="186" t="str">
        <f>IFERROR(__xludf.DUMMYFUNCTION("""COMPUTED_VALUE"""),"LUMINARIA ACRILICO CORACAO")</f>
        <v>LUMINARIA ACRILICO CORACAO</v>
      </c>
      <c r="D1528" s="186" t="str">
        <f>IFERROR(__xludf.DUMMYFUNCTION("""COMPUTED_VALUE"""),"FALSO")</f>
        <v>FALSO</v>
      </c>
    </row>
    <row r="1529">
      <c r="B1529" s="186" t="str">
        <f>IFERROR(__xludf.DUMMYFUNCTION("""COMPUTED_VALUE"""),"PI7036Y")</f>
        <v>PI7036Y</v>
      </c>
      <c r="C1529" s="186" t="str">
        <f>IFERROR(__xludf.DUMMYFUNCTION("""COMPUTED_VALUE"""),"LUMINARIA ACRILICO FOGUETE")</f>
        <v>LUMINARIA ACRILICO FOGUETE</v>
      </c>
      <c r="D1529" s="186" t="str">
        <f>IFERROR(__xludf.DUMMYFUNCTION("""COMPUTED_VALUE"""),"FALSO")</f>
        <v>FALSO</v>
      </c>
    </row>
    <row r="1530">
      <c r="B1530" s="186" t="str">
        <f>IFERROR(__xludf.DUMMYFUNCTION("""COMPUTED_VALUE"""),"PI6726Y")</f>
        <v>PI6726Y</v>
      </c>
      <c r="C1530" s="186" t="str">
        <f>IFERROR(__xludf.DUMMYFUNCTION("""COMPUTED_VALUE"""),"PORTA RETRATO ACRILICO ROSA NEON G")</f>
        <v>PORTA RETRATO ACRILICO ROSA NEON G</v>
      </c>
      <c r="D1530" s="186" t="str">
        <f>IFERROR(__xludf.DUMMYFUNCTION("""COMPUTED_VALUE"""),"FALSO")</f>
        <v>FALSO</v>
      </c>
    </row>
    <row r="1531">
      <c r="B1531" s="186" t="str">
        <f>IFERROR(__xludf.DUMMYFUNCTION("""COMPUTED_VALUE"""),"PI6811Y")</f>
        <v>PI6811Y</v>
      </c>
      <c r="C1531" s="186" t="str">
        <f>IFERROR(__xludf.DUMMYFUNCTION("""COMPUTED_VALUE"""),"PORTA RETRATO ACRILICO ROSA NEON P")</f>
        <v>PORTA RETRATO ACRILICO ROSA NEON P</v>
      </c>
      <c r="D1531" s="186" t="str">
        <f>IFERROR(__xludf.DUMMYFUNCTION("""COMPUTED_VALUE"""),"FALSO")</f>
        <v>FALSO</v>
      </c>
    </row>
    <row r="1532">
      <c r="B1532" s="186" t="str">
        <f>IFERROR(__xludf.DUMMYFUNCTION("""COMPUTED_VALUE"""),"AC2214Y")</f>
        <v>AC2214Y</v>
      </c>
      <c r="C1532" s="186" t="str">
        <f>IFERROR(__xludf.DUMMYFUNCTION("""COMPUTED_VALUE"""),"AC SOCKS BUXIN 2")</f>
        <v>AC SOCKS BUXIN 2</v>
      </c>
      <c r="D1532" s="186" t="str">
        <f>IFERROR(__xludf.DUMMYFUNCTION("""COMPUTED_VALUE"""),"FALSO")</f>
        <v>FALSO</v>
      </c>
    </row>
    <row r="1533">
      <c r="B1533" s="186" t="str">
        <f>IFERROR(__xludf.DUMMYFUNCTION("""COMPUTED_VALUE"""),"AC2213Y")</f>
        <v>AC2213Y</v>
      </c>
      <c r="C1533" s="186" t="str">
        <f>IFERROR(__xludf.DUMMYFUNCTION("""COMPUTED_VALUE"""),"AC MEIAS BUXIN")</f>
        <v>AC MEIAS BUXIN</v>
      </c>
      <c r="D1533" s="186" t="str">
        <f>IFERROR(__xludf.DUMMYFUNCTION("""COMPUTED_VALUE"""),"FALSO")</f>
        <v>FALSO</v>
      </c>
    </row>
    <row r="1534">
      <c r="B1534" s="186" t="str">
        <f>IFERROR(__xludf.DUMMYFUNCTION("""COMPUTED_VALUE"""),"AC2242Y")</f>
        <v>AC2242Y</v>
      </c>
      <c r="C1534" s="186" t="str">
        <f>IFERROR(__xludf.DUMMYFUNCTION("""COMPUTED_VALUE"""),"AC ADESIVO PARA PI6509Y")</f>
        <v>AC ADESIVO PARA PI6509Y</v>
      </c>
      <c r="D1534" s="186" t="str">
        <f>IFERROR(__xludf.DUMMYFUNCTION("""COMPUTED_VALUE"""),"FALSO")</f>
        <v>FALSO</v>
      </c>
    </row>
    <row r="1535">
      <c r="B1535" s="186" t="str">
        <f>IFERROR(__xludf.DUMMYFUNCTION("""COMPUTED_VALUE"""),"AC2156Y")</f>
        <v>AC2156Y</v>
      </c>
      <c r="C1535" s="186" t="str">
        <f>IFERROR(__xludf.DUMMYFUNCTION("""COMPUTED_VALUE"""),"ACESSORIO PARA PI5047Y")</f>
        <v>ACESSORIO PARA PI5047Y</v>
      </c>
      <c r="D1535" s="186" t="str">
        <f>IFERROR(__xludf.DUMMYFUNCTION("""COMPUTED_VALUE"""),"FALSO")</f>
        <v>FALSO</v>
      </c>
    </row>
    <row r="1536">
      <c r="B1536" s="186" t="str">
        <f>IFERROR(__xludf.DUMMYFUNCTION("""COMPUTED_VALUE"""),"AC2161Y")</f>
        <v>AC2161Y</v>
      </c>
      <c r="C1536" s="186" t="str">
        <f>IFERROR(__xludf.DUMMYFUNCTION("""COMPUTED_VALUE"""),"AC RODA PARA PI5075Y E PI5076Y")</f>
        <v>AC RODA PARA PI5075Y E PI5076Y</v>
      </c>
      <c r="D1536" s="186" t="str">
        <f>IFERROR(__xludf.DUMMYFUNCTION("""COMPUTED_VALUE"""),"FALSO")</f>
        <v>FALSO</v>
      </c>
    </row>
    <row r="1537">
      <c r="B1537" s="186" t="str">
        <f>IFERROR(__xludf.DUMMYFUNCTION("""COMPUTED_VALUE"""),"AC2178Y")</f>
        <v>AC2178Y</v>
      </c>
      <c r="C1537" s="186" t="str">
        <f>IFERROR(__xludf.DUMMYFUNCTION("""COMPUTED_VALUE"""),"AC MADEIRA PARA PI5097Y")</f>
        <v>AC MADEIRA PARA PI5097Y</v>
      </c>
      <c r="D1537" s="186" t="str">
        <f>IFERROR(__xludf.DUMMYFUNCTION("""COMPUTED_VALUE"""),"FALSO")</f>
        <v>FALSO</v>
      </c>
    </row>
    <row r="1538">
      <c r="B1538" s="186" t="str">
        <f>IFERROR(__xludf.DUMMYFUNCTION("""COMPUTED_VALUE"""),"AC2165Y")</f>
        <v>AC2165Y</v>
      </c>
      <c r="C1538" s="186" t="str">
        <f>IFERROR(__xludf.DUMMYFUNCTION("""COMPUTED_VALUE"""),"AC MADEIRA PARA PI5095Y")</f>
        <v>AC MADEIRA PARA PI5095Y</v>
      </c>
      <c r="D1538" s="186" t="str">
        <f>IFERROR(__xludf.DUMMYFUNCTION("""COMPUTED_VALUE"""),"FALSO")</f>
        <v>FALSO</v>
      </c>
    </row>
    <row r="1539">
      <c r="B1539" s="186" t="str">
        <f>IFERROR(__xludf.DUMMYFUNCTION("""COMPUTED_VALUE"""),"PI7626Y")</f>
        <v>PI7626Y</v>
      </c>
      <c r="C1539" s="186" t="str">
        <f>IFERROR(__xludf.DUMMYFUNCTION("""COMPUTED_VALUE"""),"CANECA ADOCADINHOS UM CAFE E UM SORRISO")</f>
        <v>CANECA ADOCADINHOS UM CAFE E UM SORRISO</v>
      </c>
      <c r="D1539" s="186" t="str">
        <f>IFERROR(__xludf.DUMMYFUNCTION("""COMPUTED_VALUE"""),"FALSO")</f>
        <v>FALSO</v>
      </c>
    </row>
    <row r="1540">
      <c r="B1540" s="186" t="str">
        <f>IFERROR(__xludf.DUMMYFUNCTION("""COMPUTED_VALUE"""),"PI7629Y")</f>
        <v>PI7629Y</v>
      </c>
      <c r="C1540" s="186" t="str">
        <f>IFERROR(__xludf.DUMMYFUNCTION("""COMPUTED_VALUE"""),"CANECA ADOCADINHOS A VIDA PRESTA")</f>
        <v>CANECA ADOCADINHOS A VIDA PRESTA</v>
      </c>
      <c r="D1540" s="186" t="str">
        <f>IFERROR(__xludf.DUMMYFUNCTION("""COMPUTED_VALUE"""),"FALSO")</f>
        <v>FALSO</v>
      </c>
    </row>
    <row r="1541">
      <c r="B1541" s="186" t="str">
        <f>IFERROR(__xludf.DUMMYFUNCTION("""COMPUTED_VALUE"""),"PI7628Y")</f>
        <v>PI7628Y</v>
      </c>
      <c r="C1541" s="186" t="str">
        <f>IFERROR(__xludf.DUMMYFUNCTION("""COMPUTED_VALUE"""),"CANECA ADOCADINHOS PEQUENAS CONQUISTAS")</f>
        <v>CANECA ADOCADINHOS PEQUENAS CONQUISTAS</v>
      </c>
      <c r="D1541" s="186" t="str">
        <f>IFERROR(__xludf.DUMMYFUNCTION("""COMPUTED_VALUE"""),"FALSO")</f>
        <v>FALSO</v>
      </c>
    </row>
    <row r="1542">
      <c r="B1542" s="186" t="str">
        <f>IFERROR(__xludf.DUMMYFUNCTION("""COMPUTED_VALUE"""),"PI7627Y")</f>
        <v>PI7627Y</v>
      </c>
      <c r="C1542" s="186" t="str">
        <f>IFERROR(__xludf.DUMMYFUNCTION("""COMPUTED_VALUE"""),"CANECA ADOCADINHOS O MELHOR ESTA POR VIR")</f>
        <v>CANECA ADOCADINHOS O MELHOR ESTA POR VIR</v>
      </c>
      <c r="D1542" s="186" t="str">
        <f>IFERROR(__xludf.DUMMYFUNCTION("""COMPUTED_VALUE"""),"FALSO")</f>
        <v>FALSO</v>
      </c>
    </row>
    <row r="1543">
      <c r="B1543" s="186" t="str">
        <f>IFERROR(__xludf.DUMMYFUNCTION("""COMPUTED_VALUE"""),"PI7627Y")</f>
        <v>PI7627Y</v>
      </c>
      <c r="C1543" s="186" t="str">
        <f>IFERROR(__xludf.DUMMYFUNCTION("""COMPUTED_VALUE"""),"CANECA ADOCADINHOS O MELHOR ESTA POR VIR")</f>
        <v>CANECA ADOCADINHOS O MELHOR ESTA POR VIR</v>
      </c>
      <c r="D1543" s="186" t="str">
        <f>IFERROR(__xludf.DUMMYFUNCTION("""COMPUTED_VALUE"""),"FALSO")</f>
        <v>FALSO</v>
      </c>
    </row>
    <row r="1544">
      <c r="B1544" s="186" t="str">
        <f>IFERROR(__xludf.DUMMYFUNCTION("""COMPUTED_VALUE"""),"PI7497Y")</f>
        <v>PI7497Y</v>
      </c>
      <c r="C1544" s="186" t="str">
        <f>IFERROR(__xludf.DUMMYFUNCTION("""COMPUTED_VALUE"""),"UMIDIFICADOR DE AR INSPIRACAO")</f>
        <v>UMIDIFICADOR DE AR INSPIRACAO</v>
      </c>
      <c r="D1544" s="186" t="str">
        <f>IFERROR(__xludf.DUMMYFUNCTION("""COMPUTED_VALUE"""),"FALSO")</f>
        <v>FALSO</v>
      </c>
    </row>
    <row r="1545">
      <c r="B1545" s="186" t="str">
        <f>IFERROR(__xludf.DUMMYFUNCTION("""COMPUTED_VALUE"""),"PI6147Y")</f>
        <v>PI6147Y</v>
      </c>
      <c r="C1545" s="186" t="str">
        <f>IFERROR(__xludf.DUMMYFUNCTION("""COMPUTED_VALUE"""),"UMIDIFICADOR GATINHO")</f>
        <v>UMIDIFICADOR GATINHO</v>
      </c>
      <c r="D1545" s="186" t="str">
        <f>IFERROR(__xludf.DUMMYFUNCTION("""COMPUTED_VALUE"""),"FALSO")</f>
        <v>FALSO</v>
      </c>
    </row>
    <row r="1546">
      <c r="B1546" s="186" t="str">
        <f>IFERROR(__xludf.DUMMYFUNCTION("""COMPUTED_VALUE"""),"PI7266Y")</f>
        <v>PI7266Y</v>
      </c>
      <c r="C1546" s="186" t="str">
        <f>IFERROR(__xludf.DUMMYFUNCTION("""COMPUTED_VALUE"""),"PORTA RETRATO ALBUM HISTORIAS INCRIVEIS")</f>
        <v>PORTA RETRATO ALBUM HISTORIAS INCRIVEIS</v>
      </c>
      <c r="D1546" s="186" t="str">
        <f>IFERROR(__xludf.DUMMYFUNCTION("""COMPUTED_VALUE"""),"FALSO")</f>
        <v>FALSO</v>
      </c>
    </row>
    <row r="1547">
      <c r="B1547" s="186" t="str">
        <f>IFERROR(__xludf.DUMMYFUNCTION("""COMPUTED_VALUE"""),"PI6509Y")</f>
        <v>PI6509Y</v>
      </c>
      <c r="C1547" s="186" t="str">
        <f>IFERROR(__xludf.DUMMYFUNCTION("""COMPUTED_VALUE"""),"ALBUM GRAVADOR VERSAO DO DIRETOR")</f>
        <v>ALBUM GRAVADOR VERSAO DO DIRETOR</v>
      </c>
      <c r="D1547" s="186" t="str">
        <f>IFERROR(__xludf.DUMMYFUNCTION("""COMPUTED_VALUE"""),"FALSO")</f>
        <v>FALSO</v>
      </c>
    </row>
    <row r="1548">
      <c r="B1548" s="186" t="str">
        <f>IFERROR(__xludf.DUMMYFUNCTION("""COMPUTED_VALUE"""),"PI5803Y")</f>
        <v>PI5803Y</v>
      </c>
      <c r="C1548" s="186" t="str">
        <f>IFERROR(__xludf.DUMMYFUNCTION("""COMPUTED_VALUE"""),"ALBUM GRAVADOR SHOW DE FAMILIA")</f>
        <v>ALBUM GRAVADOR SHOW DE FAMILIA</v>
      </c>
      <c r="D1548" s="186" t="str">
        <f>IFERROR(__xludf.DUMMYFUNCTION("""COMPUTED_VALUE"""),"FALSO")</f>
        <v>FALSO</v>
      </c>
    </row>
    <row r="1549">
      <c r="B1549" s="186" t="str">
        <f>IFERROR(__xludf.DUMMYFUNCTION("""COMPUTED_VALUE"""),"CS2048")</f>
        <v>CS2048</v>
      </c>
      <c r="C1549" s="186" t="str">
        <f>IFERROR(__xludf.DUMMYFUNCTION("""COMPUTED_VALUE"""),"ALMOFADA E BALDE PARA PIPOCA NETFLIX TV")</f>
        <v>ALMOFADA E BALDE PARA PIPOCA NETFLIX TV</v>
      </c>
      <c r="D1549" s="186" t="str">
        <f>IFERROR(__xludf.DUMMYFUNCTION("""COMPUTED_VALUE"""),"FALSO")</f>
        <v>FALSO</v>
      </c>
    </row>
    <row r="1550">
      <c r="B1550" s="186" t="str">
        <f>IFERROR(__xludf.DUMMYFUNCTION("""COMPUTED_VALUE"""),"PI6049Y")</f>
        <v>PI6049Y</v>
      </c>
      <c r="C1550" s="186" t="str">
        <f>IFERROR(__xludf.DUMMYFUNCTION("""COMPUTED_VALUE"""),"KIT DE FERRAMENTAS SEMPRE DE OLEO")</f>
        <v>KIT DE FERRAMENTAS SEMPRE DE OLEO</v>
      </c>
      <c r="D1550" s="186" t="str">
        <f>IFERROR(__xludf.DUMMYFUNCTION("""COMPUTED_VALUE"""),"FALSO")</f>
        <v>FALSO</v>
      </c>
    </row>
    <row r="1551">
      <c r="B1551" s="186" t="str">
        <f>IFERROR(__xludf.DUMMYFUNCTION("""COMPUTED_VALUE"""),"CS2328")</f>
        <v>CS2328</v>
      </c>
      <c r="C1551" s="186" t="str">
        <f>IFERROR(__xludf.DUMMYFUNCTION("""COMPUTED_VALUE"""),"BONE AMARGUINHOS SOCORRO")</f>
        <v>BONE AMARGUINHOS SOCORRO</v>
      </c>
      <c r="D1551" s="186" t="str">
        <f>IFERROR(__xludf.DUMMYFUNCTION("""COMPUTED_VALUE"""),"FALSO")</f>
        <v>FALSO</v>
      </c>
    </row>
    <row r="1552">
      <c r="B1552" s="186" t="str">
        <f>IFERROR(__xludf.DUMMYFUNCTION("""COMPUTED_VALUE"""),"CS2329")</f>
        <v>CS2329</v>
      </c>
      <c r="C1552" s="186" t="str">
        <f>IFERROR(__xludf.DUMMYFUNCTION("""COMPUTED_VALUE"""),"BONE AMARGUINHOS JA ME ARREPENDI")</f>
        <v>BONE AMARGUINHOS JA ME ARREPENDI</v>
      </c>
      <c r="D1552" s="186" t="str">
        <f>IFERROR(__xludf.DUMMYFUNCTION("""COMPUTED_VALUE"""),"FALSO")</f>
        <v>FALSO</v>
      </c>
    </row>
    <row r="1553">
      <c r="B1553" s="186" t="str">
        <f>IFERROR(__xludf.DUMMYFUNCTION("""COMPUTED_VALUE"""),"CS2330")</f>
        <v>CS2330</v>
      </c>
      <c r="C1553" s="186" t="str">
        <f>IFERROR(__xludf.DUMMYFUNCTION("""COMPUTED_VALUE"""),"BONE AMARGUINHOS O ERRADO E VOCE")</f>
        <v>BONE AMARGUINHOS O ERRADO E VOCE</v>
      </c>
      <c r="D1553" s="186" t="str">
        <f>IFERROR(__xludf.DUMMYFUNCTION("""COMPUTED_VALUE"""),"FALSO")</f>
        <v>FALSO</v>
      </c>
    </row>
    <row r="1554">
      <c r="B1554" s="186" t="str">
        <f>IFERROR(__xludf.DUMMYFUNCTION("""COMPUTED_VALUE"""),"PI6922Y")</f>
        <v>PI6922Y</v>
      </c>
      <c r="C1554" s="186" t="str">
        <f>IFERROR(__xludf.DUMMYFUNCTION("""COMPUTED_VALUE"""),"CANECA AMARGUINHOS DAQUI PRA FRENTE")</f>
        <v>CANECA AMARGUINHOS DAQUI PRA FRENTE</v>
      </c>
      <c r="D1554" s="186" t="str">
        <f>IFERROR(__xludf.DUMMYFUNCTION("""COMPUTED_VALUE"""),"FALSO")</f>
        <v>FALSO</v>
      </c>
    </row>
    <row r="1555">
      <c r="B1555" s="186" t="str">
        <f>IFERROR(__xludf.DUMMYFUNCTION("""COMPUTED_VALUE"""),"PI6906Y")</f>
        <v>PI6906Y</v>
      </c>
      <c r="C1555" s="186" t="str">
        <f>IFERROR(__xludf.DUMMYFUNCTION("""COMPUTED_VALUE"""),"CANECA AMARGUINHOS SOCORRO")</f>
        <v>CANECA AMARGUINHOS SOCORRO</v>
      </c>
      <c r="D1555" s="186" t="str">
        <f>IFERROR(__xludf.DUMMYFUNCTION("""COMPUTED_VALUE"""),"FALSO")</f>
        <v>FALSO</v>
      </c>
    </row>
    <row r="1556">
      <c r="B1556" s="186" t="str">
        <f>IFERROR(__xludf.DUMMYFUNCTION("""COMPUTED_VALUE"""),"PI7175Y")</f>
        <v>PI7175Y</v>
      </c>
      <c r="C1556" s="186" t="str">
        <f>IFERROR(__xludf.DUMMYFUNCTION("""COMPUTED_VALUE"""),"CANECA AMARGUINHOS JA ME ARREPENDI")</f>
        <v>CANECA AMARGUINHOS JA ME ARREPENDI</v>
      </c>
      <c r="D1556" s="186" t="str">
        <f>IFERROR(__xludf.DUMMYFUNCTION("""COMPUTED_VALUE"""),"FALSO")</f>
        <v>FALSO</v>
      </c>
    </row>
    <row r="1557">
      <c r="B1557" s="186" t="str">
        <f>IFERROR(__xludf.DUMMYFUNCTION("""COMPUTED_VALUE"""),"PI6923Y")</f>
        <v>PI6923Y</v>
      </c>
      <c r="C1557" s="186" t="str">
        <f>IFERROR(__xludf.DUMMYFUNCTION("""COMPUTED_VALUE"""),"CANECA AMARGUINHOS ESTOU OCUPADO AGORA")</f>
        <v>CANECA AMARGUINHOS ESTOU OCUPADO AGORA</v>
      </c>
      <c r="D1557" s="186" t="str">
        <f>IFERROR(__xludf.DUMMYFUNCTION("""COMPUTED_VALUE"""),"FALSO")</f>
        <v>FALSO</v>
      </c>
    </row>
    <row r="1558">
      <c r="B1558" s="186" t="str">
        <f>IFERROR(__xludf.DUMMYFUNCTION("""COMPUTED_VALUE"""),"PI6905Y")</f>
        <v>PI6905Y</v>
      </c>
      <c r="C1558" s="186" t="str">
        <f>IFERROR(__xludf.DUMMYFUNCTION("""COMPUTED_VALUE"""),"CANECA AMARGUINHOS JA SUPEREI")</f>
        <v>CANECA AMARGUINHOS JA SUPEREI</v>
      </c>
      <c r="D1558" s="186" t="str">
        <f>IFERROR(__xludf.DUMMYFUNCTION("""COMPUTED_VALUE"""),"FALSO")</f>
        <v>FALSO</v>
      </c>
    </row>
    <row r="1559">
      <c r="B1559" s="186" t="str">
        <f>IFERROR(__xludf.DUMMYFUNCTION("""COMPUTED_VALUE"""),"PI6925Y")</f>
        <v>PI6925Y</v>
      </c>
      <c r="C1559" s="186" t="str">
        <f>IFERROR(__xludf.DUMMYFUNCTION("""COMPUTED_VALUE"""),"CANECA AMARGUINHOS PODENDO ME POUPAR")</f>
        <v>CANECA AMARGUINHOS PODENDO ME POUPAR</v>
      </c>
      <c r="D1559" s="186" t="str">
        <f>IFERROR(__xludf.DUMMYFUNCTION("""COMPUTED_VALUE"""),"FALSO")</f>
        <v>FALSO</v>
      </c>
    </row>
    <row r="1560">
      <c r="B1560" s="186" t="str">
        <f>IFERROR(__xludf.DUMMYFUNCTION("""COMPUTED_VALUE"""),"PI6921Y")</f>
        <v>PI6921Y</v>
      </c>
      <c r="C1560" s="186" t="str">
        <f>IFERROR(__xludf.DUMMYFUNCTION("""COMPUTED_VALUE"""),"CANECA AMARGUINHOS NO COMECO TAVA RUIM")</f>
        <v>CANECA AMARGUINHOS NO COMECO TAVA RUIM</v>
      </c>
      <c r="D1560" s="186" t="str">
        <f>IFERROR(__xludf.DUMMYFUNCTION("""COMPUTED_VALUE"""),"FALSO")</f>
        <v>FALSO</v>
      </c>
    </row>
    <row r="1561">
      <c r="B1561" s="186" t="str">
        <f>IFERROR(__xludf.DUMMYFUNCTION("""COMPUTED_VALUE"""),"PI6904Y")</f>
        <v>PI6904Y</v>
      </c>
      <c r="C1561" s="186" t="str">
        <f>IFERROR(__xludf.DUMMYFUNCTION("""COMPUTED_VALUE"""),"CANECA AMARGUINHOS ACHEI OFENSIVO")</f>
        <v>CANECA AMARGUINHOS ACHEI OFENSIVO</v>
      </c>
      <c r="D1561" s="186" t="str">
        <f>IFERROR(__xludf.DUMMYFUNCTION("""COMPUTED_VALUE"""),"FALSO")</f>
        <v>FALSO</v>
      </c>
    </row>
    <row r="1562">
      <c r="B1562" s="186" t="str">
        <f>IFERROR(__xludf.DUMMYFUNCTION("""COMPUTED_VALUE"""),"PI6907Y")</f>
        <v>PI6907Y</v>
      </c>
      <c r="C1562" s="186" t="str">
        <f>IFERROR(__xludf.DUMMYFUNCTION("""COMPUTED_VALUE"""),"CANECA AMARGUINHOS QUERIA SURTAR")</f>
        <v>CANECA AMARGUINHOS QUERIA SURTAR</v>
      </c>
      <c r="D1562" s="186" t="str">
        <f>IFERROR(__xludf.DUMMYFUNCTION("""COMPUTED_VALUE"""),"FALSO")</f>
        <v>FALSO</v>
      </c>
    </row>
    <row r="1563">
      <c r="B1563" s="186" t="str">
        <f>IFERROR(__xludf.DUMMYFUNCTION("""COMPUTED_VALUE"""),"PI6926Y")</f>
        <v>PI6926Y</v>
      </c>
      <c r="C1563" s="186" t="str">
        <f>IFERROR(__xludf.DUMMYFUNCTION("""COMPUTED_VALUE"""),"CANECA AMARGUINHOS ALGARISMOS ROMANOS")</f>
        <v>CANECA AMARGUINHOS ALGARISMOS ROMANOS</v>
      </c>
      <c r="D1563" s="186" t="str">
        <f>IFERROR(__xludf.DUMMYFUNCTION("""COMPUTED_VALUE"""),"FALSO")</f>
        <v>FALSO</v>
      </c>
    </row>
    <row r="1564">
      <c r="B1564" s="186" t="str">
        <f>IFERROR(__xludf.DUMMYFUNCTION("""COMPUTED_VALUE"""),"PI6924Y")</f>
        <v>PI6924Y</v>
      </c>
      <c r="C1564" s="186" t="str">
        <f>IFERROR(__xludf.DUMMYFUNCTION("""COMPUTED_VALUE"""),"CANECA AMARGUINHOS OPINIAO FOR PIZZA")</f>
        <v>CANECA AMARGUINHOS OPINIAO FOR PIZZA</v>
      </c>
      <c r="D1564" s="186" t="str">
        <f>IFERROR(__xludf.DUMMYFUNCTION("""COMPUTED_VALUE"""),"FALSO")</f>
        <v>FALSO</v>
      </c>
    </row>
    <row r="1565">
      <c r="B1565" s="186" t="str">
        <f>IFERROR(__xludf.DUMMYFUNCTION("""COMPUTED_VALUE"""),"PI6928Y")</f>
        <v>PI6928Y</v>
      </c>
      <c r="C1565" s="186" t="str">
        <f>IFERROR(__xludf.DUMMYFUNCTION("""COMPUTED_VALUE"""),"CANECA AMARGUINHOS O ERRADO E VOCE")</f>
        <v>CANECA AMARGUINHOS O ERRADO E VOCE</v>
      </c>
      <c r="D1565" s="186" t="str">
        <f>IFERROR(__xludf.DUMMYFUNCTION("""COMPUTED_VALUE"""),"FALSO")</f>
        <v>FALSO</v>
      </c>
    </row>
    <row r="1566">
      <c r="B1566" s="186" t="str">
        <f>IFERROR(__xludf.DUMMYFUNCTION("""COMPUTED_VALUE"""),"PI7202Y")</f>
        <v>PI7202Y</v>
      </c>
      <c r="C1566" s="186" t="str">
        <f>IFERROR(__xludf.DUMMYFUNCTION("""COMPUTED_VALUE"""),"CADERNO AMARGUINHOS NO COMECO TAVA RUIM")</f>
        <v>CADERNO AMARGUINHOS NO COMECO TAVA RUIM</v>
      </c>
      <c r="D1566" s="186" t="str">
        <f>IFERROR(__xludf.DUMMYFUNCTION("""COMPUTED_VALUE"""),"FALSO")</f>
        <v>FALSO</v>
      </c>
    </row>
    <row r="1567">
      <c r="B1567" s="186" t="str">
        <f>IFERROR(__xludf.DUMMYFUNCTION("""COMPUTED_VALUE"""),"PI7203Y")</f>
        <v>PI7203Y</v>
      </c>
      <c r="C1567" s="186" t="str">
        <f>IFERROR(__xludf.DUMMYFUNCTION("""COMPUTED_VALUE"""),"CADERNO AMARGUINHOS DAQUI PRA FRENTE")</f>
        <v>CADERNO AMARGUINHOS DAQUI PRA FRENTE</v>
      </c>
      <c r="D1567" s="186" t="str">
        <f>IFERROR(__xludf.DUMMYFUNCTION("""COMPUTED_VALUE"""),"FALSO")</f>
        <v>FALSO</v>
      </c>
    </row>
    <row r="1568">
      <c r="B1568" s="186" t="str">
        <f>IFERROR(__xludf.DUMMYFUNCTION("""COMPUTED_VALUE"""),"PI7204Y")</f>
        <v>PI7204Y</v>
      </c>
      <c r="C1568" s="186" t="str">
        <f>IFERROR(__xludf.DUMMYFUNCTION("""COMPUTED_VALUE"""),"CADERNO AMARGUINHOS ESTOU OCUPADO AGORA")</f>
        <v>CADERNO AMARGUINHOS ESTOU OCUPADO AGORA</v>
      </c>
      <c r="D1568" s="186" t="str">
        <f>IFERROR(__xludf.DUMMYFUNCTION("""COMPUTED_VALUE"""),"FALSO")</f>
        <v>FALSO</v>
      </c>
    </row>
    <row r="1569">
      <c r="B1569" s="186" t="str">
        <f>IFERROR(__xludf.DUMMYFUNCTION("""COMPUTED_VALUE"""),"PI7206Y")</f>
        <v>PI7206Y</v>
      </c>
      <c r="C1569" s="186" t="str">
        <f>IFERROR(__xludf.DUMMYFUNCTION("""COMPUTED_VALUE"""),"CADERNO AMARGUINHOS PODENDO ME POUPAR")</f>
        <v>CADERNO AMARGUINHOS PODENDO ME POUPAR</v>
      </c>
      <c r="D1569" s="186" t="str">
        <f>IFERROR(__xludf.DUMMYFUNCTION("""COMPUTED_VALUE"""),"FALSO")</f>
        <v>FALSO</v>
      </c>
    </row>
    <row r="1570">
      <c r="B1570" s="186" t="str">
        <f>IFERROR(__xludf.DUMMYFUNCTION("""COMPUTED_VALUE"""),"PI7205Y")</f>
        <v>PI7205Y</v>
      </c>
      <c r="C1570" s="186" t="str">
        <f>IFERROR(__xludf.DUMMYFUNCTION("""COMPUTED_VALUE"""),"CADERNO AMARGUINHOS OPINIAO FOR PIZZA")</f>
        <v>CADERNO AMARGUINHOS OPINIAO FOR PIZZA</v>
      </c>
      <c r="D1570" s="186" t="str">
        <f>IFERROR(__xludf.DUMMYFUNCTION("""COMPUTED_VALUE"""),"FALSO")</f>
        <v>FALSO</v>
      </c>
    </row>
    <row r="1571">
      <c r="B1571" s="186" t="str">
        <f>IFERROR(__xludf.DUMMYFUNCTION("""COMPUTED_VALUE"""),"PI7207Y")</f>
        <v>PI7207Y</v>
      </c>
      <c r="C1571" s="186" t="str">
        <f>IFERROR(__xludf.DUMMYFUNCTION("""COMPUTED_VALUE"""),"CADERNO AMARGUINHOS ALGARISMOS ROMANOS")</f>
        <v>CADERNO AMARGUINHOS ALGARISMOS ROMANOS</v>
      </c>
      <c r="D1571" s="186" t="str">
        <f>IFERROR(__xludf.DUMMYFUNCTION("""COMPUTED_VALUE"""),"FALSO")</f>
        <v>FALSO</v>
      </c>
    </row>
    <row r="1572">
      <c r="B1572" s="186" t="str">
        <f>IFERROR(__xludf.DUMMYFUNCTION("""COMPUTED_VALUE"""),"US0070")</f>
        <v>US0070</v>
      </c>
      <c r="C1572" s="186" t="str">
        <f>IFERROR(__xludf.DUMMYFUNCTION("""COMPUTED_VALUE"""),"LUMINARIA AMEI BRANCO")</f>
        <v>LUMINARIA AMEI BRANCO</v>
      </c>
      <c r="D1572" s="186" t="str">
        <f>IFERROR(__xludf.DUMMYFUNCTION("""COMPUTED_VALUE"""),"FALSO")</f>
        <v>FALSO</v>
      </c>
    </row>
    <row r="1573">
      <c r="B1573" s="186" t="str">
        <f>IFERROR(__xludf.DUMMYFUNCTION("""COMPUTED_VALUE"""),"PI6532Y")</f>
        <v>PI6532Y</v>
      </c>
      <c r="C1573" s="186" t="str">
        <f>IFERROR(__xludf.DUMMYFUNCTION("""COMPUTED_VALUE"""),"UMIDIFICADOR ANTIGRAVIDADE RELAXAR")</f>
        <v>UMIDIFICADOR ANTIGRAVIDADE RELAXAR</v>
      </c>
      <c r="D1573" s="186" t="str">
        <f>IFERROR(__xludf.DUMMYFUNCTION("""COMPUTED_VALUE"""),"FALSO")</f>
        <v>FALSO</v>
      </c>
    </row>
    <row r="1574">
      <c r="B1574" s="186" t="str">
        <f>IFERROR(__xludf.DUMMYFUNCTION("""COMPUTED_VALUE"""),"PI6467Y")</f>
        <v>PI6467Y</v>
      </c>
      <c r="C1574" s="186" t="str">
        <f>IFERROR(__xludf.DUMMYFUNCTION("""COMPUTED_VALUE"""),"KIT CHURRASCO AVENTAL NO PONTO CERTO")</f>
        <v>KIT CHURRASCO AVENTAL NO PONTO CERTO</v>
      </c>
      <c r="D1574" s="186" t="str">
        <f>IFERROR(__xludf.DUMMYFUNCTION("""COMPUTED_VALUE"""),"FALSO")</f>
        <v>FALSO</v>
      </c>
    </row>
    <row r="1575">
      <c r="B1575" s="186" t="str">
        <f>IFERROR(__xludf.DUMMYFUNCTION("""COMPUTED_VALUE"""),"PI6467Y")</f>
        <v>PI6467Y</v>
      </c>
      <c r="C1575" s="186" t="str">
        <f>IFERROR(__xludf.DUMMYFUNCTION("""COMPUTED_VALUE"""),"KIT CHURRASCO AVENTAL NO PONTO CERTO")</f>
        <v>KIT CHURRASCO AVENTAL NO PONTO CERTO</v>
      </c>
      <c r="D1575" s="186" t="str">
        <f>IFERROR(__xludf.DUMMYFUNCTION("""COMPUTED_VALUE"""),"FALSO")</f>
        <v>FALSO</v>
      </c>
    </row>
    <row r="1576">
      <c r="B1576" s="186" t="str">
        <f>IFERROR(__xludf.DUMMYFUNCTION("""COMPUTED_VALUE"""),"US0071")</f>
        <v>US0071</v>
      </c>
      <c r="C1576" s="186" t="str">
        <f>IFERROR(__xludf.DUMMYFUNCTION("""COMPUTED_VALUE"""),"LUMINARIA ARCO IRIS ROSA")</f>
        <v>LUMINARIA ARCO IRIS ROSA</v>
      </c>
      <c r="D1576" s="186" t="str">
        <f>IFERROR(__xludf.DUMMYFUNCTION("""COMPUTED_VALUE"""),"FALSO")</f>
        <v>FALSO</v>
      </c>
    </row>
    <row r="1577">
      <c r="B1577" s="186" t="str">
        <f>IFERROR(__xludf.DUMMYFUNCTION("""COMPUTED_VALUE"""),"PI4965Y")</f>
        <v>PI4965Y</v>
      </c>
      <c r="C1577" s="186" t="str">
        <f>IFERROR(__xludf.DUMMYFUNCTION("""COMPUTED_VALUE"""),"AROMATIZADOR E PROJETOR TO OFF")</f>
        <v>AROMATIZADOR E PROJETOR TO OFF</v>
      </c>
      <c r="D1577" s="186" t="str">
        <f>IFERROR(__xludf.DUMMYFUNCTION("""COMPUTED_VALUE"""),"FALSO")</f>
        <v>FALSO</v>
      </c>
    </row>
    <row r="1578">
      <c r="B1578" s="186" t="str">
        <f>IFERROR(__xludf.DUMMYFUNCTION("""COMPUTED_VALUE"""),"PI4965Y")</f>
        <v>PI4965Y</v>
      </c>
      <c r="C1578" s="186" t="str">
        <f>IFERROR(__xludf.DUMMYFUNCTION("""COMPUTED_VALUE"""),"AROMATIZADOR E PROJETOR TO OFF")</f>
        <v>AROMATIZADOR E PROJETOR TO OFF</v>
      </c>
      <c r="D1578" s="186" t="str">
        <f>IFERROR(__xludf.DUMMYFUNCTION("""COMPUTED_VALUE"""),"FALSO")</f>
        <v>FALSO</v>
      </c>
    </row>
    <row r="1579">
      <c r="B1579" s="186" t="str">
        <f>IFERROR(__xludf.DUMMYFUNCTION("""COMPUTED_VALUE"""),"PI4669Y")</f>
        <v>PI4669Y</v>
      </c>
      <c r="C1579" s="186" t="str">
        <f>IFERROR(__xludf.DUMMYFUNCTION("""COMPUTED_VALUE"""),"AROMATIZADOR E UMIDIFICADOR NO AR")</f>
        <v>AROMATIZADOR E UMIDIFICADOR NO AR</v>
      </c>
      <c r="D1579" s="186" t="str">
        <f>IFERROR(__xludf.DUMMYFUNCTION("""COMPUTED_VALUE"""),"FALSO")</f>
        <v>FALSO</v>
      </c>
    </row>
    <row r="1580">
      <c r="B1580" s="186" t="str">
        <f>IFERROR(__xludf.DUMMYFUNCTION("""COMPUTED_VALUE"""),"PI7498Y")</f>
        <v>PI7498Y</v>
      </c>
      <c r="C1580" s="186" t="str">
        <f>IFERROR(__xludf.DUMMYFUNCTION("""COMPUTED_VALUE"""),"AROMATIZADOR E UMIDIFICADOR COR E AROMA")</f>
        <v>AROMATIZADOR E UMIDIFICADOR COR E AROMA</v>
      </c>
      <c r="D1580" s="186" t="str">
        <f>IFERROR(__xludf.DUMMYFUNCTION("""COMPUTED_VALUE"""),"FALSO")</f>
        <v>FALSO</v>
      </c>
    </row>
    <row r="1581">
      <c r="B1581" s="186" t="str">
        <f>IFERROR(__xludf.DUMMYFUNCTION("""COMPUTED_VALUE"""),"PI5118Y")</f>
        <v>PI5118Y</v>
      </c>
      <c r="C1581" s="186" t="str">
        <f>IFERROR(__xludf.DUMMYFUNCTION("""COMPUTED_VALUE"""),"AROMATIZADOR SPEAKER INSPIRASOM")</f>
        <v>AROMATIZADOR SPEAKER INSPIRASOM</v>
      </c>
      <c r="D1581" s="186" t="str">
        <f>IFERROR(__xludf.DUMMYFUNCTION("""COMPUTED_VALUE"""),"INMETRO Electrical Security + Anatel Bluetooth")</f>
        <v>INMETRO Electrical Security + Anatel Bluetooth</v>
      </c>
    </row>
    <row r="1582">
      <c r="B1582" s="186" t="str">
        <f>IFERROR(__xludf.DUMMYFUNCTION("""COMPUTED_VALUE"""),"PI6678Y")</f>
        <v>PI6678Y</v>
      </c>
      <c r="C1582" s="186" t="str">
        <f>IFERROR(__xludf.DUMMYFUNCTION("""COMPUTED_VALUE"""),"LUMINARIA DE MESA ARTICULADA PERNAS")</f>
        <v>LUMINARIA DE MESA ARTICULADA PERNAS</v>
      </c>
      <c r="D1582" s="186" t="str">
        <f>IFERROR(__xludf.DUMMYFUNCTION("""COMPUTED_VALUE"""),"FALSO")</f>
        <v>FALSO</v>
      </c>
    </row>
    <row r="1583">
      <c r="B1583" s="186" t="str">
        <f>IFERROR(__xludf.DUMMYFUNCTION("""COMPUTED_VALUE"""),"PI5340Y")</f>
        <v>PI5340Y</v>
      </c>
      <c r="C1583" s="186" t="str">
        <f>IFERROR(__xludf.DUMMYFUNCTION("""COMPUTED_VALUE"""),"LUMINARIA DE LEITURA ARTICULADA MACA")</f>
        <v>LUMINARIA DE LEITURA ARTICULADA MACA</v>
      </c>
      <c r="D1583" s="186" t="str">
        <f>IFERROR(__xludf.DUMMYFUNCTION("""COMPUTED_VALUE"""),"FALSO")</f>
        <v>FALSO</v>
      </c>
    </row>
    <row r="1584">
      <c r="B1584" s="186" t="str">
        <f>IFERROR(__xludf.DUMMYFUNCTION("""COMPUTED_VALUE"""),"PI5233Y")</f>
        <v>PI5233Y</v>
      </c>
      <c r="C1584" s="186" t="str">
        <f>IFERROR(__xludf.DUMMYFUNCTION("""COMPUTED_VALUE"""),"LUMINARIA DE LEITURA ARTICULADA FOGO")</f>
        <v>LUMINARIA DE LEITURA ARTICULADA FOGO</v>
      </c>
      <c r="D1584" s="186" t="str">
        <f>IFERROR(__xludf.DUMMYFUNCTION("""COMPUTED_VALUE"""),"FALSO")</f>
        <v>FALSO</v>
      </c>
    </row>
    <row r="1585">
      <c r="B1585" s="186" t="str">
        <f>IFERROR(__xludf.DUMMYFUNCTION("""COMPUTED_VALUE"""),"PI5332Y")</f>
        <v>PI5332Y</v>
      </c>
      <c r="C1585" s="186" t="str">
        <f>IFERROR(__xludf.DUMMYFUNCTION("""COMPUTED_VALUE"""),"LUMINARIA DE LEITURA ARTICULADA FANTASMA")</f>
        <v>LUMINARIA DE LEITURA ARTICULADA FANTASMA</v>
      </c>
      <c r="D1585" s="186" t="str">
        <f>IFERROR(__xludf.DUMMYFUNCTION("""COMPUTED_VALUE"""),"FALSO")</f>
        <v>FALSO</v>
      </c>
    </row>
    <row r="1586">
      <c r="B1586" s="186" t="str">
        <f>IFERROR(__xludf.DUMMYFUNCTION("""COMPUTED_VALUE"""),"PI6287Y")</f>
        <v>PI6287Y</v>
      </c>
      <c r="C1586" s="186" t="str">
        <f>IFERROR(__xludf.DUMMYFUNCTION("""COMPUTED_VALUE"""),"LUMINÁRIA PROJETORA ASTRONAUTA")</f>
        <v>LUMINÁRIA PROJETORA ASTRONAUTA</v>
      </c>
      <c r="D1586" s="186" t="str">
        <f>IFERROR(__xludf.DUMMYFUNCTION("""COMPUTED_VALUE"""),"FALSO")</f>
        <v>FALSO</v>
      </c>
    </row>
    <row r="1587">
      <c r="B1587" s="186" t="str">
        <f>IFERROR(__xludf.DUMMYFUNCTION("""COMPUTED_VALUE"""),"PI6287Y")</f>
        <v>PI6287Y</v>
      </c>
      <c r="C1587" s="186" t="str">
        <f>IFERROR(__xludf.DUMMYFUNCTION("""COMPUTED_VALUE"""),"LUMINÁRIA PROJETORA ASTRONAUTA")</f>
        <v>LUMINÁRIA PROJETORA ASTRONAUTA</v>
      </c>
      <c r="D1587" s="186" t="str">
        <f>IFERROR(__xludf.DUMMYFUNCTION("""COMPUTED_VALUE"""),"FALSO")</f>
        <v>FALSO</v>
      </c>
    </row>
    <row r="1588">
      <c r="B1588" s="186" t="str">
        <f>IFERROR(__xludf.DUMMYFUNCTION("""COMPUTED_VALUE"""),"PI6287Y")</f>
        <v>PI6287Y</v>
      </c>
      <c r="C1588" s="186" t="str">
        <f>IFERROR(__xludf.DUMMYFUNCTION("""COMPUTED_VALUE"""),"LUMINÁRIA PROJETORA ASTRONAUTA")</f>
        <v>LUMINÁRIA PROJETORA ASTRONAUTA</v>
      </c>
      <c r="D1588" s="186" t="str">
        <f>IFERROR(__xludf.DUMMYFUNCTION("""COMPUTED_VALUE"""),"FALSO")</f>
        <v>FALSO</v>
      </c>
    </row>
    <row r="1589">
      <c r="B1589" s="186" t="str">
        <f>IFERROR(__xludf.DUMMYFUNCTION("""COMPUTED_VALUE"""),"PI6287Y")</f>
        <v>PI6287Y</v>
      </c>
      <c r="C1589" s="186" t="str">
        <f>IFERROR(__xludf.DUMMYFUNCTION("""COMPUTED_VALUE"""),"LUMINÁRIA PROJETORA ASTRONAUTA")</f>
        <v>LUMINÁRIA PROJETORA ASTRONAUTA</v>
      </c>
      <c r="D1589" s="186" t="str">
        <f>IFERROR(__xludf.DUMMYFUNCTION("""COMPUTED_VALUE"""),"FALSO")</f>
        <v>FALSO</v>
      </c>
    </row>
    <row r="1590">
      <c r="B1590" s="186" t="str">
        <f>IFERROR(__xludf.DUMMYFUNCTION("""COMPUTED_VALUE"""),"CS2135")</f>
        <v>CS2135</v>
      </c>
      <c r="C1590" s="186" t="str">
        <f>IFERROR(__xludf.DUMMYFUNCTION("""COMPUTED_VALUE"""),"AVENTAL GOURMET CHURRASCO E CERVEJA")</f>
        <v>AVENTAL GOURMET CHURRASCO E CERVEJA</v>
      </c>
      <c r="D1590" s="186" t="str">
        <f>IFERROR(__xludf.DUMMYFUNCTION("""COMPUTED_VALUE"""),"FALSO")</f>
        <v>FALSO</v>
      </c>
    </row>
    <row r="1591">
      <c r="B1591" s="186" t="str">
        <f>IFERROR(__xludf.DUMMYFUNCTION("""COMPUTED_VALUE"""),"PI7702Y")</f>
        <v>PI7702Y</v>
      </c>
      <c r="C1591" s="186" t="str">
        <f>IFERROR(__xludf.DUMMYFUNCTION("""COMPUTED_VALUE"""),"CANETA PINGENTE ABACATE")</f>
        <v>CANETA PINGENTE ABACATE</v>
      </c>
      <c r="D1591" s="186" t="str">
        <f>IFERROR(__xludf.DUMMYFUNCTION("""COMPUTED_VALUE"""),"INMETRO SCHOOL ARTICLES SYSTEM 5 - ORDINANCE 481")</f>
        <v>INMETRO SCHOOL ARTICLES SYSTEM 5 - ORDINANCE 481</v>
      </c>
    </row>
    <row r="1592">
      <c r="B1592" s="186" t="str">
        <f>IFERROR(__xludf.DUMMYFUNCTION("""COMPUTED_VALUE"""),"PI1746Y")</f>
        <v>PI1746Y</v>
      </c>
      <c r="C1592" s="186" t="str">
        <f>IFERROR(__xludf.DUMMYFUNCTION("""COMPUTED_VALUE"""),"PORTA RETRATO REGISTRO MAO DE BEBE")</f>
        <v>PORTA RETRATO REGISTRO MAO DE BEBE</v>
      </c>
      <c r="D1592" s="186" t="str">
        <f>IFERROR(__xludf.DUMMYFUNCTION("""COMPUTED_VALUE"""),"FALSO")</f>
        <v>FALSO</v>
      </c>
    </row>
    <row r="1593">
      <c r="B1593" s="186" t="str">
        <f>IFERROR(__xludf.DUMMYFUNCTION("""COMPUTED_VALUE"""),"PI1746Y")</f>
        <v>PI1746Y</v>
      </c>
      <c r="C1593" s="186" t="str">
        <f>IFERROR(__xludf.DUMMYFUNCTION("""COMPUTED_VALUE"""),"PORTA RETRATO REGISTRO MAO DE BEBE")</f>
        <v>PORTA RETRATO REGISTRO MAO DE BEBE</v>
      </c>
      <c r="D1593" s="186" t="str">
        <f>IFERROR(__xludf.DUMMYFUNCTION("""COMPUTED_VALUE"""),"FALSO")</f>
        <v>FALSO</v>
      </c>
    </row>
    <row r="1594">
      <c r="B1594" s="186" t="str">
        <f>IFERROR(__xludf.DUMMYFUNCTION("""COMPUTED_VALUE"""),"PI1746Y")</f>
        <v>PI1746Y</v>
      </c>
      <c r="C1594" s="186" t="str">
        <f>IFERROR(__xludf.DUMMYFUNCTION("""COMPUTED_VALUE"""),"PORTA RETRATO REGISTRO MAO DE BEBE")</f>
        <v>PORTA RETRATO REGISTRO MAO DE BEBE</v>
      </c>
      <c r="D1594" s="186" t="str">
        <f>IFERROR(__xludf.DUMMYFUNCTION("""COMPUTED_VALUE"""),"FALSO")</f>
        <v>FALSO</v>
      </c>
    </row>
    <row r="1595">
      <c r="B1595" s="186" t="str">
        <f>IFERROR(__xludf.DUMMYFUNCTION("""COMPUTED_VALUE"""),"PI1746Y")</f>
        <v>PI1746Y</v>
      </c>
      <c r="C1595" s="186" t="str">
        <f>IFERROR(__xludf.DUMMYFUNCTION("""COMPUTED_VALUE"""),"PORTA RETRATO REGISTRO MAO DE BEBE")</f>
        <v>PORTA RETRATO REGISTRO MAO DE BEBE</v>
      </c>
      <c r="D1595" s="186" t="str">
        <f>IFERROR(__xludf.DUMMYFUNCTION("""COMPUTED_VALUE"""),"FALSO")</f>
        <v>FALSO</v>
      </c>
    </row>
    <row r="1596">
      <c r="B1596" s="186" t="str">
        <f>IFERROR(__xludf.DUMMYFUNCTION("""COMPUTED_VALUE"""),"PI1746Y")</f>
        <v>PI1746Y</v>
      </c>
      <c r="C1596" s="186" t="str">
        <f>IFERROR(__xludf.DUMMYFUNCTION("""COMPUTED_VALUE"""),"PORTA RETRATO REGISTRO MAO DE BEBE")</f>
        <v>PORTA RETRATO REGISTRO MAO DE BEBE</v>
      </c>
      <c r="D1596" s="186" t="str">
        <f>IFERROR(__xludf.DUMMYFUNCTION("""COMPUTED_VALUE"""),"FALSO")</f>
        <v>FALSO</v>
      </c>
    </row>
    <row r="1597">
      <c r="B1597" s="186" t="str">
        <f>IFERROR(__xludf.DUMMYFUNCTION("""COMPUTED_VALUE"""),"PI1746Y")</f>
        <v>PI1746Y</v>
      </c>
      <c r="C1597" s="186" t="str">
        <f>IFERROR(__xludf.DUMMYFUNCTION("""COMPUTED_VALUE"""),"PORTA RETRATO REGISTRO MAO DE BEBE")</f>
        <v>PORTA RETRATO REGISTRO MAO DE BEBE</v>
      </c>
      <c r="D1597" s="186" t="str">
        <f>IFERROR(__xludf.DUMMYFUNCTION("""COMPUTED_VALUE"""),"FALSO")</f>
        <v>FALSO</v>
      </c>
    </row>
    <row r="1598">
      <c r="B1598" s="186" t="str">
        <f>IFERROR(__xludf.DUMMYFUNCTION("""COMPUTED_VALUE"""),"PI1746Y")</f>
        <v>PI1746Y</v>
      </c>
      <c r="C1598" s="186" t="str">
        <f>IFERROR(__xludf.DUMMYFUNCTION("""COMPUTED_VALUE"""),"PORTA RETRATO REGISTRO MAO DE BEBE")</f>
        <v>PORTA RETRATO REGISTRO MAO DE BEBE</v>
      </c>
      <c r="D1598" s="186" t="str">
        <f>IFERROR(__xludf.DUMMYFUNCTION("""COMPUTED_VALUE"""),"FALSO")</f>
        <v>FALSO</v>
      </c>
    </row>
    <row r="1599">
      <c r="B1599" s="186" t="str">
        <f>IFERROR(__xludf.DUMMYFUNCTION("""COMPUTED_VALUE"""),"PI1746Y")</f>
        <v>PI1746Y</v>
      </c>
      <c r="C1599" s="186" t="str">
        <f>IFERROR(__xludf.DUMMYFUNCTION("""COMPUTED_VALUE"""),"PORTA RETRATO REGISTRO MAO DE BEBE")</f>
        <v>PORTA RETRATO REGISTRO MAO DE BEBE</v>
      </c>
      <c r="D1599" s="186" t="str">
        <f>IFERROR(__xludf.DUMMYFUNCTION("""COMPUTED_VALUE"""),"FALSO")</f>
        <v>FALSO</v>
      </c>
    </row>
    <row r="1600">
      <c r="B1600" s="186" t="str">
        <f>IFERROR(__xludf.DUMMYFUNCTION("""COMPUTED_VALUE"""),"PI1746Y")</f>
        <v>PI1746Y</v>
      </c>
      <c r="C1600" s="186" t="str">
        <f>IFERROR(__xludf.DUMMYFUNCTION("""COMPUTED_VALUE"""),"PORTA RETRATO REGISTRO MAO DE BEBE")</f>
        <v>PORTA RETRATO REGISTRO MAO DE BEBE</v>
      </c>
      <c r="D1600" s="186" t="str">
        <f>IFERROR(__xludf.DUMMYFUNCTION("""COMPUTED_VALUE"""),"FALSO")</f>
        <v>FALSO</v>
      </c>
    </row>
    <row r="1601">
      <c r="B1601" s="186" t="str">
        <f>IFERROR(__xludf.DUMMYFUNCTION("""COMPUTED_VALUE"""),"PI1746Y")</f>
        <v>PI1746Y</v>
      </c>
      <c r="C1601" s="186" t="str">
        <f>IFERROR(__xludf.DUMMYFUNCTION("""COMPUTED_VALUE"""),"PORTA RETRATO REGISTRO MAO DE BEBE")</f>
        <v>PORTA RETRATO REGISTRO MAO DE BEBE</v>
      </c>
      <c r="D1601" s="186" t="str">
        <f>IFERROR(__xludf.DUMMYFUNCTION("""COMPUTED_VALUE"""),"FALSO")</f>
        <v>FALSO</v>
      </c>
    </row>
    <row r="1602">
      <c r="B1602" s="186" t="str">
        <f>IFERROR(__xludf.DUMMYFUNCTION("""COMPUTED_VALUE"""),"PI1746Y")</f>
        <v>PI1746Y</v>
      </c>
      <c r="C1602" s="186" t="str">
        <f>IFERROR(__xludf.DUMMYFUNCTION("""COMPUTED_VALUE"""),"PORTA RETRATO REGISTRO MAO DE BEBE")</f>
        <v>PORTA RETRATO REGISTRO MAO DE BEBE</v>
      </c>
      <c r="D1602" s="186" t="str">
        <f>IFERROR(__xludf.DUMMYFUNCTION("""COMPUTED_VALUE"""),"FALSO")</f>
        <v>FALSO</v>
      </c>
    </row>
    <row r="1603">
      <c r="B1603" s="186" t="str">
        <f>IFERROR(__xludf.DUMMYFUNCTION("""COMPUTED_VALUE"""),"PI5831")</f>
        <v>PI5831</v>
      </c>
      <c r="C1603" s="186" t="str">
        <f>IFERROR(__xludf.DUMMYFUNCTION("""COMPUTED_VALUE"""),"ESPELHO DE BOLSA COM LED BRILHO PROPRIO")</f>
        <v>ESPELHO DE BOLSA COM LED BRILHO PROPRIO</v>
      </c>
      <c r="D1603" s="186" t="str">
        <f>IFERROR(__xludf.DUMMYFUNCTION("""COMPUTED_VALUE"""),"FALSO")</f>
        <v>FALSO</v>
      </c>
    </row>
    <row r="1604">
      <c r="B1604" s="186" t="str">
        <f>IFERROR(__xludf.DUMMYFUNCTION("""COMPUTED_VALUE"""),"CS2253")</f>
        <v>CS2253</v>
      </c>
      <c r="C1604" s="186" t="str">
        <f>IFERROR(__xludf.DUMMYFUNCTION("""COMPUTED_VALUE"""),"BOLSA TERMICA VINHO SEMPRE COM VOCE")</f>
        <v>BOLSA TERMICA VINHO SEMPRE COM VOCE</v>
      </c>
      <c r="D1604" s="186" t="str">
        <f>IFERROR(__xludf.DUMMYFUNCTION("""COMPUTED_VALUE"""),"FALSO")</f>
        <v>FALSO</v>
      </c>
    </row>
    <row r="1605">
      <c r="B1605" s="186" t="str">
        <f>IFERROR(__xludf.DUMMYFUNCTION("""COMPUTED_VALUE"""),"PI7904Y")</f>
        <v>PI7904Y</v>
      </c>
      <c r="C1605" s="186" t="str">
        <f>IFERROR(__xludf.DUMMYFUNCTION("""COMPUTED_VALUE"""),"RELOGIO BOLINHA ROSE")</f>
        <v>RELOGIO BOLINHA ROSE</v>
      </c>
      <c r="D1605" s="186" t="str">
        <f>IFERROR(__xludf.DUMMYFUNCTION("""COMPUTED_VALUE"""),"FALSO")</f>
        <v>FALSO</v>
      </c>
    </row>
    <row r="1606">
      <c r="B1606" s="186" t="str">
        <f>IFERROR(__xludf.DUMMYFUNCTION("""COMPUTED_VALUE"""),"PI7905Y")</f>
        <v>PI7905Y</v>
      </c>
      <c r="C1606" s="186" t="str">
        <f>IFERROR(__xludf.DUMMYFUNCTION("""COMPUTED_VALUE"""),"RELOGIO BOLINHA BRANCO")</f>
        <v>RELOGIO BOLINHA BRANCO</v>
      </c>
      <c r="D1606" s="186" t="str">
        <f>IFERROR(__xludf.DUMMYFUNCTION("""COMPUTED_VALUE"""),"FALSO")</f>
        <v>FALSO</v>
      </c>
    </row>
    <row r="1607">
      <c r="B1607" s="186" t="str">
        <f>IFERROR(__xludf.DUMMYFUNCTION("""COMPUTED_VALUE"""),"PI6652Y")</f>
        <v>PI6652Y</v>
      </c>
      <c r="C1607" s="186" t="str">
        <f>IFERROR(__xludf.DUMMYFUNCTION("""COMPUTED_VALUE"""),"KIT CHURRASCO AVENTAL FOCO FOGO FILET")</f>
        <v>KIT CHURRASCO AVENTAL FOCO FOGO FILET</v>
      </c>
      <c r="D1607" s="186" t="str">
        <f>IFERROR(__xludf.DUMMYFUNCTION("""COMPUTED_VALUE"""),"FALSO")</f>
        <v>FALSO</v>
      </c>
    </row>
    <row r="1608">
      <c r="B1608" s="186" t="str">
        <f>IFERROR(__xludf.DUMMYFUNCTION("""COMPUTED_VALUE"""),"PI6652Y")</f>
        <v>PI6652Y</v>
      </c>
      <c r="C1608" s="186" t="str">
        <f>IFERROR(__xludf.DUMMYFUNCTION("""COMPUTED_VALUE"""),"KIT CHURRASCO AVENTAL FOCO FOGO FILET")</f>
        <v>KIT CHURRASCO AVENTAL FOCO FOGO FILET</v>
      </c>
      <c r="D1608" s="186" t="str">
        <f>IFERROR(__xludf.DUMMYFUNCTION("""COMPUTED_VALUE"""),"FALSO")</f>
        <v>FALSO</v>
      </c>
    </row>
    <row r="1609">
      <c r="B1609" s="186" t="str">
        <f>IFERROR(__xludf.DUMMYFUNCTION("""COMPUTED_VALUE"""),"PI6652Y")</f>
        <v>PI6652Y</v>
      </c>
      <c r="C1609" s="186" t="str">
        <f>IFERROR(__xludf.DUMMYFUNCTION("""COMPUTED_VALUE"""),"KIT CHURRASCO AVENTAL FOCO FOGO FILET")</f>
        <v>KIT CHURRASCO AVENTAL FOCO FOGO FILET</v>
      </c>
      <c r="D1609" s="186" t="str">
        <f>IFERROR(__xludf.DUMMYFUNCTION("""COMPUTED_VALUE"""),"FALSO")</f>
        <v>FALSO</v>
      </c>
    </row>
    <row r="1610">
      <c r="B1610" s="186" t="str">
        <f>IFERROR(__xludf.DUMMYFUNCTION("""COMPUTED_VALUE"""),"PI6039Y")</f>
        <v>PI6039Y</v>
      </c>
      <c r="C1610" s="186" t="str">
        <f>IFERROR(__xludf.DUMMYFUNCTION("""COMPUTED_VALUE"""),"KIT CHURRASCO AVENTAL SEMPRE NO PONTO")</f>
        <v>KIT CHURRASCO AVENTAL SEMPRE NO PONTO</v>
      </c>
      <c r="D1610" s="186" t="str">
        <f>IFERROR(__xludf.DUMMYFUNCTION("""COMPUTED_VALUE"""),"FALSO")</f>
        <v>FALSO</v>
      </c>
    </row>
    <row r="1611">
      <c r="B1611" s="186" t="str">
        <f>IFERROR(__xludf.DUMMYFUNCTION("""COMPUTED_VALUE"""),"PI6291Y")</f>
        <v>PI6291Y</v>
      </c>
      <c r="C1611" s="186" t="str">
        <f>IFERROR(__xludf.DUMMYFUNCTION("""COMPUTED_VALUE"""),"JOGO BARTALHA NAVAL")</f>
        <v>JOGO BARTALHA NAVAL</v>
      </c>
      <c r="D1611" s="186" t="str">
        <f>IFERROR(__xludf.DUMMYFUNCTION("""COMPUTED_VALUE"""),"FALSO")</f>
        <v>FALSO</v>
      </c>
    </row>
    <row r="1612">
      <c r="B1612" s="186" t="str">
        <f>IFERROR(__xludf.DUMMYFUNCTION("""COMPUTED_VALUE"""),"PI6624Y")</f>
        <v>PI6624Y</v>
      </c>
      <c r="C1612" s="186" t="str">
        <f>IFERROR(__xludf.DUMMYFUNCTION("""COMPUTED_VALUE"""),"BASE LAMPADA DE FILAMENTO")</f>
        <v>BASE LAMPADA DE FILAMENTO</v>
      </c>
      <c r="D1612" s="186" t="str">
        <f>IFERROR(__xludf.DUMMYFUNCTION("""COMPUTED_VALUE"""),"FALSO")</f>
        <v>FALSO</v>
      </c>
    </row>
    <row r="1613">
      <c r="B1613" s="186" t="str">
        <f>IFERROR(__xludf.DUMMYFUNCTION("""COMPUTED_VALUE"""),"US0072")</f>
        <v>US0072</v>
      </c>
      <c r="C1613" s="186" t="str">
        <f>IFERROR(__xludf.DUMMYFUNCTION("""COMPUTED_VALUE"""),"LUMINARIA BATATA KAWAII")</f>
        <v>LUMINARIA BATATA KAWAII</v>
      </c>
      <c r="D1613" s="186" t="str">
        <f>IFERROR(__xludf.DUMMYFUNCTION("""COMPUTED_VALUE"""),"FALSO")</f>
        <v>FALSO</v>
      </c>
    </row>
    <row r="1614">
      <c r="B1614" s="186" t="str">
        <f>IFERROR(__xludf.DUMMYFUNCTION("""COMPUTED_VALUE"""),"CS2304")</f>
        <v>CS2304</v>
      </c>
      <c r="C1614" s="186" t="str">
        <f>IFERROR(__xludf.DUMMYFUNCTION("""COMPUTED_VALUE"""),"BATERIAS LITIO")</f>
        <v>BATERIAS LITIO</v>
      </c>
      <c r="D1614" s="186" t="str">
        <f>IFERROR(__xludf.DUMMYFUNCTION("""COMPUTED_VALUE"""),"FALSO")</f>
        <v>FALSO</v>
      </c>
    </row>
    <row r="1615">
      <c r="B1615" s="186" t="str">
        <f>IFERROR(__xludf.DUMMYFUNCTION("""COMPUTED_VALUE"""),"AC2151Y")</f>
        <v>AC2151Y</v>
      </c>
      <c r="C1615" s="186" t="str">
        <f>IFERROR(__xludf.DUMMYFUNCTION("""COMPUTED_VALUE"""),"BATERIA PARA PI5097Y")</f>
        <v>BATERIA PARA PI5097Y</v>
      </c>
      <c r="D1615" s="186" t="str">
        <f>IFERROR(__xludf.DUMMYFUNCTION("""COMPUTED_VALUE"""),"FALSO")</f>
        <v>FALSO</v>
      </c>
    </row>
    <row r="1616">
      <c r="B1616" s="186" t="str">
        <f>IFERROR(__xludf.DUMMYFUNCTION("""COMPUTED_VALUE"""),"PI749Y")</f>
        <v>PI749Y</v>
      </c>
      <c r="C1616" s="186" t="str">
        <f>IFERROR(__xludf.DUMMYFUNCTION("""COMPUTED_VALUE"""),"KIT CHURRASCO SEU PEDACO")</f>
        <v>KIT CHURRASCO SEU PEDACO</v>
      </c>
      <c r="D1616" s="186" t="str">
        <f>IFERROR(__xludf.DUMMYFUNCTION("""COMPUTED_VALUE"""),"FALSO")</f>
        <v>FALSO</v>
      </c>
    </row>
    <row r="1617">
      <c r="B1617" s="186" t="str">
        <f>IFERROR(__xludf.DUMMYFUNCTION("""COMPUTED_VALUE"""),"PI749Y")</f>
        <v>PI749Y</v>
      </c>
      <c r="C1617" s="186" t="str">
        <f>IFERROR(__xludf.DUMMYFUNCTION("""COMPUTED_VALUE"""),"KIT CHURRASCO SEU PEDACO")</f>
        <v>KIT CHURRASCO SEU PEDACO</v>
      </c>
      <c r="D1617" s="186" t="str">
        <f>IFERROR(__xludf.DUMMYFUNCTION("""COMPUTED_VALUE"""),"FALSO")</f>
        <v>FALSO</v>
      </c>
    </row>
    <row r="1618">
      <c r="B1618" s="186" t="str">
        <f>IFERROR(__xludf.DUMMYFUNCTION("""COMPUTED_VALUE"""),"PI749Y")</f>
        <v>PI749Y</v>
      </c>
      <c r="C1618" s="186" t="str">
        <f>IFERROR(__xludf.DUMMYFUNCTION("""COMPUTED_VALUE"""),"KIT CHURRASCO SEU PEDACO")</f>
        <v>KIT CHURRASCO SEU PEDACO</v>
      </c>
      <c r="D1618" s="186" t="str">
        <f>IFERROR(__xludf.DUMMYFUNCTION("""COMPUTED_VALUE"""),"FALSO")</f>
        <v>FALSO</v>
      </c>
    </row>
    <row r="1619">
      <c r="B1619" s="186" t="str">
        <f>IFERROR(__xludf.DUMMYFUNCTION("""COMPUTED_VALUE"""),"PI6038Y")</f>
        <v>PI6038Y</v>
      </c>
      <c r="C1619" s="186" t="str">
        <f>IFERROR(__xludf.DUMMYFUNCTION("""COMPUTED_VALUE"""),"KIT UTENSILIOS CHURRASCO MESTRE BARBECUE")</f>
        <v>KIT UTENSILIOS CHURRASCO MESTRE BARBECUE</v>
      </c>
      <c r="D1619" s="186" t="str">
        <f>IFERROR(__xludf.DUMMYFUNCTION("""COMPUTED_VALUE"""),"FALSO")</f>
        <v>FALSO</v>
      </c>
    </row>
    <row r="1620">
      <c r="B1620" s="186" t="str">
        <f>IFERROR(__xludf.DUMMYFUNCTION("""COMPUTED_VALUE"""),"PI5575Y")</f>
        <v>PI5575Y</v>
      </c>
      <c r="C1620" s="186" t="str">
        <f>IFERROR(__xludf.DUMMYFUNCTION("""COMPUTED_VALUE"""),"KIT RAQUETES BEACH TENNIS VAMO")</f>
        <v>KIT RAQUETES BEACH TENNIS VAMO</v>
      </c>
      <c r="D1620" s="186" t="str">
        <f>IFERROR(__xludf.DUMMYFUNCTION("""COMPUTED_VALUE"""),"INMETRO Toys System 5 - Ordinance 302")</f>
        <v>INMETRO Toys System 5 - Ordinance 302</v>
      </c>
    </row>
    <row r="1621">
      <c r="B1621" s="186" t="str">
        <f>IFERROR(__xludf.DUMMYFUNCTION("""COMPUTED_VALUE"""),"PI7780Y")</f>
        <v>PI7780Y</v>
      </c>
      <c r="C1621" s="186" t="str">
        <f>IFERROR(__xludf.DUMMYFUNCTION("""COMPUTED_VALUE"""),"CANECA DE VIDRO COM ALCA URSO GLITTER")</f>
        <v>CANECA DE VIDRO COM ALCA URSO GLITTER</v>
      </c>
      <c r="D1621" s="186" t="str">
        <f>IFERROR(__xludf.DUMMYFUNCTION("""COMPUTED_VALUE"""),"FALSO")</f>
        <v>FALSO</v>
      </c>
    </row>
    <row r="1622">
      <c r="B1622" s="186" t="str">
        <f>IFERROR(__xludf.DUMMYFUNCTION("""COMPUTED_VALUE"""),"PI5326Y")</f>
        <v>PI5326Y</v>
      </c>
      <c r="C1622" s="186" t="str">
        <f>IFERROR(__xludf.DUMMYFUNCTION("""COMPUTED_VALUE"""),"CANECO CAMPAINHA CORRA PRO FREEZER")</f>
        <v>CANECO CAMPAINHA CORRA PRO FREEZER</v>
      </c>
      <c r="D1622" s="186" t="str">
        <f>IFERROR(__xludf.DUMMYFUNCTION("""COMPUTED_VALUE"""),"FALSO")</f>
        <v>FALSO</v>
      </c>
    </row>
    <row r="1623">
      <c r="B1623" s="186" t="str">
        <f>IFERROR(__xludf.DUMMYFUNCTION("""COMPUTED_VALUE"""),"PI5243Y")</f>
        <v>PI5243Y</v>
      </c>
      <c r="C1623" s="186" t="str">
        <f>IFERROR(__xludf.DUMMYFUNCTION("""COMPUTED_VALUE"""),"COPO COM ABRIDOR ABRINDO OS TRABALHOS")</f>
        <v>COPO COM ABRIDOR ABRINDO OS TRABALHOS</v>
      </c>
      <c r="D1623" s="186" t="str">
        <f>IFERROR(__xludf.DUMMYFUNCTION("""COMPUTED_VALUE"""),"FALSO")</f>
        <v>FALSO</v>
      </c>
    </row>
    <row r="1624">
      <c r="B1624" s="186" t="str">
        <f>IFERROR(__xludf.DUMMYFUNCTION("""COMPUTED_VALUE"""),"PI5243Y")</f>
        <v>PI5243Y</v>
      </c>
      <c r="C1624" s="186" t="str">
        <f>IFERROR(__xludf.DUMMYFUNCTION("""COMPUTED_VALUE"""),"COPO COM ABRIDOR ABRINDO OS TRABALHOS")</f>
        <v>COPO COM ABRIDOR ABRINDO OS TRABALHOS</v>
      </c>
      <c r="D1624" s="186" t="str">
        <f>IFERROR(__xludf.DUMMYFUNCTION("""COMPUTED_VALUE"""),"FALSO")</f>
        <v>FALSO</v>
      </c>
    </row>
    <row r="1625">
      <c r="B1625" s="186" t="str">
        <f>IFERROR(__xludf.DUMMYFUNCTION("""COMPUTED_VALUE"""),"PI4280Y")</f>
        <v>PI4280Y</v>
      </c>
      <c r="C1625" s="186" t="str">
        <f>IFERROR(__xludf.DUMMYFUNCTION("""COMPUTED_VALUE"""),"CANECO CONGELAVEL BOM ENTENDEDOR")</f>
        <v>CANECO CONGELAVEL BOM ENTENDEDOR</v>
      </c>
      <c r="D1625" s="186" t="str">
        <f>IFERROR(__xludf.DUMMYFUNCTION("""COMPUTED_VALUE"""),"FALSO")</f>
        <v>FALSO</v>
      </c>
    </row>
    <row r="1626">
      <c r="B1626" s="186" t="str">
        <f>IFERROR(__xludf.DUMMYFUNCTION("""COMPUTED_VALUE"""),"PI4280Y")</f>
        <v>PI4280Y</v>
      </c>
      <c r="C1626" s="186" t="str">
        <f>IFERROR(__xludf.DUMMYFUNCTION("""COMPUTED_VALUE"""),"CANECO CONGELAVEL BOM ENTENDEDOR")</f>
        <v>CANECO CONGELAVEL BOM ENTENDEDOR</v>
      </c>
      <c r="D1626" s="186" t="str">
        <f>IFERROR(__xludf.DUMMYFUNCTION("""COMPUTED_VALUE"""),"FALSO")</f>
        <v>FALSO</v>
      </c>
    </row>
    <row r="1627">
      <c r="B1627" s="186" t="str">
        <f>IFERROR(__xludf.DUMMYFUNCTION("""COMPUTED_VALUE"""),"PI4280Y")</f>
        <v>PI4280Y</v>
      </c>
      <c r="C1627" s="186" t="str">
        <f>IFERROR(__xludf.DUMMYFUNCTION("""COMPUTED_VALUE"""),"CANECO CONGELAVEL BOM ENTENDEDOR")</f>
        <v>CANECO CONGELAVEL BOM ENTENDEDOR</v>
      </c>
      <c r="D1627" s="186" t="str">
        <f>IFERROR(__xludf.DUMMYFUNCTION("""COMPUTED_VALUE"""),"FALSO")</f>
        <v>FALSO</v>
      </c>
    </row>
    <row r="1628">
      <c r="B1628" s="186" t="str">
        <f>IFERROR(__xludf.DUMMYFUNCTION("""COMPUTED_VALUE"""),"PI4280Y")</f>
        <v>PI4280Y</v>
      </c>
      <c r="C1628" s="186" t="str">
        <f>IFERROR(__xludf.DUMMYFUNCTION("""COMPUTED_VALUE"""),"CANECO CONGELAVEL BOM ENTENDEDOR")</f>
        <v>CANECO CONGELAVEL BOM ENTENDEDOR</v>
      </c>
      <c r="D1628" s="186" t="str">
        <f>IFERROR(__xludf.DUMMYFUNCTION("""COMPUTED_VALUE"""),"FALSO")</f>
        <v>FALSO</v>
      </c>
    </row>
    <row r="1629">
      <c r="B1629" s="186" t="str">
        <f>IFERROR(__xludf.DUMMYFUNCTION("""COMPUTED_VALUE"""),"PI4280Y")</f>
        <v>PI4280Y</v>
      </c>
      <c r="C1629" s="186" t="str">
        <f>IFERROR(__xludf.DUMMYFUNCTION("""COMPUTED_VALUE"""),"CANECO CONGELAVEL BOM ENTENDEDOR")</f>
        <v>CANECO CONGELAVEL BOM ENTENDEDOR</v>
      </c>
      <c r="D1629" s="186" t="str">
        <f>IFERROR(__xludf.DUMMYFUNCTION("""COMPUTED_VALUE"""),"FALSO")</f>
        <v>FALSO</v>
      </c>
    </row>
    <row r="1630">
      <c r="B1630" s="186" t="str">
        <f>IFERROR(__xludf.DUMMYFUNCTION("""COMPUTED_VALUE"""),"PI6353Y")</f>
        <v>PI6353Y</v>
      </c>
      <c r="C1630" s="186" t="str">
        <f>IFERROR(__xludf.DUMMYFUNCTION("""COMPUTED_VALUE"""),"COPO DE CERVEJA SÓ UM CHOPPINHO")</f>
        <v>COPO DE CERVEJA SÓ UM CHOPPINHO</v>
      </c>
      <c r="D1630" s="186" t="str">
        <f>IFERROR(__xludf.DUMMYFUNCTION("""COMPUTED_VALUE"""),"FALSO")</f>
        <v>FALSO</v>
      </c>
    </row>
    <row r="1631">
      <c r="B1631" s="186" t="str">
        <f>IFERROR(__xludf.DUMMYFUNCTION("""COMPUTED_VALUE"""),"PI7976Y")</f>
        <v>PI7976Y</v>
      </c>
      <c r="C1631" s="186"/>
      <c r="D1631" s="186" t="str">
        <f>IFERROR(__xludf.DUMMYFUNCTION("""COMPUTED_VALUE"""),"FALSO")</f>
        <v>FALSO</v>
      </c>
    </row>
    <row r="1632">
      <c r="B1632" s="186" t="str">
        <f>IFERROR(__xludf.DUMMYFUNCTION("""COMPUTED_VALUE"""),"PI6293Y")</f>
        <v>PI6293Y</v>
      </c>
      <c r="C1632" s="186" t="str">
        <f>IFERROR(__xludf.DUMMYFUNCTION("""COMPUTED_VALUE"""),"JOGO BEER PONG")</f>
        <v>JOGO BEER PONG</v>
      </c>
      <c r="D1632" s="186" t="str">
        <f>IFERROR(__xludf.DUMMYFUNCTION("""COMPUTED_VALUE"""),"FALSO")</f>
        <v>FALSO</v>
      </c>
    </row>
    <row r="1633">
      <c r="B1633" s="186" t="str">
        <f>IFERROR(__xludf.DUMMYFUNCTION("""COMPUTED_VALUE"""),"PI6293Y")</f>
        <v>PI6293Y</v>
      </c>
      <c r="C1633" s="186" t="str">
        <f>IFERROR(__xludf.DUMMYFUNCTION("""COMPUTED_VALUE"""),"JOGO BEER PONG")</f>
        <v>JOGO BEER PONG</v>
      </c>
      <c r="D1633" s="186" t="str">
        <f>IFERROR(__xludf.DUMMYFUNCTION("""COMPUTED_VALUE"""),"FALSO")</f>
        <v>FALSO</v>
      </c>
    </row>
    <row r="1634">
      <c r="B1634" s="186" t="str">
        <f>IFERROR(__xludf.DUMMYFUNCTION("""COMPUTED_VALUE"""),"PI7731Y")</f>
        <v>PI7731Y</v>
      </c>
      <c r="C1634" s="186" t="str">
        <f>IFERROR(__xludf.DUMMYFUNCTION("""COMPUTED_VALUE"""),"CANETA GATO BEGE")</f>
        <v>CANETA GATO BEGE</v>
      </c>
      <c r="D1634" s="186" t="str">
        <f>IFERROR(__xludf.DUMMYFUNCTION("""COMPUTED_VALUE"""),"INMETRO SCHOOL ARTICLES SYSTEM 5 - ORDINANCE 481")</f>
        <v>INMETRO SCHOOL ARTICLES SYSTEM 5 - ORDINANCE 481</v>
      </c>
    </row>
    <row r="1635">
      <c r="B1635" s="186" t="str">
        <f>IFERROR(__xludf.DUMMYFUNCTION("""COMPUTED_VALUE"""),"PI6274Y")</f>
        <v>PI6274Y</v>
      </c>
      <c r="C1635" s="186" t="str">
        <f>IFERROR(__xludf.DUMMYFUNCTION("""COMPUTED_VALUE"""),"CANECO CAMPAINHA DEU A HORA")</f>
        <v>CANECO CAMPAINHA DEU A HORA</v>
      </c>
      <c r="D1635" s="186" t="str">
        <f>IFERROR(__xludf.DUMMYFUNCTION("""COMPUTED_VALUE"""),"FALSO")</f>
        <v>FALSO</v>
      </c>
    </row>
    <row r="1636">
      <c r="B1636" s="186" t="str">
        <f>IFERROR(__xludf.DUMMYFUNCTION("""COMPUTED_VALUE"""),"PI6274Y")</f>
        <v>PI6274Y</v>
      </c>
      <c r="C1636" s="186" t="str">
        <f>IFERROR(__xludf.DUMMYFUNCTION("""COMPUTED_VALUE"""),"CANECO CAMPAINHA DEU A HORA")</f>
        <v>CANECO CAMPAINHA DEU A HORA</v>
      </c>
      <c r="D1636" s="186" t="str">
        <f>IFERROR(__xludf.DUMMYFUNCTION("""COMPUTED_VALUE"""),"FALSO")</f>
        <v>FALSO</v>
      </c>
    </row>
    <row r="1637">
      <c r="B1637" s="186" t="str">
        <f>IFERROR(__xludf.DUMMYFUNCTION("""COMPUTED_VALUE"""),"PI6274Y")</f>
        <v>PI6274Y</v>
      </c>
      <c r="C1637" s="186" t="str">
        <f>IFERROR(__xludf.DUMMYFUNCTION("""COMPUTED_VALUE"""),"CANECO CAMPAINHA DEU A HORA")</f>
        <v>CANECO CAMPAINHA DEU A HORA</v>
      </c>
      <c r="D1637" s="186" t="str">
        <f>IFERROR(__xludf.DUMMYFUNCTION("""COMPUTED_VALUE"""),"FALSO")</f>
        <v>FALSO</v>
      </c>
    </row>
    <row r="1638">
      <c r="B1638" s="186" t="str">
        <f>IFERROR(__xludf.DUMMYFUNCTION("""COMPUTED_VALUE"""),"US0073")</f>
        <v>US0073</v>
      </c>
      <c r="C1638" s="186" t="str">
        <f>IFERROR(__xludf.DUMMYFUNCTION("""COMPUTED_VALUE"""),"LUMINARIA BIEL")</f>
        <v>LUMINARIA BIEL</v>
      </c>
      <c r="D1638" s="186" t="str">
        <f>IFERROR(__xludf.DUMMYFUNCTION("""COMPUTED_VALUE"""),"FALSO")</f>
        <v>FALSO</v>
      </c>
    </row>
    <row r="1639">
      <c r="B1639" s="186" t="str">
        <f>IFERROR(__xludf.DUMMYFUNCTION("""COMPUTED_VALUE"""),"PI6050Y")</f>
        <v>PI6050Y</v>
      </c>
      <c r="C1639" s="186" t="str">
        <f>IFERROR(__xludf.DUMMYFUNCTION("""COMPUTED_VALUE"""),"CAIXA ORGANIZADORA CASAS HOGWARTS")</f>
        <v>CAIXA ORGANIZADORA CASAS HOGWARTS</v>
      </c>
      <c r="D1639" s="186" t="str">
        <f>IFERROR(__xludf.DUMMYFUNCTION("""COMPUTED_VALUE"""),"FALSO")</f>
        <v>FALSO</v>
      </c>
    </row>
    <row r="1640">
      <c r="B1640" s="186" t="str">
        <f>IFERROR(__xludf.DUMMYFUNCTION("""COMPUTED_VALUE"""),"PI5825Y")</f>
        <v>PI5825Y</v>
      </c>
      <c r="C1640" s="186" t="str">
        <f>IFERROR(__xludf.DUMMYFUNCTION("""COMPUTED_VALUE"""),"PORTA BIJOUX DETALHE SOL DOURADO")</f>
        <v>PORTA BIJOUX DETALHE SOL DOURADO</v>
      </c>
      <c r="D1640" s="186" t="str">
        <f>IFERROR(__xludf.DUMMYFUNCTION("""COMPUTED_VALUE"""),"FALSO")</f>
        <v>FALSO</v>
      </c>
    </row>
    <row r="1641">
      <c r="B1641" s="186" t="str">
        <f>IFERROR(__xludf.DUMMYFUNCTION("""COMPUTED_VALUE"""),"PI5906Y")</f>
        <v>PI5906Y</v>
      </c>
      <c r="C1641" s="186" t="str">
        <f>IFERROR(__xludf.DUMMYFUNCTION("""COMPUTED_VALUE"""),"PORTA BIJOUX DRINK MARTINI")</f>
        <v>PORTA BIJOUX DRINK MARTINI</v>
      </c>
      <c r="D1641" s="186" t="str">
        <f>IFERROR(__xludf.DUMMYFUNCTION("""COMPUTED_VALUE"""),"FALSO")</f>
        <v>FALSO</v>
      </c>
    </row>
    <row r="1642">
      <c r="B1642" s="186" t="str">
        <f>IFERROR(__xludf.DUMMYFUNCTION("""COMPUTED_VALUE"""),"PI6503Y")</f>
        <v>PI6503Y</v>
      </c>
      <c r="C1642" s="186" t="str">
        <f>IFERROR(__xludf.DUMMYFUNCTION("""COMPUTED_VALUE"""),"PORTA BIJOUX TUDO NO SEU LUGAR")</f>
        <v>PORTA BIJOUX TUDO NO SEU LUGAR</v>
      </c>
      <c r="D1642" s="186" t="str">
        <f>IFERROR(__xludf.DUMMYFUNCTION("""COMPUTED_VALUE"""),"FALSO")</f>
        <v>FALSO</v>
      </c>
    </row>
    <row r="1643">
      <c r="B1643" s="186" t="str">
        <f>IFERROR(__xludf.DUMMYFUNCTION("""COMPUTED_VALUE"""),"PI7018Y")</f>
        <v>PI7018Y</v>
      </c>
      <c r="C1643" s="186" t="str">
        <f>IFERROR(__xludf.DUMMYFUNCTION("""COMPUTED_VALUE"""),"PORTA BIJOUX MAO ESCRITO NAS ESTRELAS")</f>
        <v>PORTA BIJOUX MAO ESCRITO NAS ESTRELAS</v>
      </c>
      <c r="D1643" s="186" t="str">
        <f>IFERROR(__xludf.DUMMYFUNCTION("""COMPUTED_VALUE"""),"FALSO")</f>
        <v>FALSO</v>
      </c>
    </row>
    <row r="1644">
      <c r="B1644" s="186" t="str">
        <f>IFERROR(__xludf.DUMMYFUNCTION("""COMPUTED_VALUE"""),"PI7076Y")</f>
        <v>PI7076Y</v>
      </c>
      <c r="C1644" s="186" t="str">
        <f>IFERROR(__xludf.DUMMYFUNCTION("""COMPUTED_VALUE"""),"PORTA BIJOUX BEIJA FLOR")</f>
        <v>PORTA BIJOUX BEIJA FLOR</v>
      </c>
      <c r="D1644" s="186" t="str">
        <f>IFERROR(__xludf.DUMMYFUNCTION("""COMPUTED_VALUE"""),"FALSO")</f>
        <v>FALSO</v>
      </c>
    </row>
    <row r="1645">
      <c r="B1645" s="186" t="str">
        <f>IFERROR(__xludf.DUMMYFUNCTION("""COMPUTED_VALUE"""),"PI5646Y")</f>
        <v>PI5646Y</v>
      </c>
      <c r="C1645" s="186" t="str">
        <f>IFERROR(__xludf.DUMMYFUNCTION("""COMPUTED_VALUE"""),"PORTA BIJOUX ESPELHO ESTAMPA DEIXA FLUIR")</f>
        <v>PORTA BIJOUX ESPELHO ESTAMPA DEIXA FLUIR</v>
      </c>
      <c r="D1645" s="186" t="str">
        <f>IFERROR(__xludf.DUMMYFUNCTION("""COMPUTED_VALUE"""),"FALSO")</f>
        <v>FALSO</v>
      </c>
    </row>
    <row r="1646">
      <c r="B1646" s="186" t="str">
        <f>IFERROR(__xludf.DUMMYFUNCTION("""COMPUTED_VALUE"""),"PI7021Y")</f>
        <v>PI7021Y</v>
      </c>
      <c r="C1646" s="186" t="str">
        <f>IFERROR(__xludf.DUMMYFUNCTION("""COMPUTED_VALUE"""),"PORTA BIJOUX FASES DA LUA")</f>
        <v>PORTA BIJOUX FASES DA LUA</v>
      </c>
      <c r="D1646" s="186" t="str">
        <f>IFERROR(__xludf.DUMMYFUNCTION("""COMPUTED_VALUE"""),"FALSO")</f>
        <v>FALSO</v>
      </c>
    </row>
    <row r="1647">
      <c r="B1647" s="186" t="str">
        <f>IFERROR(__xludf.DUMMYFUNCTION("""COMPUTED_VALUE"""),"PI7298Y")</f>
        <v>PI7298Y</v>
      </c>
      <c r="C1647" s="186" t="str">
        <f>IFERROR(__xludf.DUMMYFUNCTION("""COMPUTED_VALUE"""),"PORTA BIJOUX AMOR PROPRIO")</f>
        <v>PORTA BIJOUX AMOR PROPRIO</v>
      </c>
      <c r="D1647" s="186" t="str">
        <f>IFERROR(__xludf.DUMMYFUNCTION("""COMPUTED_VALUE"""),"FALSO")</f>
        <v>FALSO</v>
      </c>
    </row>
    <row r="1648">
      <c r="B1648" s="186" t="str">
        <f>IFERROR(__xludf.DUMMYFUNCTION("""COMPUTED_VALUE"""),"PI7298Y")</f>
        <v>PI7298Y</v>
      </c>
      <c r="C1648" s="186" t="str">
        <f>IFERROR(__xludf.DUMMYFUNCTION("""COMPUTED_VALUE"""),"PORTA BIJOUX AMOR PROPRIO")</f>
        <v>PORTA BIJOUX AMOR PROPRIO</v>
      </c>
      <c r="D1648" s="186" t="str">
        <f>IFERROR(__xludf.DUMMYFUNCTION("""COMPUTED_VALUE"""),"FALSO")</f>
        <v>FALSO</v>
      </c>
    </row>
    <row r="1649">
      <c r="B1649" s="186" t="str">
        <f>IFERROR(__xludf.DUMMYFUNCTION("""COMPUTED_VALUE"""),"PI5052Y")</f>
        <v>PI5052Y</v>
      </c>
      <c r="C1649" s="186" t="str">
        <f>IFERROR(__xludf.DUMMYFUNCTION("""COMPUTED_VALUE"""),"PORTA BIJOUX LED COM LOUSA PEROLAS")</f>
        <v>PORTA BIJOUX LED COM LOUSA PEROLAS</v>
      </c>
      <c r="D1649" s="186" t="str">
        <f>IFERROR(__xludf.DUMMYFUNCTION("""COMPUTED_VALUE"""),"FALSO")</f>
        <v>FALSO</v>
      </c>
    </row>
    <row r="1650">
      <c r="B1650" s="186" t="str">
        <f>IFERROR(__xludf.DUMMYFUNCTION("""COMPUTED_VALUE"""),"PI7339Y")</f>
        <v>PI7339Y</v>
      </c>
      <c r="C1650" s="186" t="str">
        <f>IFERROR(__xludf.DUMMYFUNCTION("""COMPUTED_VALUE"""),"PORTA BIJOUX COM ESPELHO QUE EU PRECISO")</f>
        <v>PORTA BIJOUX COM ESPELHO QUE EU PRECISO</v>
      </c>
      <c r="D1650" s="186" t="str">
        <f>IFERROR(__xludf.DUMMYFUNCTION("""COMPUTED_VALUE"""),"FALSO")</f>
        <v>FALSO</v>
      </c>
    </row>
    <row r="1651">
      <c r="B1651" s="186" t="str">
        <f>IFERROR(__xludf.DUMMYFUNCTION("""COMPUTED_VALUE"""),"PI7815Y")</f>
        <v>PI7815Y</v>
      </c>
      <c r="C1651" s="186" t="str">
        <f>IFERROR(__xludf.DUMMYFUNCTION("""COMPUTED_VALUE"""),"PORTA BIJOUX COM ESPELHO LED BRILHAR")</f>
        <v>PORTA BIJOUX COM ESPELHO LED BRILHAR</v>
      </c>
      <c r="D1651" s="186" t="str">
        <f>IFERROR(__xludf.DUMMYFUNCTION("""COMPUTED_VALUE"""),"FALSO")</f>
        <v>FALSO</v>
      </c>
    </row>
    <row r="1652">
      <c r="B1652" s="186" t="str">
        <f>IFERROR(__xludf.DUMMYFUNCTION("""COMPUTED_VALUE"""),"PI4539Y")</f>
        <v>PI4539Y</v>
      </c>
      <c r="C1652" s="186" t="str">
        <f>IFERROR(__xludf.DUMMYFUNCTION("""COMPUTED_VALUE"""),"PORTA BIJOUX COM ESPELHO LED ME AGUARDE")</f>
        <v>PORTA BIJOUX COM ESPELHO LED ME AGUARDE</v>
      </c>
      <c r="D1652" s="186" t="str">
        <f>IFERROR(__xludf.DUMMYFUNCTION("""COMPUTED_VALUE"""),"FALSO")</f>
        <v>FALSO</v>
      </c>
    </row>
    <row r="1653">
      <c r="B1653" s="186" t="str">
        <f>IFERROR(__xludf.DUMMYFUNCTION("""COMPUTED_VALUE"""),"PI4539Y")</f>
        <v>PI4539Y</v>
      </c>
      <c r="C1653" s="186" t="str">
        <f>IFERROR(__xludf.DUMMYFUNCTION("""COMPUTED_VALUE"""),"PORTA BIJOUX COM ESPELHO LED ME AGUARDE")</f>
        <v>PORTA BIJOUX COM ESPELHO LED ME AGUARDE</v>
      </c>
      <c r="D1653" s="186" t="str">
        <f>IFERROR(__xludf.DUMMYFUNCTION("""COMPUTED_VALUE"""),"FALSO")</f>
        <v>FALSO</v>
      </c>
    </row>
    <row r="1654">
      <c r="B1654" s="186" t="str">
        <f>IFERROR(__xludf.DUMMYFUNCTION("""COMPUTED_VALUE"""),"PI4539Y")</f>
        <v>PI4539Y</v>
      </c>
      <c r="C1654" s="186" t="str">
        <f>IFERROR(__xludf.DUMMYFUNCTION("""COMPUTED_VALUE"""),"PORTA BIJOUX COM ESPELHO LED ME AGUARDE")</f>
        <v>PORTA BIJOUX COM ESPELHO LED ME AGUARDE</v>
      </c>
      <c r="D1654" s="186" t="str">
        <f>IFERROR(__xludf.DUMMYFUNCTION("""COMPUTED_VALUE"""),"FALSO")</f>
        <v>FALSO</v>
      </c>
    </row>
    <row r="1655">
      <c r="B1655" s="186" t="str">
        <f>IFERROR(__xludf.DUMMYFUNCTION("""COMPUTED_VALUE"""),"PI4539Y")</f>
        <v>PI4539Y</v>
      </c>
      <c r="C1655" s="186" t="str">
        <f>IFERROR(__xludf.DUMMYFUNCTION("""COMPUTED_VALUE"""),"PORTA BIJOUX COM ESPELHO LED ME AGUARDE")</f>
        <v>PORTA BIJOUX COM ESPELHO LED ME AGUARDE</v>
      </c>
      <c r="D1655" s="186" t="str">
        <f>IFERROR(__xludf.DUMMYFUNCTION("""COMPUTED_VALUE"""),"FALSO")</f>
        <v>FALSO</v>
      </c>
    </row>
    <row r="1656">
      <c r="B1656" s="186" t="str">
        <f>IFERROR(__xludf.DUMMYFUNCTION("""COMPUTED_VALUE"""),"PI4539Y")</f>
        <v>PI4539Y</v>
      </c>
      <c r="C1656" s="186" t="str">
        <f>IFERROR(__xludf.DUMMYFUNCTION("""COMPUTED_VALUE"""),"PORTA BIJOUX COM ESPELHO LED ME AGUARDE")</f>
        <v>PORTA BIJOUX COM ESPELHO LED ME AGUARDE</v>
      </c>
      <c r="D1656" s="186" t="str">
        <f>IFERROR(__xludf.DUMMYFUNCTION("""COMPUTED_VALUE"""),"FALSO")</f>
        <v>FALSO</v>
      </c>
    </row>
    <row r="1657">
      <c r="B1657" s="186" t="str">
        <f>IFERROR(__xludf.DUMMYFUNCTION("""COMPUTED_VALUE"""),"PI4539Y")</f>
        <v>PI4539Y</v>
      </c>
      <c r="C1657" s="186" t="str">
        <f>IFERROR(__xludf.DUMMYFUNCTION("""COMPUTED_VALUE"""),"PORTA BIJOUX COM ESPELHO LED ME AGUARDE")</f>
        <v>PORTA BIJOUX COM ESPELHO LED ME AGUARDE</v>
      </c>
      <c r="D1657" s="186" t="str">
        <f>IFERROR(__xludf.DUMMYFUNCTION("""COMPUTED_VALUE"""),"FALSO")</f>
        <v>FALSO</v>
      </c>
    </row>
    <row r="1658">
      <c r="B1658" s="186" t="str">
        <f>IFERROR(__xludf.DUMMYFUNCTION("""COMPUTED_VALUE"""),"US0074")</f>
        <v>US0074</v>
      </c>
      <c r="C1658" s="186" t="str">
        <f>IFERROR(__xludf.DUMMYFUNCTION("""COMPUTED_VALUE"""),"LUMINARIA BILY AZUL")</f>
        <v>LUMINARIA BILY AZUL</v>
      </c>
      <c r="D1658" s="186" t="str">
        <f>IFERROR(__xludf.DUMMYFUNCTION("""COMPUTED_VALUE"""),"FALSO")</f>
        <v>FALSO</v>
      </c>
    </row>
    <row r="1659">
      <c r="B1659" s="186" t="str">
        <f>IFERROR(__xludf.DUMMYFUNCTION("""COMPUTED_VALUE"""),"PI6365Y")</f>
        <v>PI6365Y</v>
      </c>
      <c r="C1659" s="186" t="str">
        <f>IFERROR(__xludf.DUMMYFUNCTION("""COMPUTED_VALUE"""),"CANECA AMARGUINHOS CAFÉ COM LÁGRIMAS")</f>
        <v>CANECA AMARGUINHOS CAFÉ COM LÁGRIMAS</v>
      </c>
      <c r="D1659" s="186" t="str">
        <f>IFERROR(__xludf.DUMMYFUNCTION("""COMPUTED_VALUE"""),"FALSO")</f>
        <v>FALSO</v>
      </c>
    </row>
    <row r="1660">
      <c r="B1660" s="186" t="str">
        <f>IFERROR(__xludf.DUMMYFUNCTION("""COMPUTED_VALUE"""),"PI6359Y")</f>
        <v>PI6359Y</v>
      </c>
      <c r="C1660" s="186" t="str">
        <f>IFERROR(__xludf.DUMMYFUNCTION("""COMPUTED_VALUE"""),"CANECA AMARGUINHOS TUDO DANDO ERRADO")</f>
        <v>CANECA AMARGUINHOS TUDO DANDO ERRADO</v>
      </c>
      <c r="D1660" s="186" t="str">
        <f>IFERROR(__xludf.DUMMYFUNCTION("""COMPUTED_VALUE"""),"FALSO")</f>
        <v>FALSO</v>
      </c>
    </row>
    <row r="1661">
      <c r="B1661" s="186" t="str">
        <f>IFERROR(__xludf.DUMMYFUNCTION("""COMPUTED_VALUE"""),"PI6369Y")</f>
        <v>PI6369Y</v>
      </c>
      <c r="C1661" s="186" t="str">
        <f>IFERROR(__xludf.DUMMYFUNCTION("""COMPUTED_VALUE"""),"CANECA AMARGUINHOS BOM DIA PARA TODOS")</f>
        <v>CANECA AMARGUINHOS BOM DIA PARA TODOS</v>
      </c>
      <c r="D1661" s="186" t="str">
        <f>IFERROR(__xludf.DUMMYFUNCTION("""COMPUTED_VALUE"""),"FALSO")</f>
        <v>FALSO</v>
      </c>
    </row>
    <row r="1662">
      <c r="B1662" s="186" t="str">
        <f>IFERROR(__xludf.DUMMYFUNCTION("""COMPUTED_VALUE"""),"PI6369Y")</f>
        <v>PI6369Y</v>
      </c>
      <c r="C1662" s="186" t="str">
        <f>IFERROR(__xludf.DUMMYFUNCTION("""COMPUTED_VALUE"""),"CANECA AMARGUINHOS BOM DIA PARA TODOS")</f>
        <v>CANECA AMARGUINHOS BOM DIA PARA TODOS</v>
      </c>
      <c r="D1662" s="186" t="str">
        <f>IFERROR(__xludf.DUMMYFUNCTION("""COMPUTED_VALUE"""),"FALSO")</f>
        <v>FALSO</v>
      </c>
    </row>
    <row r="1663">
      <c r="B1663" s="186" t="str">
        <f>IFERROR(__xludf.DUMMYFUNCTION("""COMPUTED_VALUE"""),"PI6369Y")</f>
        <v>PI6369Y</v>
      </c>
      <c r="C1663" s="186" t="str">
        <f>IFERROR(__xludf.DUMMYFUNCTION("""COMPUTED_VALUE"""),"CANECA AMARGUINHOS BOM DIA PARA TODOS")</f>
        <v>CANECA AMARGUINHOS BOM DIA PARA TODOS</v>
      </c>
      <c r="D1663" s="186" t="str">
        <f>IFERROR(__xludf.DUMMYFUNCTION("""COMPUTED_VALUE"""),"FALSO")</f>
        <v>FALSO</v>
      </c>
    </row>
    <row r="1664">
      <c r="B1664" s="186" t="str">
        <f>IFERROR(__xludf.DUMMYFUNCTION("""COMPUTED_VALUE"""),"PI6369Y")</f>
        <v>PI6369Y</v>
      </c>
      <c r="C1664" s="186" t="str">
        <f>IFERROR(__xludf.DUMMYFUNCTION("""COMPUTED_VALUE"""),"CANECA AMARGUINHOS BOM DIA PARA TODOS")</f>
        <v>CANECA AMARGUINHOS BOM DIA PARA TODOS</v>
      </c>
      <c r="D1664" s="186" t="str">
        <f>IFERROR(__xludf.DUMMYFUNCTION("""COMPUTED_VALUE"""),"FALSO")</f>
        <v>FALSO</v>
      </c>
    </row>
    <row r="1665">
      <c r="B1665" s="186" t="str">
        <f>IFERROR(__xludf.DUMMYFUNCTION("""COMPUTED_VALUE"""),"PI6366Y")</f>
        <v>PI6366Y</v>
      </c>
      <c r="C1665" s="186" t="str">
        <f>IFERROR(__xludf.DUMMYFUNCTION("""COMPUTED_VALUE"""),"CANECA AMARGUINHOS FOFOCA")</f>
        <v>CANECA AMARGUINHOS FOFOCA</v>
      </c>
      <c r="D1665" s="186" t="str">
        <f>IFERROR(__xludf.DUMMYFUNCTION("""COMPUTED_VALUE"""),"FALSO")</f>
        <v>FALSO</v>
      </c>
    </row>
    <row r="1666">
      <c r="B1666" s="186" t="str">
        <f>IFERROR(__xludf.DUMMYFUNCTION("""COMPUTED_VALUE"""),"PI6366Y")</f>
        <v>PI6366Y</v>
      </c>
      <c r="C1666" s="186" t="str">
        <f>IFERROR(__xludf.DUMMYFUNCTION("""COMPUTED_VALUE"""),"CANECA AMARGUINHOS FOFOCA")</f>
        <v>CANECA AMARGUINHOS FOFOCA</v>
      </c>
      <c r="D1666" s="186" t="str">
        <f>IFERROR(__xludf.DUMMYFUNCTION("""COMPUTED_VALUE"""),"FALSO")</f>
        <v>FALSO</v>
      </c>
    </row>
    <row r="1667">
      <c r="B1667" s="186" t="str">
        <f>IFERROR(__xludf.DUMMYFUNCTION("""COMPUTED_VALUE"""),"PI6358Y")</f>
        <v>PI6358Y</v>
      </c>
      <c r="C1667" s="186" t="str">
        <f>IFERROR(__xludf.DUMMYFUNCTION("""COMPUTED_VALUE"""),"CANECA AMARGUINHOS RECLAMO MAS RESOLVO")</f>
        <v>CANECA AMARGUINHOS RECLAMO MAS RESOLVO</v>
      </c>
      <c r="D1667" s="186" t="str">
        <f>IFERROR(__xludf.DUMMYFUNCTION("""COMPUTED_VALUE"""),"FALSO")</f>
        <v>FALSO</v>
      </c>
    </row>
    <row r="1668">
      <c r="B1668" s="186" t="str">
        <f>IFERROR(__xludf.DUMMYFUNCTION("""COMPUTED_VALUE"""),"PI6358Y")</f>
        <v>PI6358Y</v>
      </c>
      <c r="C1668" s="186" t="str">
        <f>IFERROR(__xludf.DUMMYFUNCTION("""COMPUTED_VALUE"""),"CANECA AMARGUINHOS RECLAMO MAS RESOLVO")</f>
        <v>CANECA AMARGUINHOS RECLAMO MAS RESOLVO</v>
      </c>
      <c r="D1668" s="186" t="str">
        <f>IFERROR(__xludf.DUMMYFUNCTION("""COMPUTED_VALUE"""),"FALSO")</f>
        <v>FALSO</v>
      </c>
    </row>
    <row r="1669">
      <c r="B1669" s="186" t="str">
        <f>IFERROR(__xludf.DUMMYFUNCTION("""COMPUTED_VALUE"""),"PI6358Y")</f>
        <v>PI6358Y</v>
      </c>
      <c r="C1669" s="186" t="str">
        <f>IFERROR(__xludf.DUMMYFUNCTION("""COMPUTED_VALUE"""),"CANECA AMARGUINHOS RECLAMO MAS RESOLVO")</f>
        <v>CANECA AMARGUINHOS RECLAMO MAS RESOLVO</v>
      </c>
      <c r="D1669" s="186" t="str">
        <f>IFERROR(__xludf.DUMMYFUNCTION("""COMPUTED_VALUE"""),"FALSO")</f>
        <v>FALSO</v>
      </c>
    </row>
    <row r="1670">
      <c r="B1670" s="186" t="str">
        <f>IFERROR(__xludf.DUMMYFUNCTION("""COMPUTED_VALUE"""),"PI6358Y")</f>
        <v>PI6358Y</v>
      </c>
      <c r="C1670" s="186" t="str">
        <f>IFERROR(__xludf.DUMMYFUNCTION("""COMPUTED_VALUE"""),"CANECA AMARGUINHOS RECLAMO MAS RESOLVO")</f>
        <v>CANECA AMARGUINHOS RECLAMO MAS RESOLVO</v>
      </c>
      <c r="D1670" s="186" t="str">
        <f>IFERROR(__xludf.DUMMYFUNCTION("""COMPUTED_VALUE"""),"FALSO")</f>
        <v>FALSO</v>
      </c>
    </row>
    <row r="1671">
      <c r="B1671" s="186" t="str">
        <f>IFERROR(__xludf.DUMMYFUNCTION("""COMPUTED_VALUE"""),"PI6362Y")</f>
        <v>PI6362Y</v>
      </c>
      <c r="C1671" s="186" t="str">
        <f>IFERROR(__xludf.DUMMYFUNCTION("""COMPUTED_VALUE"""),"CANECA AMARGUINHOS NÃO RECOMENDO")</f>
        <v>CANECA AMARGUINHOS NÃO RECOMENDO</v>
      </c>
      <c r="D1671" s="186" t="str">
        <f>IFERROR(__xludf.DUMMYFUNCTION("""COMPUTED_VALUE"""),"FALSO")</f>
        <v>FALSO</v>
      </c>
    </row>
    <row r="1672">
      <c r="B1672" s="186" t="str">
        <f>IFERROR(__xludf.DUMMYFUNCTION("""COMPUTED_VALUE"""),"PI6363Y")</f>
        <v>PI6363Y</v>
      </c>
      <c r="C1672" s="186" t="str">
        <f>IFERROR(__xludf.DUMMYFUNCTION("""COMPUTED_VALUE"""),"CANECA AMARGUINHOS EU NÃO TRABALHO AQUI")</f>
        <v>CANECA AMARGUINHOS EU NÃO TRABALHO AQUI</v>
      </c>
      <c r="D1672" s="186" t="str">
        <f>IFERROR(__xludf.DUMMYFUNCTION("""COMPUTED_VALUE"""),"FALSO")</f>
        <v>FALSO</v>
      </c>
    </row>
    <row r="1673">
      <c r="B1673" s="186" t="str">
        <f>IFERROR(__xludf.DUMMYFUNCTION("""COMPUTED_VALUE"""),"PI6364Y")</f>
        <v>PI6364Y</v>
      </c>
      <c r="C1673" s="358" t="str">
        <f>IFERROR(__xludf.DUMMYFUNCTION("""COMPUTED_VALUE"""),"CANECA AMARGUINHOS SE PRECISAREM DE MIM")</f>
        <v>CANECA AMARGUINHOS SE PRECISAREM DE MIM</v>
      </c>
      <c r="D1673" s="186" t="str">
        <f>IFERROR(__xludf.DUMMYFUNCTION("""COMPUTED_VALUE"""),"FALSO")</f>
        <v>FALSO</v>
      </c>
    </row>
    <row r="1674">
      <c r="B1674" s="186" t="str">
        <f>IFERROR(__xludf.DUMMYFUNCTION("""COMPUTED_VALUE"""),"PI6364Y")</f>
        <v>PI6364Y</v>
      </c>
      <c r="C1674" s="358" t="str">
        <f>IFERROR(__xludf.DUMMYFUNCTION("""COMPUTED_VALUE"""),"CANECA AMARGUINHOS SE PRECISAREM DE MIM")</f>
        <v>CANECA AMARGUINHOS SE PRECISAREM DE MIM</v>
      </c>
      <c r="D1674" s="186" t="str">
        <f>IFERROR(__xludf.DUMMYFUNCTION("""COMPUTED_VALUE"""),"FALSO")</f>
        <v>FALSO</v>
      </c>
    </row>
    <row r="1675">
      <c r="B1675" s="186" t="str">
        <f>IFERROR(__xludf.DUMMYFUNCTION("""COMPUTED_VALUE"""),"PI6364Y")</f>
        <v>PI6364Y</v>
      </c>
      <c r="C1675" s="358" t="str">
        <f>IFERROR(__xludf.DUMMYFUNCTION("""COMPUTED_VALUE"""),"CANECA AMARGUINHOS SE PRECISAREM DE MIM")</f>
        <v>CANECA AMARGUINHOS SE PRECISAREM DE MIM</v>
      </c>
      <c r="D1675" s="186" t="str">
        <f>IFERROR(__xludf.DUMMYFUNCTION("""COMPUTED_VALUE"""),"FALSO")</f>
        <v>FALSO</v>
      </c>
    </row>
    <row r="1676">
      <c r="B1676" s="186" t="str">
        <f>IFERROR(__xludf.DUMMYFUNCTION("""COMPUTED_VALUE"""),"PI6364Y")</f>
        <v>PI6364Y</v>
      </c>
      <c r="C1676" s="358" t="str">
        <f>IFERROR(__xludf.DUMMYFUNCTION("""COMPUTED_VALUE"""),"CANECA AMARGUINHOS SE PRECISAREM DE MIM")</f>
        <v>CANECA AMARGUINHOS SE PRECISAREM DE MIM</v>
      </c>
      <c r="D1676" s="186" t="str">
        <f>IFERROR(__xludf.DUMMYFUNCTION("""COMPUTED_VALUE"""),"FALSO")</f>
        <v>FALSO</v>
      </c>
    </row>
    <row r="1677">
      <c r="B1677" s="186" t="str">
        <f>IFERROR(__xludf.DUMMYFUNCTION("""COMPUTED_VALUE"""),"PI6368Y")</f>
        <v>PI6368Y</v>
      </c>
      <c r="C1677" s="358" t="str">
        <f>IFERROR(__xludf.DUMMYFUNCTION("""COMPUTED_VALUE"""),"CANECA AMARGUINHOS VOU VER E TE AVISO")</f>
        <v>CANECA AMARGUINHOS VOU VER E TE AVISO</v>
      </c>
      <c r="D1677" s="186" t="str">
        <f>IFERROR(__xludf.DUMMYFUNCTION("""COMPUTED_VALUE"""),"FALSO")</f>
        <v>FALSO</v>
      </c>
    </row>
    <row r="1678">
      <c r="B1678" s="186" t="str">
        <f>IFERROR(__xludf.DUMMYFUNCTION("""COMPUTED_VALUE"""),"PI6361Y")</f>
        <v>PI6361Y</v>
      </c>
      <c r="C1678" s="358" t="str">
        <f>IFERROR(__xludf.DUMMYFUNCTION("""COMPUTED_VALUE"""),"CANECA AMARGUINHOS ACORDEI CEDO")</f>
        <v>CANECA AMARGUINHOS ACORDEI CEDO</v>
      </c>
      <c r="D1678" s="186" t="str">
        <f>IFERROR(__xludf.DUMMYFUNCTION("""COMPUTED_VALUE"""),"FALSO")</f>
        <v>FALSO</v>
      </c>
    </row>
    <row r="1679">
      <c r="B1679" s="186" t="str">
        <f>IFERROR(__xludf.DUMMYFUNCTION("""COMPUTED_VALUE"""),"PI6361Y")</f>
        <v>PI6361Y</v>
      </c>
      <c r="C1679" s="358" t="str">
        <f>IFERROR(__xludf.DUMMYFUNCTION("""COMPUTED_VALUE"""),"CANECA AMARGUINHOS ACORDEI CEDO")</f>
        <v>CANECA AMARGUINHOS ACORDEI CEDO</v>
      </c>
      <c r="D1679" s="186" t="str">
        <f>IFERROR(__xludf.DUMMYFUNCTION("""COMPUTED_VALUE"""),"FALSO")</f>
        <v>FALSO</v>
      </c>
    </row>
    <row r="1680">
      <c r="B1680" s="186" t="str">
        <f>IFERROR(__xludf.DUMMYFUNCTION("""COMPUTED_VALUE"""),"PI6361Y")</f>
        <v>PI6361Y</v>
      </c>
      <c r="C1680" s="358" t="str">
        <f>IFERROR(__xludf.DUMMYFUNCTION("""COMPUTED_VALUE"""),"CANECA AMARGUINHOS ACORDEI CEDO")</f>
        <v>CANECA AMARGUINHOS ACORDEI CEDO</v>
      </c>
      <c r="D1680" s="186" t="str">
        <f>IFERROR(__xludf.DUMMYFUNCTION("""COMPUTED_VALUE"""),"FALSO")</f>
        <v>FALSO</v>
      </c>
    </row>
    <row r="1681">
      <c r="B1681" s="186" t="str">
        <f>IFERROR(__xludf.DUMMYFUNCTION("""COMPUTED_VALUE"""),"PI6361Y")</f>
        <v>PI6361Y</v>
      </c>
      <c r="C1681" s="358" t="str">
        <f>IFERROR(__xludf.DUMMYFUNCTION("""COMPUTED_VALUE"""),"CANECA AMARGUINHOS ACORDEI CEDO")</f>
        <v>CANECA AMARGUINHOS ACORDEI CEDO</v>
      </c>
      <c r="D1681" s="186" t="str">
        <f>IFERROR(__xludf.DUMMYFUNCTION("""COMPUTED_VALUE"""),"FALSO")</f>
        <v>FALSO</v>
      </c>
    </row>
    <row r="1682">
      <c r="B1682" s="186" t="str">
        <f>IFERROR(__xludf.DUMMYFUNCTION("""COMPUTED_VALUE"""),"PI6360Y")</f>
        <v>PI6360Y</v>
      </c>
      <c r="C1682" s="358" t="str">
        <f>IFERROR(__xludf.DUMMYFUNCTION("""COMPUTED_VALUE"""),"CANECA AMARGUINHOS AGRADEÇO A OPINIÃO")</f>
        <v>CANECA AMARGUINHOS AGRADEÇO A OPINIÃO</v>
      </c>
      <c r="D1682" s="186" t="str">
        <f>IFERROR(__xludf.DUMMYFUNCTION("""COMPUTED_VALUE"""),"FALSO")</f>
        <v>FALSO</v>
      </c>
    </row>
    <row r="1683">
      <c r="B1683" s="186" t="str">
        <f>IFERROR(__xludf.DUMMYFUNCTION("""COMPUTED_VALUE"""),"PI6360Y")</f>
        <v>PI6360Y</v>
      </c>
      <c r="C1683" s="358" t="str">
        <f>IFERROR(__xludf.DUMMYFUNCTION("""COMPUTED_VALUE"""),"CANECA AMARGUINHOS AGRADEÇO A OPINIÃO")</f>
        <v>CANECA AMARGUINHOS AGRADEÇO A OPINIÃO</v>
      </c>
      <c r="D1683" s="186" t="str">
        <f>IFERROR(__xludf.DUMMYFUNCTION("""COMPUTED_VALUE"""),"FALSO")</f>
        <v>FALSO</v>
      </c>
    </row>
    <row r="1684">
      <c r="B1684" s="186" t="str">
        <f>IFERROR(__xludf.DUMMYFUNCTION("""COMPUTED_VALUE"""),"PI6360Y")</f>
        <v>PI6360Y</v>
      </c>
      <c r="C1684" s="358" t="str">
        <f>IFERROR(__xludf.DUMMYFUNCTION("""COMPUTED_VALUE"""),"CANECA AMARGUINHOS AGRADEÇO A OPINIÃO")</f>
        <v>CANECA AMARGUINHOS AGRADEÇO A OPINIÃO</v>
      </c>
      <c r="D1684" s="186" t="str">
        <f>IFERROR(__xludf.DUMMYFUNCTION("""COMPUTED_VALUE"""),"FALSO")</f>
        <v>FALSO</v>
      </c>
    </row>
    <row r="1685">
      <c r="B1685" s="186" t="str">
        <f>IFERROR(__xludf.DUMMYFUNCTION("""COMPUTED_VALUE"""),"PI6360Y")</f>
        <v>PI6360Y</v>
      </c>
      <c r="C1685" s="358" t="str">
        <f>IFERROR(__xludf.DUMMYFUNCTION("""COMPUTED_VALUE"""),"CANECA AMARGUINHOS AGRADEÇO A OPINIÃO")</f>
        <v>CANECA AMARGUINHOS AGRADEÇO A OPINIÃO</v>
      </c>
      <c r="D1685" s="186" t="str">
        <f>IFERROR(__xludf.DUMMYFUNCTION("""COMPUTED_VALUE"""),"FALSO")</f>
        <v>FALSO</v>
      </c>
    </row>
    <row r="1686">
      <c r="B1686" s="186" t="str">
        <f>IFERROR(__xludf.DUMMYFUNCTION("""COMPUTED_VALUE"""),"PI6367Y")</f>
        <v>PI6367Y</v>
      </c>
      <c r="C1686" s="358" t="str">
        <f>IFERROR(__xludf.DUMMYFUNCTION("""COMPUTED_VALUE"""),"CANECA AMARGUINHOS PROBLEMA SEU")</f>
        <v>CANECA AMARGUINHOS PROBLEMA SEU</v>
      </c>
      <c r="D1686" s="186" t="str">
        <f>IFERROR(__xludf.DUMMYFUNCTION("""COMPUTED_VALUE"""),"FALSO")</f>
        <v>FALSO</v>
      </c>
    </row>
    <row r="1687">
      <c r="B1687" s="186" t="str">
        <f>IFERROR(__xludf.DUMMYFUNCTION("""COMPUTED_VALUE"""),"PI5443Y")</f>
        <v>PI5443Y</v>
      </c>
      <c r="C1687" s="358" t="str">
        <f>IFERROR(__xludf.DUMMYFUNCTION("""COMPUTED_VALUE"""),"LUMINARIA GLOBO BIVOLT")</f>
        <v>LUMINARIA GLOBO BIVOLT</v>
      </c>
      <c r="D1687" s="186" t="str">
        <f>IFERROR(__xludf.DUMMYFUNCTION("""COMPUTED_VALUE"""),"FALSO")</f>
        <v>FALSO</v>
      </c>
    </row>
    <row r="1688">
      <c r="B1688" s="186" t="str">
        <f>IFERROR(__xludf.DUMMYFUNCTION("""COMPUTED_VALUE"""),"PI5443Y")</f>
        <v>PI5443Y</v>
      </c>
      <c r="C1688" s="358" t="str">
        <f>IFERROR(__xludf.DUMMYFUNCTION("""COMPUTED_VALUE"""),"LUMINARIA GLOBO BIVOLT")</f>
        <v>LUMINARIA GLOBO BIVOLT</v>
      </c>
      <c r="D1688" s="186" t="str">
        <f>IFERROR(__xludf.DUMMYFUNCTION("""COMPUTED_VALUE"""),"FALSO")</f>
        <v>FALSO</v>
      </c>
    </row>
    <row r="1689">
      <c r="B1689" s="186" t="str">
        <f>IFERROR(__xludf.DUMMYFUNCTION("""COMPUTED_VALUE"""),"PI5443Y")</f>
        <v>PI5443Y</v>
      </c>
      <c r="C1689" s="358" t="str">
        <f>IFERROR(__xludf.DUMMYFUNCTION("""COMPUTED_VALUE"""),"LUMINARIA GLOBO BIVOLT")</f>
        <v>LUMINARIA GLOBO BIVOLT</v>
      </c>
      <c r="D1689" s="186" t="str">
        <f>IFERROR(__xludf.DUMMYFUNCTION("""COMPUTED_VALUE"""),"FALSO")</f>
        <v>FALSO</v>
      </c>
    </row>
    <row r="1690">
      <c r="B1690" s="186" t="str">
        <f>IFERROR(__xludf.DUMMYFUNCTION("""COMPUTED_VALUE"""),"PI7432Y")</f>
        <v>PI7432Y</v>
      </c>
      <c r="C1690" s="358" t="str">
        <f>IFERROR(__xludf.DUMMYFUNCTION("""COMPUTED_VALUE"""),"MANTA CASAL PRETA COM MANGA CACA PALAVRA")</f>
        <v>MANTA CASAL PRETA COM MANGA CACA PALAVRA</v>
      </c>
      <c r="D1690" s="186" t="str">
        <f>IFERROR(__xludf.DUMMYFUNCTION("""COMPUTED_VALUE"""),"FALSO")</f>
        <v>FALSO</v>
      </c>
    </row>
    <row r="1691">
      <c r="B1691" s="186" t="str">
        <f>IFERROR(__xludf.DUMMYFUNCTION("""COMPUTED_VALUE"""),"PI7483Y")</f>
        <v>PI7483Y</v>
      </c>
      <c r="C1691" s="358" t="str">
        <f>IFERROR(__xludf.DUMMYFUNCTION("""COMPUTED_VALUE"""),"COPO MOEDOR DE CAFE PRETO HOJE TO MOIDO")</f>
        <v>COPO MOEDOR DE CAFE PRETO HOJE TO MOIDO</v>
      </c>
      <c r="D1691" s="186" t="str">
        <f>IFERROR(__xludf.DUMMYFUNCTION("""COMPUTED_VALUE"""),"FALSO")</f>
        <v>FALSO</v>
      </c>
    </row>
    <row r="1692">
      <c r="B1692" s="186" t="str">
        <f>IFERROR(__xludf.DUMMYFUNCTION("""COMPUTED_VALUE"""),"PI7483Y")</f>
        <v>PI7483Y</v>
      </c>
      <c r="C1692" s="358" t="str">
        <f>IFERROR(__xludf.DUMMYFUNCTION("""COMPUTED_VALUE"""),"COPO MOEDOR DE CAFE PRETO HOJE TO MOIDO")</f>
        <v>COPO MOEDOR DE CAFE PRETO HOJE TO MOIDO</v>
      </c>
      <c r="D1692" s="186" t="str">
        <f>IFERROR(__xludf.DUMMYFUNCTION("""COMPUTED_VALUE"""),"FALSO")</f>
        <v>FALSO</v>
      </c>
    </row>
    <row r="1693">
      <c r="B1693" s="186" t="str">
        <f>IFERROR(__xludf.DUMMYFUNCTION("""COMPUTED_VALUE"""),"PI7567Y")</f>
        <v>PI7567Y</v>
      </c>
      <c r="C1693" s="358" t="str">
        <f>IFERROR(__xludf.DUMMYFUNCTION("""COMPUTED_VALUE"""),"CANETA ASTRONAUTA PRETA")</f>
        <v>CANETA ASTRONAUTA PRETA</v>
      </c>
      <c r="D1693" s="186" t="str">
        <f>IFERROR(__xludf.DUMMYFUNCTION("""COMPUTED_VALUE"""),"INMETRO SCHOOL ARTICLES SYSTEM 5 - ORDINANCE 481")</f>
        <v>INMETRO SCHOOL ARTICLES SYSTEM 5 - ORDINANCE 481</v>
      </c>
    </row>
    <row r="1694">
      <c r="B1694" s="186" t="str">
        <f>IFERROR(__xludf.DUMMYFUNCTION("""COMPUTED_VALUE"""),"PI6461Y")</f>
        <v>PI6461Y</v>
      </c>
      <c r="C1694" s="186" t="str">
        <f>IFERROR(__xludf.DUMMYFUNCTION("""COMPUTED_VALUE"""),"CAIXA DE SOM PORTÁTIL PRETO")</f>
        <v>CAIXA DE SOM PORTÁTIL PRETO</v>
      </c>
      <c r="D1694" s="186" t="str">
        <f>IFERROR(__xludf.DUMMYFUNCTION("""COMPUTED_VALUE"""),"Anatel Category 2 - Bluetooth and Radiofrequency Comms")</f>
        <v>Anatel Category 2 - Bluetooth and Radiofrequency Comms</v>
      </c>
    </row>
    <row r="1695">
      <c r="B1695" s="186"/>
      <c r="C1695" s="186"/>
      <c r="D1695" s="186"/>
    </row>
    <row r="1696">
      <c r="B1696" s="186" t="str">
        <f>IFERROR(__xludf.DUMMYFUNCTION("""COMPUTED_VALUE"""),"PI7765Y")</f>
        <v>PI7765Y</v>
      </c>
      <c r="C1696" s="186" t="str">
        <f>IFERROR(__xludf.DUMMYFUNCTION("""COMPUTED_VALUE"""),"MANTA ABELHA COBERTA DE CARINHO")</f>
        <v>MANTA ABELHA COBERTA DE CARINHO</v>
      </c>
      <c r="D1696" s="186" t="str">
        <f>IFERROR(__xludf.DUMMYFUNCTION("""COMPUTED_VALUE"""),"FALSO")</f>
        <v>FALSO</v>
      </c>
    </row>
    <row r="1697">
      <c r="B1697" s="186" t="str">
        <f>IFERROR(__xludf.DUMMYFUNCTION("""COMPUTED_VALUE"""),"PI7263Y")</f>
        <v>PI7263Y</v>
      </c>
      <c r="C1697" s="186" t="str">
        <f>IFERROR(__xludf.DUMMYFUNCTION("""COMPUTED_VALUE"""),"MANTA COBERTA DE RAZAO")</f>
        <v>MANTA COBERTA DE RAZAO</v>
      </c>
      <c r="D1697" s="186" t="str">
        <f>IFERROR(__xludf.DUMMYFUNCTION("""COMPUTED_VALUE"""),"FALSO")</f>
        <v>FALSO</v>
      </c>
    </row>
    <row r="1698">
      <c r="B1698" s="186"/>
      <c r="C1698" s="186"/>
      <c r="D1698" s="186"/>
    </row>
    <row r="1699">
      <c r="B1699" s="186" t="str">
        <f>IFERROR(__xludf.DUMMYFUNCTION("""COMPUTED_VALUE"""),"PI6638Y")</f>
        <v>PI6638Y</v>
      </c>
      <c r="C1699" s="186" t="str">
        <f>IFERROR(__xludf.DUMMYFUNCTION("""COMPUTED_VALUE"""),"MANTA CASAL COM MANGAS CACA PALAVRAS")</f>
        <v>MANTA CASAL COM MANGAS CACA PALAVRAS</v>
      </c>
      <c r="D1699" s="186" t="str">
        <f>IFERROR(__xludf.DUMMYFUNCTION("""COMPUTED_VALUE"""),"FALSO")</f>
        <v>FALSO</v>
      </c>
    </row>
    <row r="1700">
      <c r="B1700" s="186" t="str">
        <f>IFERROR(__xludf.DUMMYFUNCTION("""COMPUTED_VALUE"""),"PI6499Y")</f>
        <v>PI6499Y</v>
      </c>
      <c r="C1700" s="186" t="str">
        <f>IFERROR(__xludf.DUMMYFUNCTION("""COMPUTED_VALUE"""),"MANTA COM CAPA ALMOFADA SE CUIDAR")</f>
        <v>MANTA COM CAPA ALMOFADA SE CUIDAR</v>
      </c>
      <c r="D1700" s="186" t="str">
        <f>IFERROR(__xludf.DUMMYFUNCTION("""COMPUTED_VALUE"""),"FALSO")</f>
        <v>FALSO</v>
      </c>
    </row>
    <row r="1701">
      <c r="B1701" s="186" t="str">
        <f>IFERROR(__xludf.DUMMYFUNCTION("""COMPUTED_VALUE"""),"CS1379")</f>
        <v>CS1379</v>
      </c>
      <c r="C1701" s="186" t="str">
        <f>IFERROR(__xludf.DUMMYFUNCTION("""COMPUTED_VALUE"""),"BLISTER 2 PILHAS AAA")</f>
        <v>BLISTER 2 PILHAS AAA</v>
      </c>
      <c r="D1701" s="186" t="str">
        <f>IFERROR(__xludf.DUMMYFUNCTION("""COMPUTED_VALUE"""),"FALSO")</f>
        <v>FALSO</v>
      </c>
    </row>
    <row r="1702">
      <c r="B1702" s="186" t="str">
        <f>IFERROR(__xludf.DUMMYFUNCTION("""COMPUTED_VALUE"""),"CS1379")</f>
        <v>CS1379</v>
      </c>
      <c r="C1702" s="186" t="str">
        <f>IFERROR(__xludf.DUMMYFUNCTION("""COMPUTED_VALUE"""),"BLISTER 2 PILHAS AAA")</f>
        <v>BLISTER 2 PILHAS AAA</v>
      </c>
      <c r="D1702" s="186" t="str">
        <f>IFERROR(__xludf.DUMMYFUNCTION("""COMPUTED_VALUE"""),"FALSO")</f>
        <v>FALSO</v>
      </c>
    </row>
    <row r="1703">
      <c r="B1703" s="186" t="str">
        <f>IFERROR(__xludf.DUMMYFUNCTION("""COMPUTED_VALUE"""),"CS1379")</f>
        <v>CS1379</v>
      </c>
      <c r="C1703" s="186" t="str">
        <f>IFERROR(__xludf.DUMMYFUNCTION("""COMPUTED_VALUE"""),"BLISTER 2 PILHAS AAA")</f>
        <v>BLISTER 2 PILHAS AAA</v>
      </c>
      <c r="D1703" s="186" t="str">
        <f>IFERROR(__xludf.DUMMYFUNCTION("""COMPUTED_VALUE"""),"FALSO")</f>
        <v>FALSO</v>
      </c>
    </row>
    <row r="1704">
      <c r="B1704" s="186" t="str">
        <f>IFERROR(__xludf.DUMMYFUNCTION("""COMPUTED_VALUE"""),"CS1379")</f>
        <v>CS1379</v>
      </c>
      <c r="C1704" s="186" t="str">
        <f>IFERROR(__xludf.DUMMYFUNCTION("""COMPUTED_VALUE"""),"BLISTER 2 PILHAS AAA")</f>
        <v>BLISTER 2 PILHAS AAA</v>
      </c>
      <c r="D1704" s="186" t="str">
        <f>IFERROR(__xludf.DUMMYFUNCTION("""COMPUTED_VALUE"""),"FALSO")</f>
        <v>FALSO</v>
      </c>
    </row>
    <row r="1705">
      <c r="B1705" s="186" t="str">
        <f>IFERROR(__xludf.DUMMYFUNCTION("""COMPUTED_VALUE"""),"CS1379")</f>
        <v>CS1379</v>
      </c>
      <c r="C1705" s="186" t="str">
        <f>IFERROR(__xludf.DUMMYFUNCTION("""COMPUTED_VALUE"""),"BLISTER 2 PILHAS AAA")</f>
        <v>BLISTER 2 PILHAS AAA</v>
      </c>
      <c r="D1705" s="186" t="str">
        <f>IFERROR(__xludf.DUMMYFUNCTION("""COMPUTED_VALUE"""),"FALSO")</f>
        <v>FALSO</v>
      </c>
    </row>
    <row r="1706">
      <c r="B1706" s="186" t="str">
        <f>IFERROR(__xludf.DUMMYFUNCTION("""COMPUTED_VALUE"""),"CS1379")</f>
        <v>CS1379</v>
      </c>
      <c r="C1706" s="186" t="str">
        <f>IFERROR(__xludf.DUMMYFUNCTION("""COMPUTED_VALUE"""),"BLISTER 2 PILHAS AAA")</f>
        <v>BLISTER 2 PILHAS AAA</v>
      </c>
      <c r="D1706" s="186" t="str">
        <f>IFERROR(__xludf.DUMMYFUNCTION("""COMPUTED_VALUE"""),"FALSO")</f>
        <v>FALSO</v>
      </c>
    </row>
    <row r="1707">
      <c r="B1707" s="186" t="str">
        <f>IFERROR(__xludf.DUMMYFUNCTION("""COMPUTED_VALUE"""),"CS1379")</f>
        <v>CS1379</v>
      </c>
      <c r="C1707" s="186" t="str">
        <f>IFERROR(__xludf.DUMMYFUNCTION("""COMPUTED_VALUE"""),"BLISTER 2 PILHAS AAA")</f>
        <v>BLISTER 2 PILHAS AAA</v>
      </c>
      <c r="D1707" s="186" t="str">
        <f>IFERROR(__xludf.DUMMYFUNCTION("""COMPUTED_VALUE"""),"FALSO")</f>
        <v>FALSO</v>
      </c>
    </row>
    <row r="1708">
      <c r="B1708" s="186" t="str">
        <f>IFERROR(__xludf.DUMMYFUNCTION("""COMPUTED_VALUE"""),"CS1379")</f>
        <v>CS1379</v>
      </c>
      <c r="C1708" s="186" t="str">
        <f>IFERROR(__xludf.DUMMYFUNCTION("""COMPUTED_VALUE"""),"BLISTER 2 PILHAS AAA")</f>
        <v>BLISTER 2 PILHAS AAA</v>
      </c>
      <c r="D1708" s="186" t="str">
        <f>IFERROR(__xludf.DUMMYFUNCTION("""COMPUTED_VALUE"""),"FALSO")</f>
        <v>FALSO</v>
      </c>
    </row>
    <row r="1709">
      <c r="B1709" s="186" t="str">
        <f>IFERROR(__xludf.DUMMYFUNCTION("""COMPUTED_VALUE"""),"CS1379")</f>
        <v>CS1379</v>
      </c>
      <c r="C1709" s="186" t="str">
        <f>IFERROR(__xludf.DUMMYFUNCTION("""COMPUTED_VALUE"""),"BLISTER 2 PILHAS AAA")</f>
        <v>BLISTER 2 PILHAS AAA</v>
      </c>
      <c r="D1709" s="186" t="str">
        <f>IFERROR(__xludf.DUMMYFUNCTION("""COMPUTED_VALUE"""),"FALSO")</f>
        <v>FALSO</v>
      </c>
    </row>
    <row r="1710">
      <c r="B1710" s="186" t="str">
        <f>IFERROR(__xludf.DUMMYFUNCTION("""COMPUTED_VALUE"""),"CS1378")</f>
        <v>CS1378</v>
      </c>
      <c r="C1710" s="186" t="str">
        <f>IFERROR(__xludf.DUMMYFUNCTION("""COMPUTED_VALUE"""),"BLISTER 2 PILHAS AA")</f>
        <v>BLISTER 2 PILHAS AA</v>
      </c>
      <c r="D1710" s="186" t="str">
        <f>IFERROR(__xludf.DUMMYFUNCTION("""COMPUTED_VALUE"""),"FALSO")</f>
        <v>FALSO</v>
      </c>
    </row>
    <row r="1711">
      <c r="B1711" s="186" t="str">
        <f>IFERROR(__xludf.DUMMYFUNCTION("""COMPUTED_VALUE"""),"US0075")</f>
        <v>US0075</v>
      </c>
      <c r="C1711" s="186" t="str">
        <f>IFERROR(__xludf.DUMMYFUNCTION("""COMPUTED_VALUE"""),"LUMINARIA BLOCO AMARELO")</f>
        <v>LUMINARIA BLOCO AMARELO</v>
      </c>
      <c r="D1711" s="186" t="str">
        <f>IFERROR(__xludf.DUMMYFUNCTION("""COMPUTED_VALUE"""),"FALSO")</f>
        <v>FALSO</v>
      </c>
    </row>
    <row r="1712">
      <c r="B1712" s="186" t="str">
        <f>IFERROR(__xludf.DUMMYFUNCTION("""COMPUTED_VALUE"""),"PI7568Y")</f>
        <v>PI7568Y</v>
      </c>
      <c r="C1712" s="186" t="str">
        <f>IFERROR(__xludf.DUMMYFUNCTION("""COMPUTED_VALUE"""),"CANETA URSO AZUL")</f>
        <v>CANETA URSO AZUL</v>
      </c>
      <c r="D1712" s="186" t="str">
        <f>IFERROR(__xludf.DUMMYFUNCTION("""COMPUTED_VALUE"""),"INMETRO SCHOOL ARTICLES SYSTEM 5 - ORDINANCE 481")</f>
        <v>INMETRO SCHOOL ARTICLES SYSTEM 5 - ORDINANCE 481</v>
      </c>
    </row>
    <row r="1713">
      <c r="B1713" s="186" t="str">
        <f>IFERROR(__xludf.DUMMYFUNCTION("""COMPUTED_VALUE"""),"PI5059Y")</f>
        <v>PI5059Y</v>
      </c>
      <c r="C1713" s="186" t="str">
        <f>IFERROR(__xludf.DUMMYFUNCTION("""COMPUTED_VALUE"""),"AMPLIFICADOR BLUETOOTH COM LED LUA CHEIA")</f>
        <v>AMPLIFICADOR BLUETOOTH COM LED LUA CHEIA</v>
      </c>
      <c r="D1713" s="186" t="str">
        <f>IFERROR(__xludf.DUMMYFUNCTION("""COMPUTED_VALUE"""),"FALSO")</f>
        <v>FALSO</v>
      </c>
    </row>
    <row r="1714">
      <c r="B1714" s="186" t="str">
        <f>IFERROR(__xludf.DUMMYFUNCTION("""COMPUTED_VALUE"""),"PI4899Y")</f>
        <v>PI4899Y</v>
      </c>
      <c r="C1714" s="186" t="str">
        <f>IFERROR(__xludf.DUMMYFUNCTION("""COMPUTED_VALUE"""),"VITROLA BLUETOOTH TAMPA ACRILICO VERDE")</f>
        <v>VITROLA BLUETOOTH TAMPA ACRILICO VERDE</v>
      </c>
      <c r="D1714" s="186" t="str">
        <f>IFERROR(__xludf.DUMMYFUNCTION("""COMPUTED_VALUE"""),"FALSO")</f>
        <v>FALSO</v>
      </c>
    </row>
    <row r="1715">
      <c r="B1715" s="186" t="str">
        <f>IFERROR(__xludf.DUMMYFUNCTION("""COMPUTED_VALUE"""),"PI5555Y")</f>
        <v>PI5555Y</v>
      </c>
      <c r="C1715" s="186" t="str">
        <f>IFERROR(__xludf.DUMMYFUNCTION("""COMPUTED_VALUE"""),"VITROLA DE MALA SEM FIO POR DO SOL")</f>
        <v>VITROLA DE MALA SEM FIO POR DO SOL</v>
      </c>
      <c r="D1715" s="186" t="str">
        <f>IFERROR(__xludf.DUMMYFUNCTION("""COMPUTED_VALUE"""),"Anatel Category 2 - Bluetooth Module")</f>
        <v>Anatel Category 2 - Bluetooth Module</v>
      </c>
    </row>
    <row r="1716">
      <c r="B1716" s="186" t="str">
        <f>IFERROR(__xludf.DUMMYFUNCTION("""COMPUTED_VALUE"""),"PI7727Y")</f>
        <v>PI7727Y</v>
      </c>
      <c r="C1716" s="186" t="str">
        <f>IFERROR(__xludf.DUMMYFUNCTION("""COMPUTED_VALUE"""),"CANETA UNICORNIO AZUL")</f>
        <v>CANETA UNICORNIO AZUL</v>
      </c>
      <c r="D1716" s="186" t="str">
        <f>IFERROR(__xludf.DUMMYFUNCTION("""COMPUTED_VALUE"""),"INMETRO SCHOOL ARTICLES SYSTEM 5 - ORDINANCE 481")</f>
        <v>INMETRO SCHOOL ARTICLES SYSTEM 5 - ORDINANCE 481</v>
      </c>
    </row>
    <row r="1717">
      <c r="B1717" s="186" t="str">
        <f>IFERROR(__xludf.DUMMYFUNCTION("""COMPUTED_VALUE"""),"US0076")</f>
        <v>US0076</v>
      </c>
      <c r="C1717" s="186" t="str">
        <f>IFERROR(__xludf.DUMMYFUNCTION("""COMPUTED_VALUE"""),"LUMINARIA BOLA DE FUTEBOL")</f>
        <v>LUMINARIA BOLA DE FUTEBOL</v>
      </c>
      <c r="D1717" s="186" t="str">
        <f>IFERROR(__xludf.DUMMYFUNCTION("""COMPUTED_VALUE"""),"FALSO")</f>
        <v>FALSO</v>
      </c>
    </row>
    <row r="1718">
      <c r="B1718" s="186" t="str">
        <f>IFERROR(__xludf.DUMMYFUNCTION("""COMPUTED_VALUE"""),"CS2282")</f>
        <v>CS2282</v>
      </c>
      <c r="C1718" s="186" t="str">
        <f>IFERROR(__xludf.DUMMYFUNCTION("""COMPUTED_VALUE"""),"BONE ACORDEI MAS NAO RECOMENDO")</f>
        <v>BONE ACORDEI MAS NAO RECOMENDO</v>
      </c>
      <c r="D1718" s="186" t="str">
        <f>IFERROR(__xludf.DUMMYFUNCTION("""COMPUTED_VALUE"""),"FALSO")</f>
        <v>FALSO</v>
      </c>
    </row>
    <row r="1719">
      <c r="B1719" s="186" t="str">
        <f>IFERROR(__xludf.DUMMYFUNCTION("""COMPUTED_VALUE"""),"CS2281")</f>
        <v>CS2281</v>
      </c>
      <c r="C1719" s="186" t="str">
        <f>IFERROR(__xludf.DUMMYFUNCTION("""COMPUTED_VALUE"""),"BONE DO MEU JEITO")</f>
        <v>BONE DO MEU JEITO</v>
      </c>
      <c r="D1719" s="186" t="str">
        <f>IFERROR(__xludf.DUMMYFUNCTION("""COMPUTED_VALUE"""),"FALSO")</f>
        <v>FALSO</v>
      </c>
    </row>
    <row r="1720">
      <c r="B1720" s="186" t="str">
        <f>IFERROR(__xludf.DUMMYFUNCTION("""COMPUTED_VALUE"""),"CS2285")</f>
        <v>CS2285</v>
      </c>
      <c r="C1720" s="186" t="str">
        <f>IFERROR(__xludf.DUMMYFUNCTION("""COMPUTED_VALUE"""),"BONE ESTOU DE FERIAS")</f>
        <v>BONE ESTOU DE FERIAS</v>
      </c>
      <c r="D1720" s="186" t="str">
        <f>IFERROR(__xludf.DUMMYFUNCTION("""COMPUTED_VALUE"""),"FALSO")</f>
        <v>FALSO</v>
      </c>
    </row>
    <row r="1721">
      <c r="B1721" s="186" t="str">
        <f>IFERROR(__xludf.DUMMYFUNCTION("""COMPUTED_VALUE"""),"CS2283")</f>
        <v>CS2283</v>
      </c>
      <c r="C1721" s="186" t="str">
        <f>IFERROR(__xludf.DUMMYFUNCTION("""COMPUTED_VALUE"""),"BONE EU NAO SEI FLERTAR")</f>
        <v>BONE EU NAO SEI FLERTAR</v>
      </c>
      <c r="D1721" s="186" t="str">
        <f>IFERROR(__xludf.DUMMYFUNCTION("""COMPUTED_VALUE"""),"FALSO")</f>
        <v>FALSO</v>
      </c>
    </row>
    <row r="1722">
      <c r="B1722" s="186" t="str">
        <f>IFERROR(__xludf.DUMMYFUNCTION("""COMPUTED_VALUE"""),"CS2286")</f>
        <v>CS2286</v>
      </c>
      <c r="C1722" s="186" t="str">
        <f>IFERROR(__xludf.DUMMYFUNCTION("""COMPUTED_VALUE"""),"BONE ISSO TEM CARA DE SER PROBLEMA SEU")</f>
        <v>BONE ISSO TEM CARA DE SER PROBLEMA SEU</v>
      </c>
      <c r="D1722" s="186" t="str">
        <f>IFERROR(__xludf.DUMMYFUNCTION("""COMPUTED_VALUE"""),"FALSO")</f>
        <v>FALSO</v>
      </c>
    </row>
    <row r="1723">
      <c r="B1723" s="186" t="str">
        <f>IFERROR(__xludf.DUMMYFUNCTION("""COMPUTED_VALUE"""),"CS2286")</f>
        <v>CS2286</v>
      </c>
      <c r="C1723" s="186" t="str">
        <f>IFERROR(__xludf.DUMMYFUNCTION("""COMPUTED_VALUE"""),"BONE ISSO TEM CARA DE SER PROBLEMA SEU")</f>
        <v>BONE ISSO TEM CARA DE SER PROBLEMA SEU</v>
      </c>
      <c r="D1723" s="186" t="str">
        <f>IFERROR(__xludf.DUMMYFUNCTION("""COMPUTED_VALUE"""),"FALSO")</f>
        <v>FALSO</v>
      </c>
    </row>
    <row r="1724">
      <c r="B1724" s="186" t="str">
        <f>IFERROR(__xludf.DUMMYFUNCTION("""COMPUTED_VALUE"""),"CS2284")</f>
        <v>CS2284</v>
      </c>
      <c r="C1724" s="186" t="str">
        <f>IFERROR(__xludf.DUMMYFUNCTION("""COMPUTED_VALUE"""),"BONE RECLAMO MAS RESOLVO")</f>
        <v>BONE RECLAMO MAS RESOLVO</v>
      </c>
      <c r="D1724" s="186" t="str">
        <f>IFERROR(__xludf.DUMMYFUNCTION("""COMPUTED_VALUE"""),"FALSO")</f>
        <v>FALSO</v>
      </c>
    </row>
    <row r="1725">
      <c r="B1725" s="186" t="str">
        <f>IFERROR(__xludf.DUMMYFUNCTION("""COMPUTED_VALUE"""),"PI5806Y")</f>
        <v>PI5806Y</v>
      </c>
      <c r="C1725" s="186" t="str">
        <f>IFERROR(__xludf.DUMMYFUNCTION("""COMPUTED_VALUE"""),"LIVRO DE CARTAS MELHOR MAE DO MUNDO")</f>
        <v>LIVRO DE CARTAS MELHOR MAE DO MUNDO</v>
      </c>
      <c r="D1725" s="186" t="str">
        <f>IFERROR(__xludf.DUMMYFUNCTION("""COMPUTED_VALUE"""),"FALSO")</f>
        <v>FALSO</v>
      </c>
    </row>
    <row r="1726">
      <c r="B1726" s="186" t="str">
        <f>IFERROR(__xludf.DUMMYFUNCTION("""COMPUTED_VALUE"""),"PI4927Y")</f>
        <v>PI4927Y</v>
      </c>
      <c r="C1726" s="186" t="str">
        <f>IFERROR(__xludf.DUMMYFUNCTION("""COMPUTED_VALUE"""),"PORTA LIVROS BEATLES ABBEY ROAD")</f>
        <v>PORTA LIVROS BEATLES ABBEY ROAD</v>
      </c>
      <c r="D1726" s="186" t="str">
        <f>IFERROR(__xludf.DUMMYFUNCTION("""COMPUTED_VALUE"""),"FALSO")</f>
        <v>FALSO</v>
      </c>
    </row>
    <row r="1727">
      <c r="B1727" s="186" t="str">
        <f>IFERROR(__xludf.DUMMYFUNCTION("""COMPUTED_VALUE"""),"PI5910Y")</f>
        <v>PI5910Y</v>
      </c>
      <c r="C1727" s="186" t="str">
        <f>IFERROR(__xludf.DUMMYFUNCTION("""COMPUTED_VALUE"""),"LUMINARIA LIVRO FAROL")</f>
        <v>LUMINARIA LIVRO FAROL</v>
      </c>
      <c r="D1727" s="186" t="str">
        <f>IFERROR(__xludf.DUMMYFUNCTION("""COMPUTED_VALUE"""),"FALSO")</f>
        <v>FALSO</v>
      </c>
    </row>
    <row r="1728">
      <c r="B1728" s="186" t="str">
        <f>IFERROR(__xludf.DUMMYFUNCTION("""COMPUTED_VALUE"""),"PI5910Y")</f>
        <v>PI5910Y</v>
      </c>
      <c r="C1728" s="186" t="str">
        <f>IFERROR(__xludf.DUMMYFUNCTION("""COMPUTED_VALUE"""),"LUMINARIA LIVRO FAROL")</f>
        <v>LUMINARIA LIVRO FAROL</v>
      </c>
      <c r="D1728" s="186" t="str">
        <f>IFERROR(__xludf.DUMMYFUNCTION("""COMPUTED_VALUE"""),"FALSO")</f>
        <v>FALSO</v>
      </c>
    </row>
    <row r="1729">
      <c r="B1729" s="186" t="str">
        <f>IFERROR(__xludf.DUMMYFUNCTION("""COMPUTED_VALUE"""),"PI7680Y")</f>
        <v>PI7680Y</v>
      </c>
      <c r="C1729" s="186" t="str">
        <f>IFERROR(__xludf.DUMMYFUNCTION("""COMPUTED_VALUE"""),"KIT MARCADORES DE LIVRO HP PERSONAGENS")</f>
        <v>KIT MARCADORES DE LIVRO HP PERSONAGENS</v>
      </c>
      <c r="D1729" s="186" t="str">
        <f>IFERROR(__xludf.DUMMYFUNCTION("""COMPUTED_VALUE"""),"FALSO")</f>
        <v>FALSO</v>
      </c>
    </row>
    <row r="1730">
      <c r="B1730" s="186" t="str">
        <f>IFERROR(__xludf.DUMMYFUNCTION("""COMPUTED_VALUE"""),"PI6832Y")</f>
        <v>PI6832Y</v>
      </c>
      <c r="C1730" s="186" t="str">
        <f>IFERROR(__xludf.DUMMYFUNCTION("""COMPUTED_VALUE"""),"KIT MARCADORES DE LIVRO HP HOGWARTS")</f>
        <v>KIT MARCADORES DE LIVRO HP HOGWARTS</v>
      </c>
      <c r="D1730" s="186" t="str">
        <f>IFERROR(__xludf.DUMMYFUNCTION("""COMPUTED_VALUE"""),"FALSO")</f>
        <v>FALSO</v>
      </c>
    </row>
    <row r="1731">
      <c r="B1731" s="186" t="str">
        <f>IFERROR(__xludf.DUMMYFUNCTION("""COMPUTED_VALUE"""),"PI5117Y")</f>
        <v>PI5117Y</v>
      </c>
      <c r="C1731" s="186" t="str">
        <f>IFERROR(__xludf.DUMMYFUNCTION("""COMPUTED_VALUE"""),"KIT VINHO LIVRO ARTE DE ABRIR UM VINHO")</f>
        <v>KIT VINHO LIVRO ARTE DE ABRIR UM VINHO</v>
      </c>
      <c r="D1731" s="186" t="str">
        <f>IFERROR(__xludf.DUMMYFUNCTION("""COMPUTED_VALUE"""),"FALSO")</f>
        <v>FALSO</v>
      </c>
    </row>
    <row r="1732">
      <c r="B1732" s="186" t="str">
        <f>IFERROR(__xludf.DUMMYFUNCTION("""COMPUTED_VALUE"""),"PI5117Y")</f>
        <v>PI5117Y</v>
      </c>
      <c r="C1732" s="186" t="str">
        <f>IFERROR(__xludf.DUMMYFUNCTION("""COMPUTED_VALUE"""),"KIT VINHO LIVRO ARTE DE ABRIR UM VINHO")</f>
        <v>KIT VINHO LIVRO ARTE DE ABRIR UM VINHO</v>
      </c>
      <c r="D1732" s="186" t="str">
        <f>IFERROR(__xludf.DUMMYFUNCTION("""COMPUTED_VALUE"""),"FALSO")</f>
        <v>FALSO</v>
      </c>
    </row>
    <row r="1733">
      <c r="B1733" s="186" t="str">
        <f>IFERROR(__xludf.DUMMYFUNCTION("""COMPUTED_VALUE"""),"PI7792Y")</f>
        <v>PI7792Y</v>
      </c>
      <c r="C1733" s="186" t="str">
        <f>IFERROR(__xludf.DUMMYFUNCTION("""COMPUTED_VALUE"""),"LIVRO COM CANETA RECEITINHAS DO CASAL")</f>
        <v>LIVRO COM CANETA RECEITINHAS DO CASAL</v>
      </c>
      <c r="D1733" s="186" t="str">
        <f>IFERROR(__xludf.DUMMYFUNCTION("""COMPUTED_VALUE"""),"FALSO")</f>
        <v>FALSO</v>
      </c>
    </row>
    <row r="1734">
      <c r="B1734" s="186" t="str">
        <f>IFERROR(__xludf.DUMMYFUNCTION("""COMPUTED_VALUE"""),"PI5522Y")</f>
        <v>PI5522Y</v>
      </c>
      <c r="C1734" s="186" t="str">
        <f>IFERROR(__xludf.DUMMYFUNCTION("""COMPUTED_VALUE"""),"GARRAFA 1 LITRO COLOR BLOCK ROSA")</f>
        <v>GARRAFA 1 LITRO COLOR BLOCK ROSA</v>
      </c>
      <c r="D1734" s="186" t="str">
        <f>IFERROR(__xludf.DUMMYFUNCTION("""COMPUTED_VALUE"""),"FALSO")</f>
        <v>FALSO</v>
      </c>
    </row>
    <row r="1735">
      <c r="B1735" s="186" t="str">
        <f>IFERROR(__xludf.DUMMYFUNCTION("""COMPUTED_VALUE"""),"PI5523Y")</f>
        <v>PI5523Y</v>
      </c>
      <c r="C1735" s="186" t="str">
        <f>IFERROR(__xludf.DUMMYFUNCTION("""COMPUTED_VALUE"""),"GARRAFA 1 LITRO PE NA ESTRADA")</f>
        <v>GARRAFA 1 LITRO PE NA ESTRADA</v>
      </c>
      <c r="D1735" s="186" t="str">
        <f>IFERROR(__xludf.DUMMYFUNCTION("""COMPUTED_VALUE"""),"FALSO")</f>
        <v>FALSO</v>
      </c>
    </row>
    <row r="1736">
      <c r="B1736" s="186" t="str">
        <f>IFERROR(__xludf.DUMMYFUNCTION("""COMPUTED_VALUE"""),"PI5524Y")</f>
        <v>PI5524Y</v>
      </c>
      <c r="C1736" s="186" t="str">
        <f>IFERROR(__xludf.DUMMYFUNCTION("""COMPUTED_VALUE"""),"GARRAFA 1 LITRO HP POCAO POLISSUCO")</f>
        <v>GARRAFA 1 LITRO HP POCAO POLISSUCO</v>
      </c>
      <c r="D1736" s="186" t="str">
        <f>IFERROR(__xludf.DUMMYFUNCTION("""COMPUTED_VALUE"""),"FALSO")</f>
        <v>FALSO</v>
      </c>
    </row>
    <row r="1737">
      <c r="B1737" s="186" t="str">
        <f>IFERROR(__xludf.DUMMYFUNCTION("""COMPUTED_VALUE"""),"PI5518Y")</f>
        <v>PI5518Y</v>
      </c>
      <c r="C1737" s="186" t="str">
        <f>IFERROR(__xludf.DUMMYFUNCTION("""COMPUTED_VALUE"""),"GARRAFA TRIANGULOS PRETO E CINZA")</f>
        <v>GARRAFA TRIANGULOS PRETO E CINZA</v>
      </c>
      <c r="D1737" s="186" t="str">
        <f>IFERROR(__xludf.DUMMYFUNCTION("""COMPUTED_VALUE"""),"FALSO")</f>
        <v>FALSO</v>
      </c>
    </row>
    <row r="1738">
      <c r="B1738" s="186" t="str">
        <f>IFERROR(__xludf.DUMMYFUNCTION("""COMPUTED_VALUE"""),"PI4731Y")</f>
        <v>PI4731Y</v>
      </c>
      <c r="C1738" s="186" t="str">
        <f>IFERROR(__xludf.DUMMYFUNCTION("""COMPUTED_VALUE"""),"GARRAFA PORTA CAPSULAS DOSES DE BELEZA")</f>
        <v>GARRAFA PORTA CAPSULAS DOSES DE BELEZA</v>
      </c>
      <c r="D1738" s="186" t="str">
        <f>IFERROR(__xludf.DUMMYFUNCTION("""COMPUTED_VALUE"""),"FALSO")</f>
        <v>FALSO</v>
      </c>
    </row>
    <row r="1739">
      <c r="B1739" s="186" t="str">
        <f>IFERROR(__xludf.DUMMYFUNCTION("""COMPUTED_VALUE"""),"PI5510Y")</f>
        <v>PI5510Y</v>
      </c>
      <c r="C1739" s="186" t="str">
        <f>IFERROR(__xludf.DUMMYFUNCTION("""COMPUTED_VALUE"""),"GARRAFA EXTINTOR EM CASO DE SEDE")</f>
        <v>GARRAFA EXTINTOR EM CASO DE SEDE</v>
      </c>
      <c r="D1739" s="186" t="str">
        <f>IFERROR(__xludf.DUMMYFUNCTION("""COMPUTED_VALUE"""),"FALSO")</f>
        <v>FALSO</v>
      </c>
    </row>
    <row r="1740">
      <c r="B1740" s="186" t="str">
        <f>IFERROR(__xludf.DUMMYFUNCTION("""COMPUTED_VALUE"""),"PI5517Y")</f>
        <v>PI5517Y</v>
      </c>
      <c r="C1740" s="186" t="str">
        <f>IFERROR(__xludf.DUMMYFUNCTION("""COMPUTED_VALUE"""),"GARRAFA GLITTER Y2K IDEIAS BRILHANTES")</f>
        <v>GARRAFA GLITTER Y2K IDEIAS BRILHANTES</v>
      </c>
      <c r="D1740" s="186" t="str">
        <f>IFERROR(__xludf.DUMMYFUNCTION("""COMPUTED_VALUE"""),"FALSO")</f>
        <v>FALSO</v>
      </c>
    </row>
    <row r="1741">
      <c r="B1741" s="186" t="str">
        <f>IFERROR(__xludf.DUMMYFUNCTION("""COMPUTED_VALUE"""),"PI5516Y")</f>
        <v>PI5516Y</v>
      </c>
      <c r="C1741" s="186" t="str">
        <f>IFERROR(__xludf.DUMMYFUNCTION("""COMPUTED_VALUE"""),"GARRAFA QUADRICULADO E SMILES")</f>
        <v>GARRAFA QUADRICULADO E SMILES</v>
      </c>
      <c r="D1741" s="186" t="str">
        <f>IFERROR(__xludf.DUMMYFUNCTION("""COMPUTED_VALUE"""),"FALSO")</f>
        <v>FALSO</v>
      </c>
    </row>
    <row r="1742">
      <c r="B1742" s="186" t="str">
        <f>IFERROR(__xludf.DUMMYFUNCTION("""COMPUTED_VALUE"""),"PI5242Y")</f>
        <v>PI5242Y</v>
      </c>
      <c r="C1742" s="186" t="str">
        <f>IFERROR(__xludf.DUMMYFUNCTION("""COMPUTED_VALUE"""),"CANTIL NO LIVRO SECRETO DOM QUE SHOT")</f>
        <v>CANTIL NO LIVRO SECRETO DOM QUE SHOT</v>
      </c>
      <c r="D1742" s="186" t="str">
        <f>IFERROR(__xludf.DUMMYFUNCTION("""COMPUTED_VALUE"""),"FALSO")</f>
        <v>FALSO</v>
      </c>
    </row>
    <row r="1743">
      <c r="B1743" s="186" t="str">
        <f>IFERROR(__xludf.DUMMYFUNCTION("""COMPUTED_VALUE"""),"PI5165Y")</f>
        <v>PI5165Y</v>
      </c>
      <c r="C1743" s="186" t="str">
        <f>IFERROR(__xludf.DUMMYFUNCTION("""COMPUTED_VALUE"""),"ABRIDOR DE CERVEJA CONTADOR SO MAIS UMA")</f>
        <v>ABRIDOR DE CERVEJA CONTADOR SO MAIS UMA</v>
      </c>
      <c r="D1743" s="186" t="str">
        <f>IFERROR(__xludf.DUMMYFUNCTION("""COMPUTED_VALUE"""),"FALSO")</f>
        <v>FALSO</v>
      </c>
    </row>
    <row r="1744">
      <c r="B1744" s="186" t="str">
        <f>IFERROR(__xludf.DUMMYFUNCTION("""COMPUTED_VALUE"""),"PI5215Y")</f>
        <v>PI5215Y</v>
      </c>
      <c r="C1744" s="186" t="str">
        <f>IFERROR(__xludf.DUMMYFUNCTION("""COMPUTED_VALUE"""),"ABRIDOR DE CERVEJA CONTADOR CONTA OUTRA")</f>
        <v>ABRIDOR DE CERVEJA CONTADOR CONTA OUTRA</v>
      </c>
      <c r="D1744" s="186" t="str">
        <f>IFERROR(__xludf.DUMMYFUNCTION("""COMPUTED_VALUE"""),"FALSO")</f>
        <v>FALSO</v>
      </c>
    </row>
    <row r="1745">
      <c r="B1745" s="186" t="str">
        <f>IFERROR(__xludf.DUMMYFUNCTION("""COMPUTED_VALUE"""),"PI959Y")</f>
        <v>PI959Y</v>
      </c>
      <c r="C1745" s="186" t="str">
        <f>IFERROR(__xludf.DUMMYFUNCTION("""COMPUTED_VALUE"""),"ABRIDOR ABRE MAIS UMA")</f>
        <v>ABRIDOR ABRE MAIS UMA</v>
      </c>
      <c r="D1745" s="186" t="str">
        <f>IFERROR(__xludf.DUMMYFUNCTION("""COMPUTED_VALUE"""),"FALSO")</f>
        <v>FALSO</v>
      </c>
    </row>
    <row r="1746">
      <c r="B1746" s="186" t="str">
        <f>IFERROR(__xludf.DUMMYFUNCTION("""COMPUTED_VALUE"""),"PI5100Y")</f>
        <v>PI5100Y</v>
      </c>
      <c r="C1746" s="186" t="str">
        <f>IFERROR(__xludf.DUMMYFUNCTION("""COMPUTED_VALUE"""),"ABRIDOR DE CERVEJA SONORO ZECA VERDE")</f>
        <v>ABRIDOR DE CERVEJA SONORO ZECA VERDE</v>
      </c>
      <c r="D1746" s="186" t="str">
        <f>IFERROR(__xludf.DUMMYFUNCTION("""COMPUTED_VALUE"""),"FALSO")</f>
        <v>FALSO</v>
      </c>
    </row>
    <row r="1747">
      <c r="B1747" s="186"/>
      <c r="C1747" s="186"/>
      <c r="D1747" s="186"/>
    </row>
    <row r="1748">
      <c r="B1748" s="186" t="str">
        <f>IFERROR(__xludf.DUMMYFUNCTION("""COMPUTED_VALUE"""),"PI5148Y")</f>
        <v>PI5148Y</v>
      </c>
      <c r="C1748" s="186" t="str">
        <f>IFERROR(__xludf.DUMMYFUNCTION("""COMPUTED_VALUE"""),"GARRAFA STRANGER THINGS MISSING BARB")</f>
        <v>GARRAFA STRANGER THINGS MISSING BARB</v>
      </c>
      <c r="D1748" s="186" t="str">
        <f>IFERROR(__xludf.DUMMYFUNCTION("""COMPUTED_VALUE"""),"FALSO")</f>
        <v>FALSO</v>
      </c>
    </row>
    <row r="1749">
      <c r="B1749" s="186" t="str">
        <f>IFERROR(__xludf.DUMMYFUNCTION("""COMPUTED_VALUE"""),"PI5798Y")</f>
        <v>PI5798Y</v>
      </c>
      <c r="C1749" s="186" t="str">
        <f>IFERROR(__xludf.DUMMYFUNCTION("""COMPUTED_VALUE"""),"GARRAFA MORINGA COM COPO SOL E AGUA")</f>
        <v>GARRAFA MORINGA COM COPO SOL E AGUA</v>
      </c>
      <c r="D1749" s="186" t="str">
        <f>IFERROR(__xludf.DUMMYFUNCTION("""COMPUTED_VALUE"""),"FALSO")</f>
        <v>FALSO</v>
      </c>
    </row>
    <row r="1750">
      <c r="B1750" s="186" t="str">
        <f>IFERROR(__xludf.DUMMYFUNCTION("""COMPUTED_VALUE"""),"PI5924Y")</f>
        <v>PI5924Y</v>
      </c>
      <c r="C1750" s="186" t="str">
        <f>IFERROR(__xludf.DUMMYFUNCTION("""COMPUTED_VALUE"""),"GARRAFA COM INFUSOR ACALMANDO IDEIAS")</f>
        <v>GARRAFA COM INFUSOR ACALMANDO IDEIAS</v>
      </c>
      <c r="D1750" s="186" t="str">
        <f>IFERROR(__xludf.DUMMYFUNCTION("""COMPUTED_VALUE"""),"FALSO")</f>
        <v>FALSO</v>
      </c>
    </row>
    <row r="1751">
      <c r="B1751" s="186" t="str">
        <f>IFERROR(__xludf.DUMMYFUNCTION("""COMPUTED_VALUE"""),"PI6311Y")</f>
        <v>PI6311Y</v>
      </c>
      <c r="C1751" s="186" t="str">
        <f>IFERROR(__xludf.DUMMYFUNCTION("""COMPUTED_VALUE"""),"GARRAFA COM INFUSOR SE CUIDAR")</f>
        <v>GARRAFA COM INFUSOR SE CUIDAR</v>
      </c>
      <c r="D1751" s="186" t="str">
        <f>IFERROR(__xludf.DUMMYFUNCTION("""COMPUTED_VALUE"""),"FALSO")</f>
        <v>FALSO</v>
      </c>
    </row>
    <row r="1752">
      <c r="B1752" s="186" t="str">
        <f>IFERROR(__xludf.DUMMYFUNCTION("""COMPUTED_VALUE"""),"PI6505Y")</f>
        <v>PI6505Y</v>
      </c>
      <c r="C1752" s="186" t="str">
        <f>IFERROR(__xludf.DUMMYFUNCTION("""COMPUTED_VALUE"""),"GARRAFA COM INFUSOR CHA SEI ME CUIDAR")</f>
        <v>GARRAFA COM INFUSOR CHA SEI ME CUIDAR</v>
      </c>
      <c r="D1752" s="186" t="str">
        <f>IFERROR(__xludf.DUMMYFUNCTION("""COMPUTED_VALUE"""),"FALSO")</f>
        <v>FALSO</v>
      </c>
    </row>
    <row r="1753">
      <c r="B1753" s="186" t="str">
        <f>IFERROR(__xludf.DUMMYFUNCTION("""COMPUTED_VALUE"""),"PI5134Y")</f>
        <v>PI5134Y</v>
      </c>
      <c r="C1753" s="186" t="str">
        <f>IFERROR(__xludf.DUMMYFUNCTION("""COMPUTED_VALUE"""),"GARRAFA COM AMPLIFICADOR FITDANCE PRETA")</f>
        <v>GARRAFA COM AMPLIFICADOR FITDANCE PRETA</v>
      </c>
      <c r="D1753" s="186" t="str">
        <f>IFERROR(__xludf.DUMMYFUNCTION("""COMPUTED_VALUE"""),"Anatel Category 2 - Bluetooth Module")</f>
        <v>Anatel Category 2 - Bluetooth Module</v>
      </c>
    </row>
    <row r="1754">
      <c r="B1754" s="186" t="str">
        <f>IFERROR(__xludf.DUMMYFUNCTION("""COMPUTED_VALUE"""),"PI5519Y")</f>
        <v>PI5519Y</v>
      </c>
      <c r="C1754" s="186" t="str">
        <f>IFERROR(__xludf.DUMMYFUNCTION("""COMPUTED_VALUE"""),"GARRAFA COM ALCA CORACAO")</f>
        <v>GARRAFA COM ALCA CORACAO</v>
      </c>
      <c r="D1754" s="186" t="str">
        <f>IFERROR(__xludf.DUMMYFUNCTION("""COMPUTED_VALUE"""),"FALSO")</f>
        <v>FALSO</v>
      </c>
    </row>
    <row r="1755">
      <c r="B1755" s="186" t="str">
        <f>IFERROR(__xludf.DUMMYFUNCTION("""COMPUTED_VALUE"""),"PI5514Y")</f>
        <v>PI5514Y</v>
      </c>
      <c r="C1755" s="186" t="str">
        <f>IFERROR(__xludf.DUMMYFUNCTION("""COMPUTED_VALUE"""),"GARRAFA COM INFUSOR DE CHA MEU RITUAL")</f>
        <v>GARRAFA COM INFUSOR DE CHA MEU RITUAL</v>
      </c>
      <c r="D1755" s="186" t="str">
        <f>IFERROR(__xludf.DUMMYFUNCTION("""COMPUTED_VALUE"""),"FALSO")</f>
        <v>FALSO</v>
      </c>
    </row>
    <row r="1756">
      <c r="B1756" s="186" t="str">
        <f>IFERROR(__xludf.DUMMYFUNCTION("""COMPUTED_VALUE"""),"PI6241Y")</f>
        <v>PI6241Y</v>
      </c>
      <c r="C1756" s="186" t="str">
        <f>IFERROR(__xludf.DUMMYFUNCTION("""COMPUTED_VALUE"""),"CAIXA PORTA RETRATO MEMORIAS")</f>
        <v>CAIXA PORTA RETRATO MEMORIAS</v>
      </c>
      <c r="D1756" s="186" t="str">
        <f>IFERROR(__xludf.DUMMYFUNCTION("""COMPUTED_VALUE"""),"FALSO")</f>
        <v>FALSO</v>
      </c>
    </row>
    <row r="1757">
      <c r="B1757" s="186" t="str">
        <f>IFERROR(__xludf.DUMMYFUNCTION("""COMPUTED_VALUE"""),"PI6241Y")</f>
        <v>PI6241Y</v>
      </c>
      <c r="C1757" s="186" t="str">
        <f>IFERROR(__xludf.DUMMYFUNCTION("""COMPUTED_VALUE"""),"CAIXA PORTA RETRATO MEMORIAS")</f>
        <v>CAIXA PORTA RETRATO MEMORIAS</v>
      </c>
      <c r="D1757" s="186" t="str">
        <f>IFERROR(__xludf.DUMMYFUNCTION("""COMPUTED_VALUE"""),"FALSO")</f>
        <v>FALSO</v>
      </c>
    </row>
    <row r="1758">
      <c r="B1758" s="186" t="str">
        <f>IFERROR(__xludf.DUMMYFUNCTION("""COMPUTED_VALUE"""),"PI7706Y")</f>
        <v>PI7706Y</v>
      </c>
      <c r="C1758" s="186" t="str">
        <f>IFERROR(__xludf.DUMMYFUNCTION("""COMPUTED_VALUE"""),"CANETA PAO")</f>
        <v>CANETA PAO</v>
      </c>
      <c r="D1758" s="186" t="str">
        <f>IFERROR(__xludf.DUMMYFUNCTION("""COMPUTED_VALUE"""),"INMETRO SCHOOL ARTICLES - ORDINANCE 423")</f>
        <v>INMETRO SCHOOL ARTICLES - ORDINANCE 423</v>
      </c>
    </row>
    <row r="1759">
      <c r="B1759" s="186" t="str">
        <f>IFERROR(__xludf.DUMMYFUNCTION("""COMPUTED_VALUE"""),"PI6464Y")</f>
        <v>PI6464Y</v>
      </c>
      <c r="C1759" s="186" t="str">
        <f>IFERROR(__xludf.DUMMYFUNCTION("""COMPUTED_VALUE"""),"KIT DE PINCEIS BASICO PRETO E PRATA")</f>
        <v>KIT DE PINCEIS BASICO PRETO E PRATA</v>
      </c>
      <c r="D1759" s="186" t="str">
        <f>IFERROR(__xludf.DUMMYFUNCTION("""COMPUTED_VALUE"""),"FALSO")</f>
        <v>FALSO</v>
      </c>
    </row>
    <row r="1760">
      <c r="B1760" s="186" t="str">
        <f>IFERROR(__xludf.DUMMYFUNCTION("""COMPUTED_VALUE"""),"PI7075Y")</f>
        <v>PI7075Y</v>
      </c>
      <c r="C1760" s="186" t="str">
        <f>IFERROR(__xludf.DUMMYFUNCTION("""COMPUTED_VALUE"""),"KIT PINCEL COM CASE BEIJA FLOR")</f>
        <v>KIT PINCEL COM CASE BEIJA FLOR</v>
      </c>
      <c r="D1760" s="186" t="str">
        <f>IFERROR(__xludf.DUMMYFUNCTION("""COMPUTED_VALUE"""),"FALSO")</f>
        <v>FALSO</v>
      </c>
    </row>
    <row r="1761">
      <c r="B1761" s="186" t="str">
        <f>IFERROR(__xludf.DUMMYFUNCTION("""COMPUTED_VALUE"""),"PI6194Y")</f>
        <v>PI6194Y</v>
      </c>
      <c r="C1761" s="186" t="str">
        <f>IFERROR(__xludf.DUMMYFUNCTION("""COMPUTED_VALUE"""),"KIT PINCEIS MAQUIAGEM NO SEU TEMPO E24")</f>
        <v>KIT PINCEIS MAQUIAGEM NO SEU TEMPO E24</v>
      </c>
      <c r="D1761" s="186" t="str">
        <f>IFERROR(__xludf.DUMMYFUNCTION("""COMPUTED_VALUE"""),"FALSO")</f>
        <v>FALSO</v>
      </c>
    </row>
    <row r="1762">
      <c r="B1762" s="186" t="str">
        <f>IFERROR(__xludf.DUMMYFUNCTION("""COMPUTED_VALUE"""),"PI7111Y")</f>
        <v>PI7111Y</v>
      </c>
      <c r="C1762" s="186" t="str">
        <f>IFERROR(__xludf.DUMMYFUNCTION("""COMPUTED_VALUE"""),"KIT PINCEL COM CASE GATINHO")</f>
        <v>KIT PINCEL COM CASE GATINHO</v>
      </c>
      <c r="D1762" s="186" t="str">
        <f>IFERROR(__xludf.DUMMYFUNCTION("""COMPUTED_VALUE"""),"FALSO")</f>
        <v>FALSO</v>
      </c>
    </row>
    <row r="1763">
      <c r="B1763" s="186" t="str">
        <f>IFERROR(__xludf.DUMMYFUNCTION("""COMPUTED_VALUE"""),"PI7111Y")</f>
        <v>PI7111Y</v>
      </c>
      <c r="C1763" s="186" t="str">
        <f>IFERROR(__xludf.DUMMYFUNCTION("""COMPUTED_VALUE"""),"KIT PINCEL COM CASE GATINHO")</f>
        <v>KIT PINCEL COM CASE GATINHO</v>
      </c>
      <c r="D1763" s="186" t="str">
        <f>IFERROR(__xludf.DUMMYFUNCTION("""COMPUTED_VALUE"""),"FALSO")</f>
        <v>FALSO</v>
      </c>
    </row>
    <row r="1764">
      <c r="B1764" s="186" t="str">
        <f>IFERROR(__xludf.DUMMYFUNCTION("""COMPUTED_VALUE"""),"US0077")</f>
        <v>US0077</v>
      </c>
      <c r="C1764" s="186" t="str">
        <f>IFERROR(__xludf.DUMMYFUNCTION("""COMPUTED_VALUE"""),"LUMINARIA BUDA LARANJA")</f>
        <v>LUMINARIA BUDA LARANJA</v>
      </c>
      <c r="D1764" s="186" t="str">
        <f>IFERROR(__xludf.DUMMYFUNCTION("""COMPUTED_VALUE"""),"FALSO")</f>
        <v>FALSO</v>
      </c>
    </row>
    <row r="1765">
      <c r="B1765" s="186" t="str">
        <f>IFERROR(__xludf.DUMMYFUNCTION("""COMPUTED_VALUE"""),"CS2501")</f>
        <v>CS2501</v>
      </c>
      <c r="C1765" s="186" t="str">
        <f>IFERROR(__xludf.DUMMYFUNCTION("""COMPUTED_VALUE"""),"BULE E XICARA PORCELANA CONTEM AFETO")</f>
        <v>BULE E XICARA PORCELANA CONTEM AFETO</v>
      </c>
      <c r="D1765" s="186" t="str">
        <f>IFERROR(__xludf.DUMMYFUNCTION("""COMPUTED_VALUE"""),"FALSO")</f>
        <v>FALSO</v>
      </c>
    </row>
    <row r="1766">
      <c r="B1766" s="186" t="str">
        <f>IFERROR(__xludf.DUMMYFUNCTION("""COMPUTED_VALUE"""),"US0078")</f>
        <v>US0078</v>
      </c>
      <c r="C1766" s="186" t="str">
        <f>IFERROR(__xludf.DUMMYFUNCTION("""COMPUTED_VALUE"""),"LUMINARIA BUSTO DAVI BRANCO")</f>
        <v>LUMINARIA BUSTO DAVI BRANCO</v>
      </c>
      <c r="D1766" s="186" t="str">
        <f>IFERROR(__xludf.DUMMYFUNCTION("""COMPUTED_VALUE"""),"FALSO")</f>
        <v>FALSO</v>
      </c>
    </row>
    <row r="1767">
      <c r="B1767" s="186" t="str">
        <f>IFERROR(__xludf.DUMMYFUNCTION("""COMPUTED_VALUE"""),"PI6596Y")</f>
        <v>PI6596Y</v>
      </c>
      <c r="C1767" s="186" t="str">
        <f>IFERROR(__xludf.DUMMYFUNCTION("""COMPUTED_VALUE"""),"PANTUFA QUADRICULADA PB F")</f>
        <v>PANTUFA QUADRICULADA PB F</v>
      </c>
      <c r="D1767" s="186" t="str">
        <f>IFERROR(__xludf.DUMMYFUNCTION("""COMPUTED_VALUE"""),"FALSO")</f>
        <v>FALSO</v>
      </c>
    </row>
    <row r="1768">
      <c r="B1768" s="186" t="str">
        <f>IFERROR(__xludf.DUMMYFUNCTION("""COMPUTED_VALUE"""),"PI6595Y")</f>
        <v>PI6595Y</v>
      </c>
      <c r="C1768" s="186" t="str">
        <f>IFERROR(__xludf.DUMMYFUNCTION("""COMPUTED_VALUE"""),"PANTUFA QUADRICULADA PB M")</f>
        <v>PANTUFA QUADRICULADA PB M</v>
      </c>
      <c r="D1768" s="186" t="str">
        <f>IFERROR(__xludf.DUMMYFUNCTION("""COMPUTED_VALUE"""),"FALSO")</f>
        <v>FALSO</v>
      </c>
    </row>
    <row r="1769">
      <c r="B1769" s="186" t="str">
        <f>IFERROR(__xludf.DUMMYFUNCTION("""COMPUTED_VALUE"""),"US0079")</f>
        <v>US0079</v>
      </c>
      <c r="C1769" s="186" t="str">
        <f>IFERROR(__xludf.DUMMYFUNCTION("""COMPUTED_VALUE"""),"LUMINARIA CABINE TELEFONICA VERMELHA")</f>
        <v>LUMINARIA CABINE TELEFONICA VERMELHA</v>
      </c>
      <c r="D1769" s="186" t="str">
        <f>IFERROR(__xludf.DUMMYFUNCTION("""COMPUTED_VALUE"""),"FALSO")</f>
        <v>FALSO</v>
      </c>
    </row>
    <row r="1770">
      <c r="B1770" s="186" t="str">
        <f>IFERROR(__xludf.DUMMYFUNCTION("""COMPUTED_VALUE"""),"PI5068Y")</f>
        <v>PI5068Y</v>
      </c>
      <c r="C1770" s="186" t="str">
        <f>IFERROR(__xludf.DUMMYFUNCTION("""COMPUTED_VALUE"""),"PROTETOR DE CABO FLOR")</f>
        <v>PROTETOR DE CABO FLOR</v>
      </c>
      <c r="D1770" s="186" t="str">
        <f>IFERROR(__xludf.DUMMYFUNCTION("""COMPUTED_VALUE"""),"FALSO")</f>
        <v>FALSO</v>
      </c>
    </row>
    <row r="1771">
      <c r="B1771" s="186" t="str">
        <f>IFERROR(__xludf.DUMMYFUNCTION("""COMPUTED_VALUE"""),"AC2203Y")</f>
        <v>AC2203Y</v>
      </c>
      <c r="C1771" s="186" t="str">
        <f>IFERROR(__xludf.DUMMYFUNCTION("""COMPUTED_VALUE"""),"CABOS PARA PI4720Y")</f>
        <v>CABOS PARA PI4720Y</v>
      </c>
      <c r="D1771" s="186" t="str">
        <f>IFERROR(__xludf.DUMMYFUNCTION("""COMPUTED_VALUE"""),"FALSO")</f>
        <v>FALSO</v>
      </c>
    </row>
    <row r="1772">
      <c r="B1772" s="186" t="str">
        <f>IFERROR(__xludf.DUMMYFUNCTION("""COMPUTED_VALUE"""),"AC2204Y")</f>
        <v>AC2204Y</v>
      </c>
      <c r="C1772" s="186" t="str">
        <f>IFERROR(__xludf.DUMMYFUNCTION("""COMPUTED_VALUE"""),"CABOS PARA PI5188Y")</f>
        <v>CABOS PARA PI5188Y</v>
      </c>
      <c r="D1772" s="186" t="str">
        <f>IFERROR(__xludf.DUMMYFUNCTION("""COMPUTED_VALUE"""),"FALSO")</f>
        <v>FALSO</v>
      </c>
    </row>
    <row r="1773">
      <c r="B1773" s="186" t="str">
        <f>IFERROR(__xludf.DUMMYFUNCTION("""COMPUTED_VALUE"""),"US0080")</f>
        <v>US0080</v>
      </c>
      <c r="C1773" s="186" t="str">
        <f>IFERROR(__xludf.DUMMYFUNCTION("""COMPUTED_VALUE"""),"LUMINARIA CACTUS FLOR KAWAII")</f>
        <v>LUMINARIA CACTUS FLOR KAWAII</v>
      </c>
      <c r="D1773" s="186" t="str">
        <f>IFERROR(__xludf.DUMMYFUNCTION("""COMPUTED_VALUE"""),"FALSO")</f>
        <v>FALSO</v>
      </c>
    </row>
    <row r="1774">
      <c r="B1774" s="186" t="str">
        <f>IFERROR(__xludf.DUMMYFUNCTION("""COMPUTED_VALUE"""),"US0081")</f>
        <v>US0081</v>
      </c>
      <c r="C1774" s="186" t="str">
        <f>IFERROR(__xludf.DUMMYFUNCTION("""COMPUTED_VALUE"""),"LUMINARIA CACTUS KAWAII")</f>
        <v>LUMINARIA CACTUS KAWAII</v>
      </c>
      <c r="D1774" s="186" t="str">
        <f>IFERROR(__xludf.DUMMYFUNCTION("""COMPUTED_VALUE"""),"FALSO")</f>
        <v>FALSO</v>
      </c>
    </row>
    <row r="1775">
      <c r="B1775" s="186" t="str">
        <f>IFERROR(__xludf.DUMMYFUNCTION("""COMPUTED_VALUE"""),"PI4671Y")</f>
        <v>PI4671Y</v>
      </c>
      <c r="C1775" s="186" t="str">
        <f>IFERROR(__xludf.DUMMYFUNCTION("""COMPUTED_VALUE"""),"REGADOR CACTO")</f>
        <v>REGADOR CACTO</v>
      </c>
      <c r="D1775" s="186" t="str">
        <f>IFERROR(__xludf.DUMMYFUNCTION("""COMPUTED_VALUE"""),"FALSO")</f>
        <v>FALSO</v>
      </c>
    </row>
    <row r="1776">
      <c r="B1776" s="186" t="str">
        <f>IFERROR(__xludf.DUMMYFUNCTION("""COMPUTED_VALUE"""),"PI5991Y")</f>
        <v>PI5991Y</v>
      </c>
      <c r="C1776" s="186" t="str">
        <f>IFERROR(__xludf.DUMMYFUNCTION("""COMPUTED_VALUE"""),"CADERNO FELIPE MOROZINI")</f>
        <v>CADERNO FELIPE MOROZINI</v>
      </c>
      <c r="D1776" s="186" t="str">
        <f>IFERROR(__xludf.DUMMYFUNCTION("""COMPUTED_VALUE"""),"FALSO")</f>
        <v>FALSO</v>
      </c>
    </row>
    <row r="1777">
      <c r="B1777" s="186" t="str">
        <f>IFERROR(__xludf.DUMMYFUNCTION("""COMPUTED_VALUE"""),"GE0085")</f>
        <v>GE0085</v>
      </c>
      <c r="C1777" s="186" t="str">
        <f>IFERROR(__xludf.DUMMYFUNCTION("""COMPUTED_VALUE"""),"CAIXA DE MAQUIAGEM BASE DO SUCESSO")</f>
        <v>CAIXA DE MAQUIAGEM BASE DO SUCESSO</v>
      </c>
      <c r="D1777" s="186" t="str">
        <f>IFERROR(__xludf.DUMMYFUNCTION("""COMPUTED_VALUE"""),"FALSO")</f>
        <v>FALSO</v>
      </c>
    </row>
    <row r="1778">
      <c r="B1778" s="186" t="str">
        <f>IFERROR(__xludf.DUMMYFUNCTION("""COMPUTED_VALUE"""),"GE0101")</f>
        <v>GE0101</v>
      </c>
      <c r="C1778" s="186" t="str">
        <f>IFERROR(__xludf.DUMMYFUNCTION("""COMPUTED_VALUE"""),"CAIXA DE RECORDACOES NOSSA MEMORIA")</f>
        <v>CAIXA DE RECORDACOES NOSSA MEMORIA</v>
      </c>
      <c r="D1778" s="186" t="str">
        <f>IFERROR(__xludf.DUMMYFUNCTION("""COMPUTED_VALUE"""),"FALSO")</f>
        <v>FALSO</v>
      </c>
    </row>
    <row r="1779">
      <c r="B1779" s="186" t="str">
        <f>IFERROR(__xludf.DUMMYFUNCTION("""COMPUTED_VALUE"""),"AC2226")</f>
        <v>AC2226</v>
      </c>
      <c r="C1779" s="186"/>
      <c r="D1779" s="186" t="str">
        <f>IFERROR(__xludf.DUMMYFUNCTION("""COMPUTED_VALUE"""),"FALSO")</f>
        <v>FALSO</v>
      </c>
    </row>
    <row r="1780">
      <c r="B1780" s="186" t="str">
        <f>IFERROR(__xludf.DUMMYFUNCTION("""COMPUTED_VALUE"""),"CS2111")</f>
        <v>CS2111</v>
      </c>
      <c r="C1780" s="186" t="str">
        <f>IFERROR(__xludf.DUMMYFUNCTION("""COMPUTED_VALUE"""),"CAIXA PARA ESPECIARIAS E CHAS ESCOLHAS")</f>
        <v>CAIXA PARA ESPECIARIAS E CHAS ESCOLHAS</v>
      </c>
      <c r="D1780" s="186" t="str">
        <f>IFERROR(__xludf.DUMMYFUNCTION("""COMPUTED_VALUE"""),"FALSO")</f>
        <v>FALSO</v>
      </c>
    </row>
    <row r="1781">
      <c r="B1781" s="186" t="str">
        <f>IFERROR(__xludf.DUMMYFUNCTION("""COMPUTED_VALUE"""),"CS2095")</f>
        <v>CS2095</v>
      </c>
      <c r="C1781" s="186" t="str">
        <f>IFERROR(__xludf.DUMMYFUNCTION("""COMPUTED_VALUE"""),"CAIXA PRESENTE AMARELA G")</f>
        <v>CAIXA PRESENTE AMARELA G</v>
      </c>
      <c r="D1781" s="186" t="str">
        <f>IFERROR(__xludf.DUMMYFUNCTION("""COMPUTED_VALUE"""),"FALSO")</f>
        <v>FALSO</v>
      </c>
    </row>
    <row r="1782">
      <c r="B1782" s="186" t="str">
        <f>IFERROR(__xludf.DUMMYFUNCTION("""COMPUTED_VALUE"""),"CS2095")</f>
        <v>CS2095</v>
      </c>
      <c r="C1782" s="186" t="str">
        <f>IFERROR(__xludf.DUMMYFUNCTION("""COMPUTED_VALUE"""),"CAIXA PRESENTE AMARELA G")</f>
        <v>CAIXA PRESENTE AMARELA G</v>
      </c>
      <c r="D1782" s="186" t="str">
        <f>IFERROR(__xludf.DUMMYFUNCTION("""COMPUTED_VALUE"""),"FALSO")</f>
        <v>FALSO</v>
      </c>
    </row>
    <row r="1783">
      <c r="B1783" s="186" t="str">
        <f>IFERROR(__xludf.DUMMYFUNCTION("""COMPUTED_VALUE"""),"CS2095")</f>
        <v>CS2095</v>
      </c>
      <c r="C1783" s="186" t="str">
        <f>IFERROR(__xludf.DUMMYFUNCTION("""COMPUTED_VALUE"""),"CAIXA PRESENTE AMARELA G")</f>
        <v>CAIXA PRESENTE AMARELA G</v>
      </c>
      <c r="D1783" s="186" t="str">
        <f>IFERROR(__xludf.DUMMYFUNCTION("""COMPUTED_VALUE"""),"FALSO")</f>
        <v>FALSO</v>
      </c>
    </row>
    <row r="1784">
      <c r="B1784" s="186" t="str">
        <f>IFERROR(__xludf.DUMMYFUNCTION("""COMPUTED_VALUE"""),"CS2095")</f>
        <v>CS2095</v>
      </c>
      <c r="C1784" s="186" t="str">
        <f>IFERROR(__xludf.DUMMYFUNCTION("""COMPUTED_VALUE"""),"CAIXA PRESENTE AMARELA G")</f>
        <v>CAIXA PRESENTE AMARELA G</v>
      </c>
      <c r="D1784" s="186" t="str">
        <f>IFERROR(__xludf.DUMMYFUNCTION("""COMPUTED_VALUE"""),"FALSO")</f>
        <v>FALSO</v>
      </c>
    </row>
    <row r="1785">
      <c r="B1785" s="186" t="str">
        <f>IFERROR(__xludf.DUMMYFUNCTION("""COMPUTED_VALUE"""),"CS2095")</f>
        <v>CS2095</v>
      </c>
      <c r="C1785" s="186" t="str">
        <f>IFERROR(__xludf.DUMMYFUNCTION("""COMPUTED_VALUE"""),"CAIXA PRESENTE AMARELA G")</f>
        <v>CAIXA PRESENTE AMARELA G</v>
      </c>
      <c r="D1785" s="186" t="str">
        <f>IFERROR(__xludf.DUMMYFUNCTION("""COMPUTED_VALUE"""),"FALSO")</f>
        <v>FALSO</v>
      </c>
    </row>
    <row r="1786">
      <c r="B1786" s="186" t="str">
        <f>IFERROR(__xludf.DUMMYFUNCTION("""COMPUTED_VALUE"""),"CS2094")</f>
        <v>CS2094</v>
      </c>
      <c r="C1786" s="186" t="str">
        <f>IFERROR(__xludf.DUMMYFUNCTION("""COMPUTED_VALUE"""),"CAIXA PRESENTE AMARELA M")</f>
        <v>CAIXA PRESENTE AMARELA M</v>
      </c>
      <c r="D1786" s="186" t="str">
        <f>IFERROR(__xludf.DUMMYFUNCTION("""COMPUTED_VALUE"""),"FALSO")</f>
        <v>FALSO</v>
      </c>
    </row>
    <row r="1787">
      <c r="B1787" s="186" t="str">
        <f>IFERROR(__xludf.DUMMYFUNCTION("""COMPUTED_VALUE"""),"CS2094")</f>
        <v>CS2094</v>
      </c>
      <c r="C1787" s="186" t="str">
        <f>IFERROR(__xludf.DUMMYFUNCTION("""COMPUTED_VALUE"""),"CAIXA PRESENTE AMARELA M")</f>
        <v>CAIXA PRESENTE AMARELA M</v>
      </c>
      <c r="D1787" s="186" t="str">
        <f>IFERROR(__xludf.DUMMYFUNCTION("""COMPUTED_VALUE"""),"FALSO")</f>
        <v>FALSO</v>
      </c>
    </row>
    <row r="1788">
      <c r="B1788" s="186" t="str">
        <f>IFERROR(__xludf.DUMMYFUNCTION("""COMPUTED_VALUE"""),"CS2094")</f>
        <v>CS2094</v>
      </c>
      <c r="C1788" s="186" t="str">
        <f>IFERROR(__xludf.DUMMYFUNCTION("""COMPUTED_VALUE"""),"CAIXA PRESENTE AMARELA M")</f>
        <v>CAIXA PRESENTE AMARELA M</v>
      </c>
      <c r="D1788" s="186" t="str">
        <f>IFERROR(__xludf.DUMMYFUNCTION("""COMPUTED_VALUE"""),"FALSO")</f>
        <v>FALSO</v>
      </c>
    </row>
    <row r="1789">
      <c r="B1789" s="186" t="str">
        <f>IFERROR(__xludf.DUMMYFUNCTION("""COMPUTED_VALUE"""),"CS2094")</f>
        <v>CS2094</v>
      </c>
      <c r="C1789" s="186" t="str">
        <f>IFERROR(__xludf.DUMMYFUNCTION("""COMPUTED_VALUE"""),"CAIXA PRESENTE AMARELA M")</f>
        <v>CAIXA PRESENTE AMARELA M</v>
      </c>
      <c r="D1789" s="186" t="str">
        <f>IFERROR(__xludf.DUMMYFUNCTION("""COMPUTED_VALUE"""),"FALSO")</f>
        <v>FALSO</v>
      </c>
    </row>
    <row r="1790">
      <c r="B1790" s="186" t="str">
        <f>IFERROR(__xludf.DUMMYFUNCTION("""COMPUTED_VALUE"""),"CS2094")</f>
        <v>CS2094</v>
      </c>
      <c r="C1790" s="186" t="str">
        <f>IFERROR(__xludf.DUMMYFUNCTION("""COMPUTED_VALUE"""),"CAIXA PRESENTE AMARELA M")</f>
        <v>CAIXA PRESENTE AMARELA M</v>
      </c>
      <c r="D1790" s="186" t="str">
        <f>IFERROR(__xludf.DUMMYFUNCTION("""COMPUTED_VALUE"""),"FALSO")</f>
        <v>FALSO</v>
      </c>
    </row>
    <row r="1791">
      <c r="B1791" s="186" t="str">
        <f>IFERROR(__xludf.DUMMYFUNCTION("""COMPUTED_VALUE"""),"CS2089")</f>
        <v>CS2089</v>
      </c>
      <c r="C1791" s="186" t="str">
        <f>IFERROR(__xludf.DUMMYFUNCTION("""COMPUTED_VALUE"""),"CALENDARIO DE PAREDE 2023")</f>
        <v>CALENDARIO DE PAREDE 2023</v>
      </c>
      <c r="D1791" s="186" t="str">
        <f>IFERROR(__xludf.DUMMYFUNCTION("""COMPUTED_VALUE"""),"FALSO")</f>
        <v>FALSO</v>
      </c>
    </row>
    <row r="1792">
      <c r="B1792" s="186" t="str">
        <f>IFERROR(__xludf.DUMMYFUNCTION("""COMPUTED_VALUE"""),"CS2250")</f>
        <v>CS2250</v>
      </c>
      <c r="C1792" s="186" t="str">
        <f>IFERROR(__xludf.DUMMYFUNCTION("""COMPUTED_VALUE"""),"CALENDARIO DE PAREDE 2024")</f>
        <v>CALENDARIO DE PAREDE 2024</v>
      </c>
      <c r="D1792" s="186" t="str">
        <f>IFERROR(__xludf.DUMMYFUNCTION("""COMPUTED_VALUE"""),"FALSO")</f>
        <v>FALSO</v>
      </c>
    </row>
    <row r="1793">
      <c r="B1793" s="186" t="str">
        <f>IFERROR(__xludf.DUMMYFUNCTION("""COMPUTED_VALUE"""),"PI5225Y")</f>
        <v>PI5225Y</v>
      </c>
      <c r="C1793" s="186" t="str">
        <f>IFERROR(__xludf.DUMMYFUNCTION("""COMPUTED_VALUE"""),"PORTA RETRATO CALENDARIO NOSSA HISTORIA")</f>
        <v>PORTA RETRATO CALENDARIO NOSSA HISTORIA</v>
      </c>
      <c r="D1793" s="186" t="str">
        <f>IFERROR(__xludf.DUMMYFUNCTION("""COMPUTED_VALUE"""),"FALSO")</f>
        <v>FALSO</v>
      </c>
    </row>
    <row r="1794">
      <c r="B1794" s="186" t="str">
        <f>IFERROR(__xludf.DUMMYFUNCTION("""COMPUTED_VALUE"""),"PI5225Y")</f>
        <v>PI5225Y</v>
      </c>
      <c r="C1794" s="186" t="str">
        <f>IFERROR(__xludf.DUMMYFUNCTION("""COMPUTED_VALUE"""),"PORTA RETRATO CALENDARIO NOSSA HISTORIA")</f>
        <v>PORTA RETRATO CALENDARIO NOSSA HISTORIA</v>
      </c>
      <c r="D1794" s="186" t="str">
        <f>IFERROR(__xludf.DUMMYFUNCTION("""COMPUTED_VALUE"""),"FALSO")</f>
        <v>FALSO</v>
      </c>
    </row>
    <row r="1795">
      <c r="B1795" s="186" t="str">
        <f>IFERROR(__xludf.DUMMYFUNCTION("""COMPUTED_VALUE"""),"PI5225Y")</f>
        <v>PI5225Y</v>
      </c>
      <c r="C1795" s="186" t="str">
        <f>IFERROR(__xludf.DUMMYFUNCTION("""COMPUTED_VALUE"""),"PORTA RETRATO CALENDARIO NOSSA HISTORIA")</f>
        <v>PORTA RETRATO CALENDARIO NOSSA HISTORIA</v>
      </c>
      <c r="D1795" s="186" t="str">
        <f>IFERROR(__xludf.DUMMYFUNCTION("""COMPUTED_VALUE"""),"FALSO")</f>
        <v>FALSO</v>
      </c>
    </row>
    <row r="1796">
      <c r="B1796" s="186" t="str">
        <f>IFERROR(__xludf.DUMMYFUNCTION("""COMPUTED_VALUE"""),"PI5180Y")</f>
        <v>PI5180Y</v>
      </c>
      <c r="C1796" s="186" t="str">
        <f>IFERROR(__xludf.DUMMYFUNCTION("""COMPUTED_VALUE"""),"TAMPA PARA WEBCAM E CAMERA COGUMELO")</f>
        <v>TAMPA PARA WEBCAM E CAMERA COGUMELO</v>
      </c>
      <c r="D1796" s="186" t="str">
        <f>IFERROR(__xludf.DUMMYFUNCTION("""COMPUTED_VALUE"""),"FALSO")</f>
        <v>FALSO</v>
      </c>
    </row>
    <row r="1797">
      <c r="B1797" s="186" t="str">
        <f>IFERROR(__xludf.DUMMYFUNCTION("""COMPUTED_VALUE"""),"US0082")</f>
        <v>US0082</v>
      </c>
      <c r="C1797" s="186" t="str">
        <f>IFERROR(__xludf.DUMMYFUNCTION("""COMPUTED_VALUE"""),"LUMINARIA CAMERA BRANCA")</f>
        <v>LUMINARIA CAMERA BRANCA</v>
      </c>
      <c r="D1797" s="186" t="str">
        <f>IFERROR(__xludf.DUMMYFUNCTION("""COMPUTED_VALUE"""),"FALSO")</f>
        <v>FALSO</v>
      </c>
    </row>
    <row r="1798">
      <c r="B1798" s="186" t="str">
        <f>IFERROR(__xludf.DUMMYFUNCTION("""COMPUTED_VALUE"""),"CS2447")</f>
        <v>CS2447</v>
      </c>
      <c r="C1798" s="186" t="str">
        <f>IFERROR(__xludf.DUMMYFUNCTION("""COMPUTED_VALUE"""),"CAMISETA AMARGUINHOS ACORDEI CEDO GG")</f>
        <v>CAMISETA AMARGUINHOS ACORDEI CEDO GG</v>
      </c>
      <c r="D1798" s="186" t="str">
        <f>IFERROR(__xludf.DUMMYFUNCTION("""COMPUTED_VALUE"""),"FALSO")</f>
        <v>FALSO</v>
      </c>
    </row>
    <row r="1799">
      <c r="B1799" s="186" t="str">
        <f>IFERROR(__xludf.DUMMYFUNCTION("""COMPUTED_VALUE"""),"CS2446")</f>
        <v>CS2446</v>
      </c>
      <c r="C1799" s="186" t="str">
        <f>IFERROR(__xludf.DUMMYFUNCTION("""COMPUTED_VALUE"""),"CAMISETA AMARGUINHOS ACORDEI CEDO G")</f>
        <v>CAMISETA AMARGUINHOS ACORDEI CEDO G</v>
      </c>
      <c r="D1799" s="186" t="str">
        <f>IFERROR(__xludf.DUMMYFUNCTION("""COMPUTED_VALUE"""),"FALSO")</f>
        <v>FALSO</v>
      </c>
    </row>
    <row r="1800">
      <c r="B1800" s="186" t="str">
        <f>IFERROR(__xludf.DUMMYFUNCTION("""COMPUTED_VALUE"""),"CS2445")</f>
        <v>CS2445</v>
      </c>
      <c r="C1800" s="186" t="str">
        <f>IFERROR(__xludf.DUMMYFUNCTION("""COMPUTED_VALUE"""),"CAMISETA AMARGUINHOS ACORDEI CEDO M")</f>
        <v>CAMISETA AMARGUINHOS ACORDEI CEDO M</v>
      </c>
      <c r="D1800" s="186" t="str">
        <f>IFERROR(__xludf.DUMMYFUNCTION("""COMPUTED_VALUE"""),"FALSO")</f>
        <v>FALSO</v>
      </c>
    </row>
    <row r="1801">
      <c r="B1801" s="186" t="str">
        <f>IFERROR(__xludf.DUMMYFUNCTION("""COMPUTED_VALUE"""),"CS2423")</f>
        <v>CS2423</v>
      </c>
      <c r="C1801" s="186" t="str">
        <f>IFERROR(__xludf.DUMMYFUNCTION("""COMPUTED_VALUE"""),"CAMISETA AMARGUINHOS ACORDEI CEDO P")</f>
        <v>CAMISETA AMARGUINHOS ACORDEI CEDO P</v>
      </c>
      <c r="D1801" s="186" t="str">
        <f>IFERROR(__xludf.DUMMYFUNCTION("""COMPUTED_VALUE"""),"FALSO")</f>
        <v>FALSO</v>
      </c>
    </row>
    <row r="1802">
      <c r="B1802" s="186" t="str">
        <f>IFERROR(__xludf.DUMMYFUNCTION("""COMPUTED_VALUE"""),"CS2450")</f>
        <v>CS2450</v>
      </c>
      <c r="C1802" s="186" t="str">
        <f>IFERROR(__xludf.DUMMYFUNCTION("""COMPUTED_VALUE"""),"CAMISETA AMARGUINHOS AGRADECO GG")</f>
        <v>CAMISETA AMARGUINHOS AGRADECO GG</v>
      </c>
      <c r="D1802" s="186" t="str">
        <f>IFERROR(__xludf.DUMMYFUNCTION("""COMPUTED_VALUE"""),"FALSO")</f>
        <v>FALSO</v>
      </c>
    </row>
    <row r="1803">
      <c r="B1803" s="186" t="str">
        <f>IFERROR(__xludf.DUMMYFUNCTION("""COMPUTED_VALUE"""),"CS2449")</f>
        <v>CS2449</v>
      </c>
      <c r="C1803" s="186" t="str">
        <f>IFERROR(__xludf.DUMMYFUNCTION("""COMPUTED_VALUE"""),"CAMISETA AMARGUINHOS AGRADECO G")</f>
        <v>CAMISETA AMARGUINHOS AGRADECO G</v>
      </c>
      <c r="D1803" s="186" t="str">
        <f>IFERROR(__xludf.DUMMYFUNCTION("""COMPUTED_VALUE"""),"FALSO")</f>
        <v>FALSO</v>
      </c>
    </row>
    <row r="1804">
      <c r="B1804" s="186" t="str">
        <f>IFERROR(__xludf.DUMMYFUNCTION("""COMPUTED_VALUE"""),"CS2448")</f>
        <v>CS2448</v>
      </c>
      <c r="C1804" s="186" t="str">
        <f>IFERROR(__xludf.DUMMYFUNCTION("""COMPUTED_VALUE"""),"CAMISETA AMARGUINHOS AGRADECO M")</f>
        <v>CAMISETA AMARGUINHOS AGRADECO M</v>
      </c>
      <c r="D1804" s="186" t="str">
        <f>IFERROR(__xludf.DUMMYFUNCTION("""COMPUTED_VALUE"""),"FALSO")</f>
        <v>FALSO</v>
      </c>
    </row>
    <row r="1805">
      <c r="B1805" s="186" t="str">
        <f>IFERROR(__xludf.DUMMYFUNCTION("""COMPUTED_VALUE"""),"CS2417")</f>
        <v>CS2417</v>
      </c>
      <c r="C1805" s="186" t="str">
        <f>IFERROR(__xludf.DUMMYFUNCTION("""COMPUTED_VALUE"""),"CAMISETA AMARGUINHOS AGRADECO P")</f>
        <v>CAMISETA AMARGUINHOS AGRADECO P</v>
      </c>
      <c r="D1805" s="186" t="str">
        <f>IFERROR(__xludf.DUMMYFUNCTION("""COMPUTED_VALUE"""),"FALSO")</f>
        <v>FALSO</v>
      </c>
    </row>
    <row r="1806">
      <c r="B1806" s="186" t="str">
        <f>IFERROR(__xludf.DUMMYFUNCTION("""COMPUTED_VALUE"""),"CS2453")</f>
        <v>CS2453</v>
      </c>
      <c r="C1806" s="186" t="str">
        <f>IFERROR(__xludf.DUMMYFUNCTION("""COMPUTED_VALUE"""),"CAMISETA AMARGUINHOS BOM DIA TODOS GG")</f>
        <v>CAMISETA AMARGUINHOS BOM DIA TODOS GG</v>
      </c>
      <c r="D1806" s="186" t="str">
        <f>IFERROR(__xludf.DUMMYFUNCTION("""COMPUTED_VALUE"""),"FALSO")</f>
        <v>FALSO</v>
      </c>
    </row>
    <row r="1807">
      <c r="B1807" s="186" t="str">
        <f>IFERROR(__xludf.DUMMYFUNCTION("""COMPUTED_VALUE"""),"CS2452")</f>
        <v>CS2452</v>
      </c>
      <c r="C1807" s="186" t="str">
        <f>IFERROR(__xludf.DUMMYFUNCTION("""COMPUTED_VALUE"""),"CAMISETA AMARGUINHOS BOM DIA TODOS G")</f>
        <v>CAMISETA AMARGUINHOS BOM DIA TODOS G</v>
      </c>
      <c r="D1807" s="186" t="str">
        <f>IFERROR(__xludf.DUMMYFUNCTION("""COMPUTED_VALUE"""),"FALSO")</f>
        <v>FALSO</v>
      </c>
    </row>
    <row r="1808">
      <c r="B1808" s="186" t="str">
        <f>IFERROR(__xludf.DUMMYFUNCTION("""COMPUTED_VALUE"""),"CS2451")</f>
        <v>CS2451</v>
      </c>
      <c r="C1808" s="186" t="str">
        <f>IFERROR(__xludf.DUMMYFUNCTION("""COMPUTED_VALUE"""),"CAMISETA AMARGUINHOS BOM DIA TODOS M")</f>
        <v>CAMISETA AMARGUINHOS BOM DIA TODOS M</v>
      </c>
      <c r="D1808" s="186" t="str">
        <f>IFERROR(__xludf.DUMMYFUNCTION("""COMPUTED_VALUE"""),"FALSO")</f>
        <v>FALSO</v>
      </c>
    </row>
    <row r="1809">
      <c r="B1809" s="186" t="str">
        <f>IFERROR(__xludf.DUMMYFUNCTION("""COMPUTED_VALUE"""),"CS2422")</f>
        <v>CS2422</v>
      </c>
      <c r="C1809" s="186" t="str">
        <f>IFERROR(__xludf.DUMMYFUNCTION("""COMPUTED_VALUE"""),"CAMISETA AMARGUINHOS BOM DIA TODOS P")</f>
        <v>CAMISETA AMARGUINHOS BOM DIA TODOS P</v>
      </c>
      <c r="D1809" s="186" t="str">
        <f>IFERROR(__xludf.DUMMYFUNCTION("""COMPUTED_VALUE"""),"FALSO")</f>
        <v>FALSO</v>
      </c>
    </row>
    <row r="1810">
      <c r="B1810" s="186" t="str">
        <f>IFERROR(__xludf.DUMMYFUNCTION("""COMPUTED_VALUE"""),"CS2465")</f>
        <v>CS2465</v>
      </c>
      <c r="C1810" s="186" t="str">
        <f>IFERROR(__xludf.DUMMYFUNCTION("""COMPUTED_VALUE"""),"CAMISETA AMARGUINHOS ESTOU OCUPADO GG")</f>
        <v>CAMISETA AMARGUINHOS ESTOU OCUPADO GG</v>
      </c>
      <c r="D1810" s="186" t="str">
        <f>IFERROR(__xludf.DUMMYFUNCTION("""COMPUTED_VALUE"""),"FALSO")</f>
        <v>FALSO</v>
      </c>
    </row>
    <row r="1811">
      <c r="B1811" s="186" t="str">
        <f>IFERROR(__xludf.DUMMYFUNCTION("""COMPUTED_VALUE"""),"CS2464")</f>
        <v>CS2464</v>
      </c>
      <c r="C1811" s="186" t="str">
        <f>IFERROR(__xludf.DUMMYFUNCTION("""COMPUTED_VALUE"""),"CAMISETA AMARGUINHOS ESTOU OCUPADO G")</f>
        <v>CAMISETA AMARGUINHOS ESTOU OCUPADO G</v>
      </c>
      <c r="D1811" s="186" t="str">
        <f>IFERROR(__xludf.DUMMYFUNCTION("""COMPUTED_VALUE"""),"FALSO")</f>
        <v>FALSO</v>
      </c>
    </row>
    <row r="1812">
      <c r="B1812" s="186" t="str">
        <f>IFERROR(__xludf.DUMMYFUNCTION("""COMPUTED_VALUE"""),"CS2463")</f>
        <v>CS2463</v>
      </c>
      <c r="C1812" s="186" t="str">
        <f>IFERROR(__xludf.DUMMYFUNCTION("""COMPUTED_VALUE"""),"CAMISETA AMARGUINHOS ESTOU OCUPADO M")</f>
        <v>CAMISETA AMARGUINHOS ESTOU OCUPADO M</v>
      </c>
      <c r="D1812" s="186" t="str">
        <f>IFERROR(__xludf.DUMMYFUNCTION("""COMPUTED_VALUE"""),"FALSO")</f>
        <v>FALSO</v>
      </c>
    </row>
    <row r="1813">
      <c r="B1813" s="186" t="str">
        <f>IFERROR(__xludf.DUMMYFUNCTION("""COMPUTED_VALUE"""),"CS2419")</f>
        <v>CS2419</v>
      </c>
      <c r="C1813" s="186" t="str">
        <f>IFERROR(__xludf.DUMMYFUNCTION("""COMPUTED_VALUE"""),"CAMISETA AMARGUINHOS ESTOU OCUPADO P")</f>
        <v>CAMISETA AMARGUINHOS ESTOU OCUPADO P</v>
      </c>
      <c r="D1813" s="186" t="str">
        <f>IFERROR(__xludf.DUMMYFUNCTION("""COMPUTED_VALUE"""),"FALSO")</f>
        <v>FALSO</v>
      </c>
    </row>
    <row r="1814">
      <c r="B1814" s="186" t="str">
        <f>IFERROR(__xludf.DUMMYFUNCTION("""COMPUTED_VALUE"""),"CS2456")</f>
        <v>CS2456</v>
      </c>
      <c r="C1814" s="186" t="str">
        <f>IFERROR(__xludf.DUMMYFUNCTION("""COMPUTED_VALUE"""),"CAMISETA AMARGUINHOS JA ME ARREPENDI GG")</f>
        <v>CAMISETA AMARGUINHOS JA ME ARREPENDI GG</v>
      </c>
      <c r="D1814" s="186" t="str">
        <f>IFERROR(__xludf.DUMMYFUNCTION("""COMPUTED_VALUE"""),"FALSO")</f>
        <v>FALSO</v>
      </c>
    </row>
    <row r="1815">
      <c r="B1815" s="186" t="str">
        <f>IFERROR(__xludf.DUMMYFUNCTION("""COMPUTED_VALUE"""),"CS2455")</f>
        <v>CS2455</v>
      </c>
      <c r="C1815" s="186" t="str">
        <f>IFERROR(__xludf.DUMMYFUNCTION("""COMPUTED_VALUE"""),"CAMISETA AMARGUINHOS JA ME ARREPENDI G")</f>
        <v>CAMISETA AMARGUINHOS JA ME ARREPENDI G</v>
      </c>
      <c r="D1815" s="186" t="str">
        <f>IFERROR(__xludf.DUMMYFUNCTION("""COMPUTED_VALUE"""),"FALSO")</f>
        <v>FALSO</v>
      </c>
    </row>
    <row r="1816">
      <c r="B1816" s="186" t="str">
        <f>IFERROR(__xludf.DUMMYFUNCTION("""COMPUTED_VALUE"""),"CS2454")</f>
        <v>CS2454</v>
      </c>
      <c r="C1816" s="186" t="str">
        <f>IFERROR(__xludf.DUMMYFUNCTION("""COMPUTED_VALUE"""),"CAMISETA AMARGUINHOS JA ME ARREPENDI M")</f>
        <v>CAMISETA AMARGUINHOS JA ME ARREPENDI M</v>
      </c>
      <c r="D1816" s="186" t="str">
        <f>IFERROR(__xludf.DUMMYFUNCTION("""COMPUTED_VALUE"""),"FALSO")</f>
        <v>FALSO</v>
      </c>
    </row>
    <row r="1817">
      <c r="B1817" s="186" t="str">
        <f>IFERROR(__xludf.DUMMYFUNCTION("""COMPUTED_VALUE"""),"CS2418")</f>
        <v>CS2418</v>
      </c>
      <c r="C1817" s="186" t="str">
        <f>IFERROR(__xludf.DUMMYFUNCTION("""COMPUTED_VALUE"""),"CAMISETA AMARGUINHOS JA ME ARREPENDI P")</f>
        <v>CAMISETA AMARGUINHOS JA ME ARREPENDI P</v>
      </c>
      <c r="D1817" s="186" t="str">
        <f>IFERROR(__xludf.DUMMYFUNCTION("""COMPUTED_VALUE"""),"FALSO")</f>
        <v>FALSO</v>
      </c>
    </row>
    <row r="1818">
      <c r="B1818" s="186" t="str">
        <f>IFERROR(__xludf.DUMMYFUNCTION("""COMPUTED_VALUE"""),"CS2468")</f>
        <v>CS2468</v>
      </c>
      <c r="C1818" s="186" t="str">
        <f>IFERROR(__xludf.DUMMYFUNCTION("""COMPUTED_VALUE"""),"CAMISETA AMARGUINHOS MEUS PROBLEMAS GG")</f>
        <v>CAMISETA AMARGUINHOS MEUS PROBLEMAS GG</v>
      </c>
      <c r="D1818" s="186" t="str">
        <f>IFERROR(__xludf.DUMMYFUNCTION("""COMPUTED_VALUE"""),"FALSO")</f>
        <v>FALSO</v>
      </c>
    </row>
    <row r="1819">
      <c r="B1819" s="186" t="str">
        <f>IFERROR(__xludf.DUMMYFUNCTION("""COMPUTED_VALUE"""),"CS2467")</f>
        <v>CS2467</v>
      </c>
      <c r="C1819" s="186" t="str">
        <f>IFERROR(__xludf.DUMMYFUNCTION("""COMPUTED_VALUE"""),"CAMISETA AMARGUINHOS MEUS PROBLEMAS G")</f>
        <v>CAMISETA AMARGUINHOS MEUS PROBLEMAS G</v>
      </c>
      <c r="D1819" s="186" t="str">
        <f>IFERROR(__xludf.DUMMYFUNCTION("""COMPUTED_VALUE"""),"FALSO")</f>
        <v>FALSO</v>
      </c>
    </row>
    <row r="1820">
      <c r="B1820" s="186" t="str">
        <f>IFERROR(__xludf.DUMMYFUNCTION("""COMPUTED_VALUE"""),"CS2466")</f>
        <v>CS2466</v>
      </c>
      <c r="C1820" s="186" t="str">
        <f>IFERROR(__xludf.DUMMYFUNCTION("""COMPUTED_VALUE"""),"CAMISETA AMARGUINHOS MEUS PROBLEMAS M")</f>
        <v>CAMISETA AMARGUINHOS MEUS PROBLEMAS M</v>
      </c>
      <c r="D1820" s="186" t="str">
        <f>IFERROR(__xludf.DUMMYFUNCTION("""COMPUTED_VALUE"""),"FALSO")</f>
        <v>FALSO</v>
      </c>
    </row>
    <row r="1821">
      <c r="B1821" s="186" t="str">
        <f>IFERROR(__xludf.DUMMYFUNCTION("""COMPUTED_VALUE"""),"CS2421")</f>
        <v>CS2421</v>
      </c>
      <c r="C1821" s="186" t="str">
        <f>IFERROR(__xludf.DUMMYFUNCTION("""COMPUTED_VALUE"""),"CAMISETA AMARGUINHOS MEUS PROBLEMAS P")</f>
        <v>CAMISETA AMARGUINHOS MEUS PROBLEMAS P</v>
      </c>
      <c r="D1821" s="186" t="str">
        <f>IFERROR(__xludf.DUMMYFUNCTION("""COMPUTED_VALUE"""),"FALSO")</f>
        <v>FALSO</v>
      </c>
    </row>
    <row r="1822">
      <c r="B1822" s="186" t="str">
        <f>IFERROR(__xludf.DUMMYFUNCTION("""COMPUTED_VALUE"""),"CS2459")</f>
        <v>CS2459</v>
      </c>
      <c r="C1822" s="186" t="str">
        <f>IFERROR(__xludf.DUMMYFUNCTION("""COMPUTED_VALUE"""),"CAMISETA AMARGUINHOS RECLAMO RESOLVO GG")</f>
        <v>CAMISETA AMARGUINHOS RECLAMO RESOLVO GG</v>
      </c>
      <c r="D1822" s="186" t="str">
        <f>IFERROR(__xludf.DUMMYFUNCTION("""COMPUTED_VALUE"""),"FALSO")</f>
        <v>FALSO</v>
      </c>
    </row>
    <row r="1823">
      <c r="B1823" s="186" t="str">
        <f>IFERROR(__xludf.DUMMYFUNCTION("""COMPUTED_VALUE"""),"CS2458")</f>
        <v>CS2458</v>
      </c>
      <c r="C1823" s="186" t="str">
        <f>IFERROR(__xludf.DUMMYFUNCTION("""COMPUTED_VALUE"""),"CAMISETA AMARGUINHOS RECLAMO RESOLVO G")</f>
        <v>CAMISETA AMARGUINHOS RECLAMO RESOLVO G</v>
      </c>
      <c r="D1823" s="186" t="str">
        <f>IFERROR(__xludf.DUMMYFUNCTION("""COMPUTED_VALUE"""),"FALSO")</f>
        <v>FALSO</v>
      </c>
    </row>
    <row r="1824">
      <c r="B1824" s="186" t="str">
        <f>IFERROR(__xludf.DUMMYFUNCTION("""COMPUTED_VALUE"""),"CS2457")</f>
        <v>CS2457</v>
      </c>
      <c r="C1824" s="186" t="str">
        <f>IFERROR(__xludf.DUMMYFUNCTION("""COMPUTED_VALUE"""),"CAMISETA AMARGUINHOS RECLAMO RESOLVO M")</f>
        <v>CAMISETA AMARGUINHOS RECLAMO RESOLVO M</v>
      </c>
      <c r="D1824" s="186" t="str">
        <f>IFERROR(__xludf.DUMMYFUNCTION("""COMPUTED_VALUE"""),"FALSO")</f>
        <v>FALSO</v>
      </c>
    </row>
    <row r="1825">
      <c r="B1825" s="186" t="str">
        <f>IFERROR(__xludf.DUMMYFUNCTION("""COMPUTED_VALUE"""),"CS2416")</f>
        <v>CS2416</v>
      </c>
      <c r="C1825" s="186" t="str">
        <f>IFERROR(__xludf.DUMMYFUNCTION("""COMPUTED_VALUE"""),"CAMISETA AMARGUINHOS RECLAMO RESOLVO P")</f>
        <v>CAMISETA AMARGUINHOS RECLAMO RESOLVO P</v>
      </c>
      <c r="D1825" s="186" t="str">
        <f>IFERROR(__xludf.DUMMYFUNCTION("""COMPUTED_VALUE"""),"FALSO")</f>
        <v>FALSO</v>
      </c>
    </row>
    <row r="1826">
      <c r="B1826" s="186" t="str">
        <f>IFERROR(__xludf.DUMMYFUNCTION("""COMPUTED_VALUE"""),"CS2462")</f>
        <v>CS2462</v>
      </c>
      <c r="C1826" s="186" t="str">
        <f>IFERROR(__xludf.DUMMYFUNCTION("""COMPUTED_VALUE"""),"CAMISETA AMARGUINHOS SE PRECISAREM GG")</f>
        <v>CAMISETA AMARGUINHOS SE PRECISAREM GG</v>
      </c>
      <c r="D1826" s="186" t="str">
        <f>IFERROR(__xludf.DUMMYFUNCTION("""COMPUTED_VALUE"""),"FALSO")</f>
        <v>FALSO</v>
      </c>
    </row>
    <row r="1827">
      <c r="B1827" s="186" t="str">
        <f>IFERROR(__xludf.DUMMYFUNCTION("""COMPUTED_VALUE"""),"CS2461")</f>
        <v>CS2461</v>
      </c>
      <c r="C1827" s="186" t="str">
        <f>IFERROR(__xludf.DUMMYFUNCTION("""COMPUTED_VALUE"""),"CAMISETA AMARGUINHOS SE PRECISAREM G")</f>
        <v>CAMISETA AMARGUINHOS SE PRECISAREM G</v>
      </c>
      <c r="D1827" s="186" t="str">
        <f>IFERROR(__xludf.DUMMYFUNCTION("""COMPUTED_VALUE"""),"FALSO")</f>
        <v>FALSO</v>
      </c>
    </row>
    <row r="1828">
      <c r="B1828" s="186" t="str">
        <f>IFERROR(__xludf.DUMMYFUNCTION("""COMPUTED_VALUE"""),"CS2460")</f>
        <v>CS2460</v>
      </c>
      <c r="C1828" s="186" t="str">
        <f>IFERROR(__xludf.DUMMYFUNCTION("""COMPUTED_VALUE"""),"CAMISETA AMARGUINHOS SE PRECISAREM M")</f>
        <v>CAMISETA AMARGUINHOS SE PRECISAREM M</v>
      </c>
      <c r="D1828" s="186" t="str">
        <f>IFERROR(__xludf.DUMMYFUNCTION("""COMPUTED_VALUE"""),"FALSO")</f>
        <v>FALSO</v>
      </c>
    </row>
    <row r="1829">
      <c r="B1829" s="186" t="str">
        <f>IFERROR(__xludf.DUMMYFUNCTION("""COMPUTED_VALUE"""),"CS2420")</f>
        <v>CS2420</v>
      </c>
      <c r="C1829" s="186" t="str">
        <f>IFERROR(__xludf.DUMMYFUNCTION("""COMPUTED_VALUE"""),"CAMISETA AMARGUINHOS SE PRECISAREM P")</f>
        <v>CAMISETA AMARGUINHOS SE PRECISAREM P</v>
      </c>
      <c r="D1829" s="186" t="str">
        <f>IFERROR(__xludf.DUMMYFUNCTION("""COMPUTED_VALUE"""),"FALSO")</f>
        <v>FALSO</v>
      </c>
    </row>
    <row r="1830">
      <c r="B1830" s="186" t="str">
        <f>IFERROR(__xludf.DUMMYFUNCTION("""COMPUTED_VALUE"""),"PI6817Y")</f>
        <v>PI6817Y</v>
      </c>
      <c r="C1830" s="186" t="str">
        <f>IFERROR(__xludf.DUMMYFUNCTION("""COMPUTED_VALUE"""),"VELA NO POTE HP CALDEIRAO")</f>
        <v>VELA NO POTE HP CALDEIRAO</v>
      </c>
      <c r="D1830" s="186" t="str">
        <f>IFERROR(__xludf.DUMMYFUNCTION("""COMPUTED_VALUE"""),"FALSO")</f>
        <v>FALSO</v>
      </c>
    </row>
    <row r="1831">
      <c r="B1831" s="186" t="str">
        <f>IFERROR(__xludf.DUMMYFUNCTION("""COMPUTED_VALUE"""),"PI6818Y")</f>
        <v>PI6818Y</v>
      </c>
      <c r="C1831" s="186" t="str">
        <f>IFERROR(__xludf.DUMMYFUNCTION("""COMPUTED_VALUE"""),"VELA NO POTE HP EDWIGES")</f>
        <v>VELA NO POTE HP EDWIGES</v>
      </c>
      <c r="D1831" s="186" t="str">
        <f>IFERROR(__xludf.DUMMYFUNCTION("""COMPUTED_VALUE"""),"FALSO")</f>
        <v>FALSO</v>
      </c>
    </row>
    <row r="1832">
      <c r="B1832" s="186" t="str">
        <f>IFERROR(__xludf.DUMMYFUNCTION("""COMPUTED_VALUE"""),"CS2171")</f>
        <v>CS2171</v>
      </c>
      <c r="C1832" s="186" t="str">
        <f>IFERROR(__xludf.DUMMYFUNCTION("""COMPUTED_VALUE"""),"CANECA A CARA DO PAI")</f>
        <v>CANECA A CARA DO PAI</v>
      </c>
      <c r="D1832" s="186" t="str">
        <f>IFERROR(__xludf.DUMMYFUNCTION("""COMPUTED_VALUE"""),"FALSO")</f>
        <v>FALSO</v>
      </c>
    </row>
    <row r="1833">
      <c r="B1833" s="186" t="str">
        <f>IFERROR(__xludf.DUMMYFUNCTION("""COMPUTED_VALUE"""),"CS2171")</f>
        <v>CS2171</v>
      </c>
      <c r="C1833" s="186" t="str">
        <f>IFERROR(__xludf.DUMMYFUNCTION("""COMPUTED_VALUE"""),"CANECA A CARA DO PAI")</f>
        <v>CANECA A CARA DO PAI</v>
      </c>
      <c r="D1833" s="186" t="str">
        <f>IFERROR(__xludf.DUMMYFUNCTION("""COMPUTED_VALUE"""),"FALSO")</f>
        <v>FALSO</v>
      </c>
    </row>
    <row r="1834">
      <c r="B1834" s="186" t="str">
        <f>IFERROR(__xludf.DUMMYFUNCTION("""COMPUTED_VALUE"""),"CS2277")</f>
        <v>CS2277</v>
      </c>
      <c r="C1834" s="186" t="str">
        <f>IFERROR(__xludf.DUMMYFUNCTION("""COMPUTED_VALUE"""),"CANECA VO AMOR EM ALTAS DOSES")</f>
        <v>CANECA VO AMOR EM ALTAS DOSES</v>
      </c>
      <c r="D1834" s="186" t="str">
        <f>IFERROR(__xludf.DUMMYFUNCTION("""COMPUTED_VALUE"""),"FALSO")</f>
        <v>FALSO</v>
      </c>
    </row>
    <row r="1835">
      <c r="B1835" s="186" t="str">
        <f>IFERROR(__xludf.DUMMYFUNCTION("""COMPUTED_VALUE"""),"CS2199")</f>
        <v>CS2199</v>
      </c>
      <c r="C1835" s="186" t="str">
        <f>IFERROR(__xludf.DUMMYFUNCTION("""COMPUTED_VALUE"""),"CANECA AVO SOL")</f>
        <v>CANECA AVO SOL</v>
      </c>
      <c r="D1835" s="186" t="str">
        <f>IFERROR(__xludf.DUMMYFUNCTION("""COMPUTED_VALUE"""),"FALSO")</f>
        <v>FALSO</v>
      </c>
    </row>
    <row r="1836">
      <c r="B1836" s="186" t="str">
        <f>IFERROR(__xludf.DUMMYFUNCTION("""COMPUTED_VALUE"""),"CS2390")</f>
        <v>CS2390</v>
      </c>
      <c r="C1836" s="186" t="str">
        <f>IFERROR(__xludf.DUMMYFUNCTION("""COMPUTED_VALUE"""),"CANECA BOTANICA")</f>
        <v>CANECA BOTANICA</v>
      </c>
      <c r="D1836" s="186" t="str">
        <f>IFERROR(__xludf.DUMMYFUNCTION("""COMPUTED_VALUE"""),"FALSO")</f>
        <v>FALSO</v>
      </c>
    </row>
    <row r="1837">
      <c r="B1837" s="186" t="str">
        <f>IFERROR(__xludf.DUMMYFUNCTION("""COMPUTED_VALUE"""),"CS2044")</f>
        <v>CS2044</v>
      </c>
      <c r="C1837" s="186" t="str">
        <f>IFERROR(__xludf.DUMMYFUNCTION("""COMPUTED_VALUE"""),"CANECA BOWL STRANGER THINGS UPSIDE DOWN")</f>
        <v>CANECA BOWL STRANGER THINGS UPSIDE DOWN</v>
      </c>
      <c r="D1837" s="186" t="str">
        <f>IFERROR(__xludf.DUMMYFUNCTION("""COMPUTED_VALUE"""),"FALSO")</f>
        <v>FALSO</v>
      </c>
    </row>
    <row r="1838">
      <c r="B1838" s="186" t="str">
        <f>IFERROR(__xludf.DUMMYFUNCTION("""COMPUTED_VALUE"""),"CS2158")</f>
        <v>CS2158</v>
      </c>
      <c r="C1838" s="186" t="str">
        <f>IFERROR(__xludf.DUMMYFUNCTION("""COMPUTED_VALUE"""),"CANECA BUSCA DE AVENTURA")</f>
        <v>CANECA BUSCA DE AVENTURA</v>
      </c>
      <c r="D1838" s="186" t="str">
        <f>IFERROR(__xludf.DUMMYFUNCTION("""COMPUTED_VALUE"""),"FALSO")</f>
        <v>FALSO</v>
      </c>
    </row>
    <row r="1839">
      <c r="B1839" s="186" t="str">
        <f>IFERROR(__xludf.DUMMYFUNCTION("""COMPUTED_VALUE"""),"CS2395")</f>
        <v>CS2395</v>
      </c>
      <c r="C1839" s="186" t="str">
        <f>IFERROR(__xludf.DUMMYFUNCTION("""COMPUTED_VALUE"""),"CANECA CACHORRO HORA DE PASSEAR")</f>
        <v>CANECA CACHORRO HORA DE PASSEAR</v>
      </c>
      <c r="D1839" s="186" t="str">
        <f>IFERROR(__xludf.DUMMYFUNCTION("""COMPUTED_VALUE"""),"FALSO")</f>
        <v>FALSO</v>
      </c>
    </row>
    <row r="1840">
      <c r="B1840" s="186" t="str">
        <f>IFERROR(__xludf.DUMMYFUNCTION("""COMPUTED_VALUE"""),"CS2395")</f>
        <v>CS2395</v>
      </c>
      <c r="C1840" s="186" t="str">
        <f>IFERROR(__xludf.DUMMYFUNCTION("""COMPUTED_VALUE"""),"CANECA CACHORRO HORA DE PASSEAR")</f>
        <v>CANECA CACHORRO HORA DE PASSEAR</v>
      </c>
      <c r="D1840" s="186" t="str">
        <f>IFERROR(__xludf.DUMMYFUNCTION("""COMPUTED_VALUE"""),"FALSO")</f>
        <v>FALSO</v>
      </c>
    </row>
    <row r="1841">
      <c r="B1841" s="186" t="str">
        <f>IFERROR(__xludf.DUMMYFUNCTION("""COMPUTED_VALUE"""),"CS2432")</f>
        <v>CS2432</v>
      </c>
      <c r="C1841" s="186" t="str">
        <f>IFERROR(__xludf.DUMMYFUNCTION("""COMPUTED_VALUE"""),"CANECA COM CANETA FOLHA PAUTADA")</f>
        <v>CANECA COM CANETA FOLHA PAUTADA</v>
      </c>
      <c r="D1841" s="186" t="str">
        <f>IFERROR(__xludf.DUMMYFUNCTION("""COMPUTED_VALUE"""),"FALSO")</f>
        <v>FALSO</v>
      </c>
    </row>
    <row r="1842">
      <c r="B1842" s="186" t="str">
        <f>IFERROR(__xludf.DUMMYFUNCTION("""COMPUTED_VALUE"""),"CS2432")</f>
        <v>CS2432</v>
      </c>
      <c r="C1842" s="186" t="str">
        <f>IFERROR(__xludf.DUMMYFUNCTION("""COMPUTED_VALUE"""),"CANECA COM CANETA FOLHA PAUTADA")</f>
        <v>CANECA COM CANETA FOLHA PAUTADA</v>
      </c>
      <c r="D1842" s="186" t="str">
        <f>IFERROR(__xludf.DUMMYFUNCTION("""COMPUTED_VALUE"""),"FALSO")</f>
        <v>FALSO</v>
      </c>
    </row>
    <row r="1843">
      <c r="B1843" s="186" t="str">
        <f>IFERROR(__xludf.DUMMYFUNCTION("""COMPUTED_VALUE"""),"CS2053")</f>
        <v>CS2053</v>
      </c>
      <c r="C1843" s="186" t="str">
        <f>IFERROR(__xludf.DUMMYFUNCTION("""COMPUTED_VALUE"""),"CANECA CORACAO CHEIA DE AMOR")</f>
        <v>CANECA CORACAO CHEIA DE AMOR</v>
      </c>
      <c r="D1843" s="186" t="str">
        <f>IFERROR(__xludf.DUMMYFUNCTION("""COMPUTED_VALUE"""),"FALSO")</f>
        <v>FALSO</v>
      </c>
    </row>
    <row r="1844">
      <c r="B1844" s="186" t="str">
        <f>IFERROR(__xludf.DUMMYFUNCTION("""COMPUTED_VALUE"""),"CS1926")</f>
        <v>CS1926</v>
      </c>
      <c r="C1844" s="186" t="str">
        <f>IFERROR(__xludf.DUMMYFUNCTION("""COMPUTED_VALUE"""),"CANECA E FILTRO DE PANO PASSA LA EM CASA")</f>
        <v>CANECA E FILTRO DE PANO PASSA LA EM CASA</v>
      </c>
      <c r="D1844" s="186" t="str">
        <f>IFERROR(__xludf.DUMMYFUNCTION("""COMPUTED_VALUE"""),"FALSO")</f>
        <v>FALSO</v>
      </c>
    </row>
    <row r="1845">
      <c r="B1845" s="186" t="str">
        <f>IFERROR(__xludf.DUMMYFUNCTION("""COMPUTED_VALUE"""),"CS1972")</f>
        <v>CS1972</v>
      </c>
      <c r="C1845" s="186" t="str">
        <f>IFERROR(__xludf.DUMMYFUNCTION("""COMPUTED_VALUE"""),"CANECA E FILTRO DE PANO PASSAR BEM")</f>
        <v>CANECA E FILTRO DE PANO PASSAR BEM</v>
      </c>
      <c r="D1845" s="186" t="str">
        <f>IFERROR(__xludf.DUMMYFUNCTION("""COMPUTED_VALUE"""),"FALSO")</f>
        <v>FALSO</v>
      </c>
    </row>
    <row r="1846">
      <c r="B1846" s="186" t="str">
        <f>IFERROR(__xludf.DUMMYFUNCTION("""COMPUTED_VALUE"""),"CS2130")</f>
        <v>CS2130</v>
      </c>
      <c r="C1846" s="186" t="str">
        <f>IFERROR(__xludf.DUMMYFUNCTION("""COMPUTED_VALUE"""),"CANECA E FILTRO DE PANO PASSAR UM TEMPO")</f>
        <v>CANECA E FILTRO DE PANO PASSAR UM TEMPO</v>
      </c>
      <c r="D1846" s="186" t="str">
        <f>IFERROR(__xludf.DUMMYFUNCTION("""COMPUTED_VALUE"""),"FALSO")</f>
        <v>FALSO</v>
      </c>
    </row>
    <row r="1847">
      <c r="B1847" s="186" t="str">
        <f>IFERROR(__xludf.DUMMYFUNCTION("""COMPUTED_VALUE"""),"CS2131")</f>
        <v>CS2131</v>
      </c>
      <c r="C1847" s="186" t="str">
        <f>IFERROR(__xludf.DUMMYFUNCTION("""COMPUTED_VALUE"""),"CANECA E FILTRO DE PANO POAS")</f>
        <v>CANECA E FILTRO DE PANO POAS</v>
      </c>
      <c r="D1847" s="186" t="str">
        <f>IFERROR(__xludf.DUMMYFUNCTION("""COMPUTED_VALUE"""),"FALSO")</f>
        <v>FALSO</v>
      </c>
    </row>
    <row r="1848">
      <c r="B1848" s="186" t="str">
        <f>IFERROR(__xludf.DUMMYFUNCTION("""COMPUTED_VALUE"""),"CS2297")</f>
        <v>CS2297</v>
      </c>
      <c r="C1848" s="186" t="str">
        <f>IFERROR(__xludf.DUMMYFUNCTION("""COMPUTED_VALUE"""),"DUPLA DE CANECAS TABELA PERIODICA")</f>
        <v>DUPLA DE CANECAS TABELA PERIODICA</v>
      </c>
      <c r="D1848" s="186" t="str">
        <f>IFERROR(__xludf.DUMMYFUNCTION("""COMPUTED_VALUE"""),"FALSO")</f>
        <v>FALSO</v>
      </c>
    </row>
    <row r="1849">
      <c r="B1849" s="186" t="str">
        <f>IFERROR(__xludf.DUMMYFUNCTION("""COMPUTED_VALUE"""),"CS1945")</f>
        <v>CS1945</v>
      </c>
      <c r="C1849" s="186" t="str">
        <f>IFERROR(__xludf.DUMMYFUNCTION("""COMPUTED_VALUE"""),"CANECA EMPILHAVEL FRIENDS CHANDLER B")</f>
        <v>CANECA EMPILHAVEL FRIENDS CHANDLER B</v>
      </c>
      <c r="D1849" s="186" t="str">
        <f>IFERROR(__xludf.DUMMYFUNCTION("""COMPUTED_VALUE"""),"FALSO")</f>
        <v>FALSO</v>
      </c>
    </row>
    <row r="1850">
      <c r="B1850" s="186" t="str">
        <f>IFERROR(__xludf.DUMMYFUNCTION("""COMPUTED_VALUE"""),"CS1945")</f>
        <v>CS1945</v>
      </c>
      <c r="C1850" s="186" t="str">
        <f>IFERROR(__xludf.DUMMYFUNCTION("""COMPUTED_VALUE"""),"CANECA EMPILHAVEL FRIENDS CHANDLER B")</f>
        <v>CANECA EMPILHAVEL FRIENDS CHANDLER B</v>
      </c>
      <c r="D1850" s="186" t="str">
        <f>IFERROR(__xludf.DUMMYFUNCTION("""COMPUTED_VALUE"""),"FALSO")</f>
        <v>FALSO</v>
      </c>
    </row>
    <row r="1851">
      <c r="B1851" s="186" t="str">
        <f>IFERROR(__xludf.DUMMYFUNCTION("""COMPUTED_VALUE"""),"CS1949")</f>
        <v>CS1949</v>
      </c>
      <c r="C1851" s="186" t="str">
        <f>IFERROR(__xludf.DUMMYFUNCTION("""COMPUTED_VALUE"""),"CANECA EMPILHAVEL FRIENDS JOEY T")</f>
        <v>CANECA EMPILHAVEL FRIENDS JOEY T</v>
      </c>
      <c r="D1851" s="186" t="str">
        <f>IFERROR(__xludf.DUMMYFUNCTION("""COMPUTED_VALUE"""),"FALSO")</f>
        <v>FALSO</v>
      </c>
    </row>
    <row r="1852">
      <c r="B1852" s="186" t="str">
        <f>IFERROR(__xludf.DUMMYFUNCTION("""COMPUTED_VALUE"""),"CS1949")</f>
        <v>CS1949</v>
      </c>
      <c r="C1852" s="186" t="str">
        <f>IFERROR(__xludf.DUMMYFUNCTION("""COMPUTED_VALUE"""),"CANECA EMPILHAVEL FRIENDS JOEY T")</f>
        <v>CANECA EMPILHAVEL FRIENDS JOEY T</v>
      </c>
      <c r="D1852" s="186" t="str">
        <f>IFERROR(__xludf.DUMMYFUNCTION("""COMPUTED_VALUE"""),"FALSO")</f>
        <v>FALSO</v>
      </c>
    </row>
    <row r="1853">
      <c r="B1853" s="186" t="str">
        <f>IFERROR(__xludf.DUMMYFUNCTION("""COMPUTED_VALUE"""),"CS1946")</f>
        <v>CS1946</v>
      </c>
      <c r="C1853" s="186" t="str">
        <f>IFERROR(__xludf.DUMMYFUNCTION("""COMPUTED_VALUE"""),"CANECA EMPILHAVEL FRIENDS MONICA G")</f>
        <v>CANECA EMPILHAVEL FRIENDS MONICA G</v>
      </c>
      <c r="D1853" s="186" t="str">
        <f>IFERROR(__xludf.DUMMYFUNCTION("""COMPUTED_VALUE"""),"FALSO")</f>
        <v>FALSO</v>
      </c>
    </row>
    <row r="1854">
      <c r="B1854" s="186" t="str">
        <f>IFERROR(__xludf.DUMMYFUNCTION("""COMPUTED_VALUE"""),"CS1946")</f>
        <v>CS1946</v>
      </c>
      <c r="C1854" s="186" t="str">
        <f>IFERROR(__xludf.DUMMYFUNCTION("""COMPUTED_VALUE"""),"CANECA EMPILHAVEL FRIENDS MONICA G")</f>
        <v>CANECA EMPILHAVEL FRIENDS MONICA G</v>
      </c>
      <c r="D1854" s="186" t="str">
        <f>IFERROR(__xludf.DUMMYFUNCTION("""COMPUTED_VALUE"""),"FALSO")</f>
        <v>FALSO</v>
      </c>
    </row>
    <row r="1855">
      <c r="B1855" s="186" t="str">
        <f>IFERROR(__xludf.DUMMYFUNCTION("""COMPUTED_VALUE"""),"CS1950")</f>
        <v>CS1950</v>
      </c>
      <c r="C1855" s="186" t="str">
        <f>IFERROR(__xludf.DUMMYFUNCTION("""COMPUTED_VALUE"""),"CANECA EMPILHAVEL FRIENDS PHOEBE B")</f>
        <v>CANECA EMPILHAVEL FRIENDS PHOEBE B</v>
      </c>
      <c r="D1855" s="186" t="str">
        <f>IFERROR(__xludf.DUMMYFUNCTION("""COMPUTED_VALUE"""),"FALSO")</f>
        <v>FALSO</v>
      </c>
    </row>
    <row r="1856">
      <c r="B1856" s="186" t="str">
        <f>IFERROR(__xludf.DUMMYFUNCTION("""COMPUTED_VALUE"""),"CS1950")</f>
        <v>CS1950</v>
      </c>
      <c r="C1856" s="186" t="str">
        <f>IFERROR(__xludf.DUMMYFUNCTION("""COMPUTED_VALUE"""),"CANECA EMPILHAVEL FRIENDS PHOEBE B")</f>
        <v>CANECA EMPILHAVEL FRIENDS PHOEBE B</v>
      </c>
      <c r="D1856" s="186" t="str">
        <f>IFERROR(__xludf.DUMMYFUNCTION("""COMPUTED_VALUE"""),"FALSO")</f>
        <v>FALSO</v>
      </c>
    </row>
    <row r="1857">
      <c r="B1857" s="186" t="str">
        <f>IFERROR(__xludf.DUMMYFUNCTION("""COMPUTED_VALUE"""),"CS1948")</f>
        <v>CS1948</v>
      </c>
      <c r="C1857" s="186" t="str">
        <f>IFERROR(__xludf.DUMMYFUNCTION("""COMPUTED_VALUE"""),"CANECA EMPILHAVEL FRIENDS RACHEL G")</f>
        <v>CANECA EMPILHAVEL FRIENDS RACHEL G</v>
      </c>
      <c r="D1857" s="186" t="str">
        <f>IFERROR(__xludf.DUMMYFUNCTION("""COMPUTED_VALUE"""),"FALSO")</f>
        <v>FALSO</v>
      </c>
    </row>
    <row r="1858">
      <c r="B1858" s="186" t="str">
        <f>IFERROR(__xludf.DUMMYFUNCTION("""COMPUTED_VALUE"""),"CS1948")</f>
        <v>CS1948</v>
      </c>
      <c r="C1858" s="186" t="str">
        <f>IFERROR(__xludf.DUMMYFUNCTION("""COMPUTED_VALUE"""),"CANECA EMPILHAVEL FRIENDS RACHEL G")</f>
        <v>CANECA EMPILHAVEL FRIENDS RACHEL G</v>
      </c>
      <c r="D1858" s="186" t="str">
        <f>IFERROR(__xludf.DUMMYFUNCTION("""COMPUTED_VALUE"""),"FALSO")</f>
        <v>FALSO</v>
      </c>
    </row>
    <row r="1859">
      <c r="B1859" s="186" t="str">
        <f>IFERROR(__xludf.DUMMYFUNCTION("""COMPUTED_VALUE"""),"CS1947")</f>
        <v>CS1947</v>
      </c>
      <c r="C1859" s="186" t="str">
        <f>IFERROR(__xludf.DUMMYFUNCTION("""COMPUTED_VALUE"""),"CANECA EMPILHAVEL FRIENDS ROSS G")</f>
        <v>CANECA EMPILHAVEL FRIENDS ROSS G</v>
      </c>
      <c r="D1859" s="186" t="str">
        <f>IFERROR(__xludf.DUMMYFUNCTION("""COMPUTED_VALUE"""),"FALSO")</f>
        <v>FALSO</v>
      </c>
    </row>
    <row r="1860">
      <c r="B1860" s="186" t="str">
        <f>IFERROR(__xludf.DUMMYFUNCTION("""COMPUTED_VALUE"""),"CS1947")</f>
        <v>CS1947</v>
      </c>
      <c r="C1860" s="186" t="str">
        <f>IFERROR(__xludf.DUMMYFUNCTION("""COMPUTED_VALUE"""),"CANECA EMPILHAVEL FRIENDS ROSS G")</f>
        <v>CANECA EMPILHAVEL FRIENDS ROSS G</v>
      </c>
      <c r="D1860" s="186" t="str">
        <f>IFERROR(__xludf.DUMMYFUNCTION("""COMPUTED_VALUE"""),"FALSO")</f>
        <v>FALSO</v>
      </c>
    </row>
    <row r="1861">
      <c r="B1861" s="186" t="str">
        <f>IFERROR(__xludf.DUMMYFUNCTION("""COMPUTED_VALUE"""),"CS1963")</f>
        <v>CS1963</v>
      </c>
      <c r="C1861" s="186" t="str">
        <f>IFERROR(__xludf.DUMMYFUNCTION("""COMPUTED_VALUE"""),"CANECA EMPILHAVEL HOME OFFICE")</f>
        <v>CANECA EMPILHAVEL HOME OFFICE</v>
      </c>
      <c r="D1861" s="186" t="str">
        <f>IFERROR(__xludf.DUMMYFUNCTION("""COMPUTED_VALUE"""),"FALSO")</f>
        <v>FALSO</v>
      </c>
    </row>
    <row r="1862">
      <c r="B1862" s="186" t="str">
        <f>IFERROR(__xludf.DUMMYFUNCTION("""COMPUTED_VALUE"""),"CS2074")</f>
        <v>CS2074</v>
      </c>
      <c r="C1862" s="186" t="str">
        <f>IFERROR(__xludf.DUMMYFUNCTION("""COMPUTED_VALUE"""),"CANECA EU QUE LUTE")</f>
        <v>CANECA EU QUE LUTE</v>
      </c>
      <c r="D1862" s="186" t="str">
        <f>IFERROR(__xludf.DUMMYFUNCTION("""COMPUTED_VALUE"""),"FALSO")</f>
        <v>FALSO</v>
      </c>
    </row>
    <row r="1863">
      <c r="B1863" s="186" t="str">
        <f>IFERROR(__xludf.DUMMYFUNCTION("""COMPUTED_VALUE"""),"CS2217")</f>
        <v>CS2217</v>
      </c>
      <c r="C1863" s="186" t="str">
        <f>IFERROR(__xludf.DUMMYFUNCTION("""COMPUTED_VALUE"""),"CANECA EU SABIA FELIPE MOROZINI")</f>
        <v>CANECA EU SABIA FELIPE MOROZINI</v>
      </c>
      <c r="D1863" s="186" t="str">
        <f>IFERROR(__xludf.DUMMYFUNCTION("""COMPUTED_VALUE"""),"FALSO")</f>
        <v>FALSO</v>
      </c>
    </row>
    <row r="1864">
      <c r="B1864" s="186" t="str">
        <f>IFERROR(__xludf.DUMMYFUNCTION("""COMPUTED_VALUE"""),"CS2268")</f>
        <v>CS2268</v>
      </c>
      <c r="C1864" s="186" t="str">
        <f>IFERROR(__xludf.DUMMYFUNCTION("""COMPUTED_VALUE"""),"CANECA GALAXIA SOL E LUA")</f>
        <v>CANECA GALAXIA SOL E LUA</v>
      </c>
      <c r="D1864" s="186" t="str">
        <f>IFERROR(__xludf.DUMMYFUNCTION("""COMPUTED_VALUE"""),"FALSO")</f>
        <v>FALSO</v>
      </c>
    </row>
    <row r="1865">
      <c r="B1865" s="186" t="str">
        <f>IFERROR(__xludf.DUMMYFUNCTION("""COMPUTED_VALUE"""),"CS2267")</f>
        <v>CS2267</v>
      </c>
      <c r="C1865" s="186" t="str">
        <f>IFERROR(__xludf.DUMMYFUNCTION("""COMPUTED_VALUE"""),"CANECA GALAXIA TAROT O SOL")</f>
        <v>CANECA GALAXIA TAROT O SOL</v>
      </c>
      <c r="D1865" s="186" t="str">
        <f>IFERROR(__xludf.DUMMYFUNCTION("""COMPUTED_VALUE"""),"FALSO")</f>
        <v>FALSO</v>
      </c>
    </row>
    <row r="1866">
      <c r="B1866" s="186" t="str">
        <f>IFERROR(__xludf.DUMMYFUNCTION("""COMPUTED_VALUE"""),"CS2403")</f>
        <v>CS2403</v>
      </c>
      <c r="C1866" s="186" t="str">
        <f>IFERROR(__xludf.DUMMYFUNCTION("""COMPUTED_VALUE"""),"CANECA GATINHO ACONCHEGO DIARIO")</f>
        <v>CANECA GATINHO ACONCHEGO DIARIO</v>
      </c>
      <c r="D1866" s="186" t="str">
        <f>IFERROR(__xludf.DUMMYFUNCTION("""COMPUTED_VALUE"""),"FALSO")</f>
        <v>FALSO</v>
      </c>
    </row>
    <row r="1867">
      <c r="B1867" s="186" t="str">
        <f>IFERROR(__xludf.DUMMYFUNCTION("""COMPUTED_VALUE"""),"CS2401")</f>
        <v>CS2401</v>
      </c>
      <c r="C1867" s="186" t="str">
        <f>IFERROR(__xludf.DUMMYFUNCTION("""COMPUTED_VALUE"""),"CANECA GATINHO OTO CAFECITO")</f>
        <v>CANECA GATINHO OTO CAFECITO</v>
      </c>
      <c r="D1867" s="186" t="str">
        <f>IFERROR(__xludf.DUMMYFUNCTION("""COMPUTED_VALUE"""),"FALSO")</f>
        <v>FALSO</v>
      </c>
    </row>
    <row r="1868">
      <c r="B1868" s="186" t="str">
        <f>IFERROR(__xludf.DUMMYFUNCTION("""COMPUTED_VALUE"""),"CS2396")</f>
        <v>CS2396</v>
      </c>
      <c r="C1868" s="186" t="str">
        <f>IFERROR(__xludf.DUMMYFUNCTION("""COMPUTED_VALUE"""),"CANECA GATINHOS HORA DE AMASSAR PAOZINHO")</f>
        <v>CANECA GATINHOS HORA DE AMASSAR PAOZINHO</v>
      </c>
      <c r="D1868" s="186" t="str">
        <f>IFERROR(__xludf.DUMMYFUNCTION("""COMPUTED_VALUE"""),"FALSO")</f>
        <v>FALSO</v>
      </c>
    </row>
    <row r="1869">
      <c r="B1869" s="186" t="str">
        <f>IFERROR(__xludf.DUMMYFUNCTION("""COMPUTED_VALUE"""),"CS2396")</f>
        <v>CS2396</v>
      </c>
      <c r="C1869" s="186" t="str">
        <f>IFERROR(__xludf.DUMMYFUNCTION("""COMPUTED_VALUE"""),"CANECA GATINHOS HORA DE AMASSAR PAOZINHO")</f>
        <v>CANECA GATINHOS HORA DE AMASSAR PAOZINHO</v>
      </c>
      <c r="D1869" s="186" t="str">
        <f>IFERROR(__xludf.DUMMYFUNCTION("""COMPUTED_VALUE"""),"FALSO")</f>
        <v>FALSO</v>
      </c>
    </row>
    <row r="1870">
      <c r="B1870" s="186" t="str">
        <f>IFERROR(__xludf.DUMMYFUNCTION("""COMPUTED_VALUE"""),"CS2477")</f>
        <v>CS2477</v>
      </c>
      <c r="C1870" s="186" t="str">
        <f>IFERROR(__xludf.DUMMYFUNCTION("""COMPUTED_VALUE"""),"CANECA GATINHO VERDE FLORAL")</f>
        <v>CANECA GATINHO VERDE FLORAL</v>
      </c>
      <c r="D1870" s="186" t="str">
        <f>IFERROR(__xludf.DUMMYFUNCTION("""COMPUTED_VALUE"""),"FALSO")</f>
        <v>FALSO</v>
      </c>
    </row>
    <row r="1871">
      <c r="B1871" s="186" t="str">
        <f>IFERROR(__xludf.DUMMYFUNCTION("""COMPUTED_VALUE"""),"CS2265")</f>
        <v>CS2265</v>
      </c>
      <c r="C1871" s="186" t="str">
        <f>IFERROR(__xludf.DUMMYFUNCTION("""COMPUTED_VALUE"""),"CANECA HARRY POTTER MAPA DO MAROTO")</f>
        <v>CANECA HARRY POTTER MAPA DO MAROTO</v>
      </c>
      <c r="D1871" s="186" t="str">
        <f>IFERROR(__xludf.DUMMYFUNCTION("""COMPUTED_VALUE"""),"FALSO")</f>
        <v>FALSO</v>
      </c>
    </row>
    <row r="1872">
      <c r="B1872" s="186" t="str">
        <f>IFERROR(__xludf.DUMMYFUNCTION("""COMPUTED_VALUE"""),"CS2474")</f>
        <v>CS2474</v>
      </c>
      <c r="C1872" s="186" t="str">
        <f>IFERROR(__xludf.DUMMYFUNCTION("""COMPUTED_VALUE"""),"CANECA HP CASTELO HOGWARTS")</f>
        <v>CANECA HP CASTELO HOGWARTS</v>
      </c>
      <c r="D1872" s="186" t="str">
        <f>IFERROR(__xludf.DUMMYFUNCTION("""COMPUTED_VALUE"""),"FALSO")</f>
        <v>FALSO</v>
      </c>
    </row>
    <row r="1873">
      <c r="B1873" s="186" t="str">
        <f>IFERROR(__xludf.DUMMYFUNCTION("""COMPUTED_VALUE"""),"CS2054")</f>
        <v>CS2054</v>
      </c>
      <c r="C1873" s="186" t="str">
        <f>IFERROR(__xludf.DUMMYFUNCTION("""COMPUTED_VALUE"""),"CANECA INFINITO AMOR")</f>
        <v>CANECA INFINITO AMOR</v>
      </c>
      <c r="D1873" s="186" t="str">
        <f>IFERROR(__xludf.DUMMYFUNCTION("""COMPUTED_VALUE"""),"FALSO")</f>
        <v>FALSO</v>
      </c>
    </row>
    <row r="1874">
      <c r="B1874" s="186" t="str">
        <f>IFERROR(__xludf.DUMMYFUNCTION("""COMPUTED_VALUE"""),"CS2276")</f>
        <v>CS2276</v>
      </c>
      <c r="C1874" s="186" t="str">
        <f>IFERROR(__xludf.DUMMYFUNCTION("""COMPUTED_VALUE"""),"CANECA MAE AMOR EM ALTAS DOSES")</f>
        <v>CANECA MAE AMOR EM ALTAS DOSES</v>
      </c>
      <c r="D1874" s="186" t="str">
        <f>IFERROR(__xludf.DUMMYFUNCTION("""COMPUTED_VALUE"""),"FALSO")</f>
        <v>FALSO</v>
      </c>
    </row>
    <row r="1875">
      <c r="B1875" s="186" t="str">
        <f>IFERROR(__xludf.DUMMYFUNCTION("""COMPUTED_VALUE"""),"CS1876")</f>
        <v>CS1876</v>
      </c>
      <c r="C1875" s="186" t="str">
        <f>IFERROR(__xludf.DUMMYFUNCTION("""COMPUTED_VALUE"""),"CANECA MAE DE DOG")</f>
        <v>CANECA MAE DE DOG</v>
      </c>
      <c r="D1875" s="186" t="str">
        <f>IFERROR(__xludf.DUMMYFUNCTION("""COMPUTED_VALUE"""),"FALSO")</f>
        <v>FALSO</v>
      </c>
    </row>
    <row r="1876">
      <c r="B1876" s="186" t="str">
        <f>IFERROR(__xludf.DUMMYFUNCTION("""COMPUTED_VALUE"""),"CS1875")</f>
        <v>CS1875</v>
      </c>
      <c r="C1876" s="186" t="str">
        <f>IFERROR(__xludf.DUMMYFUNCTION("""COMPUTED_VALUE"""),"CANECA MAE DE GATO")</f>
        <v>CANECA MAE DE GATO</v>
      </c>
      <c r="D1876" s="186" t="str">
        <f>IFERROR(__xludf.DUMMYFUNCTION("""COMPUTED_VALUE"""),"FALSO")</f>
        <v>FALSO</v>
      </c>
    </row>
    <row r="1877">
      <c r="B1877" s="186" t="str">
        <f>IFERROR(__xludf.DUMMYFUNCTION("""COMPUTED_VALUE"""),"CS2198")</f>
        <v>CS2198</v>
      </c>
      <c r="C1877" s="186" t="str">
        <f>IFERROR(__xludf.DUMMYFUNCTION("""COMPUTED_VALUE"""),"CANECA MAE SOL")</f>
        <v>CANECA MAE SOL</v>
      </c>
      <c r="D1877" s="186" t="str">
        <f>IFERROR(__xludf.DUMMYFUNCTION("""COMPUTED_VALUE"""),"FALSO")</f>
        <v>FALSO</v>
      </c>
    </row>
    <row r="1878">
      <c r="B1878" s="186" t="str">
        <f>IFERROR(__xludf.DUMMYFUNCTION("""COMPUTED_VALUE"""),"CS2220")</f>
        <v>CS2220</v>
      </c>
      <c r="C1878" s="186" t="str">
        <f>IFERROR(__xludf.DUMMYFUNCTION("""COMPUTED_VALUE"""),"CANECA MEU CORACAO FELIPE MOROZINI")</f>
        <v>CANECA MEU CORACAO FELIPE MOROZINI</v>
      </c>
      <c r="D1878" s="186" t="str">
        <f>IFERROR(__xludf.DUMMYFUNCTION("""COMPUTED_VALUE"""),"FALSO")</f>
        <v>FALSO</v>
      </c>
    </row>
    <row r="1879">
      <c r="B1879" s="186" t="str">
        <f>IFERROR(__xludf.DUMMYFUNCTION("""COMPUTED_VALUE"""),"CS2186")</f>
        <v>CS2186</v>
      </c>
      <c r="C1879" s="186" t="str">
        <f>IFERROR(__xludf.DUMMYFUNCTION("""COMPUTED_VALUE"""),"CANECA MISTICO NOVO LUAR")</f>
        <v>CANECA MISTICO NOVO LUAR</v>
      </c>
      <c r="D1879" s="186" t="str">
        <f>IFERROR(__xludf.DUMMYFUNCTION("""COMPUTED_VALUE"""),"FALSO")</f>
        <v>FALSO</v>
      </c>
    </row>
    <row r="1880">
      <c r="B1880" s="186" t="str">
        <f>IFERROR(__xludf.DUMMYFUNCTION("""COMPUTED_VALUE"""),"CS2402")</f>
        <v>CS2402</v>
      </c>
      <c r="C1880" s="186" t="str">
        <f>IFERROR(__xludf.DUMMYFUNCTION("""COMPUTED_VALUE"""),"CANECA NAS ESTRELAS DOURADO")</f>
        <v>CANECA NAS ESTRELAS DOURADO</v>
      </c>
      <c r="D1880" s="186" t="str">
        <f>IFERROR(__xludf.DUMMYFUNCTION("""COMPUTED_VALUE"""),"FALSO")</f>
        <v>FALSO</v>
      </c>
    </row>
    <row r="1881">
      <c r="B1881" s="186" t="str">
        <f>IFERROR(__xludf.DUMMYFUNCTION("""COMPUTED_VALUE"""),"CS2027")</f>
        <v>CS2027</v>
      </c>
      <c r="C1881" s="186" t="str">
        <f>IFERROR(__xludf.DUMMYFUNCTION("""COMPUTED_VALUE"""),"CANECAO FRIENDS CENTRAL PERK")</f>
        <v>CANECAO FRIENDS CENTRAL PERK</v>
      </c>
      <c r="D1881" s="186" t="str">
        <f>IFERROR(__xludf.DUMMYFUNCTION("""COMPUTED_VALUE"""),"FALSO")</f>
        <v>FALSO</v>
      </c>
    </row>
    <row r="1882">
      <c r="B1882" s="186" t="str">
        <f>IFERROR(__xludf.DUMMYFUNCTION("""COMPUTED_VALUE"""),"CS2070")</f>
        <v>CS2070</v>
      </c>
      <c r="C1882" s="186" t="str">
        <f>IFERROR(__xludf.DUMMYFUNCTION("""COMPUTED_VALUE"""),"CANECAO HP BRASAO DE HOGWARTS")</f>
        <v>CANECAO HP BRASAO DE HOGWARTS</v>
      </c>
      <c r="D1882" s="186" t="str">
        <f>IFERROR(__xludf.DUMMYFUNCTION("""COMPUTED_VALUE"""),"FALSO")</f>
        <v>FALSO</v>
      </c>
    </row>
    <row r="1883">
      <c r="B1883" s="186" t="str">
        <f>IFERROR(__xludf.DUMMYFUNCTION("""COMPUTED_VALUE"""),"CS2236")</f>
        <v>CS2236</v>
      </c>
      <c r="C1883" s="186" t="str">
        <f>IFERROR(__xludf.DUMMYFUNCTION("""COMPUTED_VALUE"""),"CANECA PAI VALORES DIARIOS")</f>
        <v>CANECA PAI VALORES DIARIOS</v>
      </c>
      <c r="D1883" s="186" t="str">
        <f>IFERROR(__xludf.DUMMYFUNCTION("""COMPUTED_VALUE"""),"FALSO")</f>
        <v>FALSO</v>
      </c>
    </row>
    <row r="1884">
      <c r="B1884" s="186" t="str">
        <f>IFERROR(__xludf.DUMMYFUNCTION("""COMPUTED_VALUE"""),"CS2287")</f>
        <v>CS2287</v>
      </c>
      <c r="C1884" s="186" t="str">
        <f>IFERROR(__xludf.DUMMYFUNCTION("""COMPUTED_VALUE"""),"CANECA PERSONALICAO")</f>
        <v>CANECA PERSONALICAO</v>
      </c>
      <c r="D1884" s="186" t="str">
        <f>IFERROR(__xludf.DUMMYFUNCTION("""COMPUTED_VALUE"""),"FALSO")</f>
        <v>FALSO</v>
      </c>
    </row>
    <row r="1885">
      <c r="B1885" s="186" t="str">
        <f>IFERROR(__xludf.DUMMYFUNCTION("""COMPUTED_VALUE"""),"CS2218")</f>
        <v>CS2218</v>
      </c>
      <c r="C1885" s="186" t="str">
        <f>IFERROR(__xludf.DUMMYFUNCTION("""COMPUTED_VALUE"""),"CANECA PERTO DE VOCE FELIPE MOROZINI")</f>
        <v>CANECA PERTO DE VOCE FELIPE MOROZINI</v>
      </c>
      <c r="D1885" s="186" t="str">
        <f>IFERROR(__xludf.DUMMYFUNCTION("""COMPUTED_VALUE"""),"FALSO")</f>
        <v>FALSO</v>
      </c>
    </row>
    <row r="1886">
      <c r="B1886" s="186" t="str">
        <f>IFERROR(__xludf.DUMMYFUNCTION("""COMPUTED_VALUE"""),"PI5315Y")</f>
        <v>PI5315Y</v>
      </c>
      <c r="C1886" s="186" t="str">
        <f>IFERROR(__xludf.DUMMYFUNCTION("""COMPUTED_VALUE"""),"ABRIDOR PORTA TAMPINHAS DESAFIO LANCADO")</f>
        <v>ABRIDOR PORTA TAMPINHAS DESAFIO LANCADO</v>
      </c>
      <c r="D1886" s="186" t="str">
        <f>IFERROR(__xludf.DUMMYFUNCTION("""COMPUTED_VALUE"""),"FALSO")</f>
        <v>FALSO</v>
      </c>
    </row>
    <row r="1887">
      <c r="B1887" s="186" t="str">
        <f>IFERROR(__xludf.DUMMYFUNCTION("""COMPUTED_VALUE"""),"PI7707Y")</f>
        <v>PI7707Y</v>
      </c>
      <c r="C1887" s="358" t="str">
        <f>IFERROR(__xludf.DUMMYFUNCTION("""COMPUTED_VALUE"""),"CANETA BRACINHOS CAPIVARA")</f>
        <v>CANETA BRACINHOS CAPIVARA</v>
      </c>
      <c r="D1887" s="186" t="str">
        <f>IFERROR(__xludf.DUMMYFUNCTION("""COMPUTED_VALUE"""),"INMETRO SCHOOL ARTICLES SYSTEM 5 - ORDINANCE 481")</f>
        <v>INMETRO SCHOOL ARTICLES SYSTEM 5 - ORDINANCE 481</v>
      </c>
    </row>
    <row r="1888">
      <c r="B1888" s="186" t="str">
        <f>IFERROR(__xludf.DUMMYFUNCTION("""COMPUTED_VALUE"""),"PI7703Y")</f>
        <v>PI7703Y</v>
      </c>
      <c r="C1888" s="358" t="str">
        <f>IFERROR(__xludf.DUMMYFUNCTION("""COMPUTED_VALUE"""),"CANETA PINGENTE CAPIVARA")</f>
        <v>CANETA PINGENTE CAPIVARA</v>
      </c>
      <c r="D1888" s="186" t="str">
        <f>IFERROR(__xludf.DUMMYFUNCTION("""COMPUTED_VALUE"""),"INMETRO SCHOOL ARTICLES SYSTEM 5 - ORDINANCE 481")</f>
        <v>INMETRO SCHOOL ARTICLES SYSTEM 5 - ORDINANCE 481</v>
      </c>
    </row>
    <row r="1889">
      <c r="B1889" s="186" t="str">
        <f>IFERROR(__xludf.DUMMYFUNCTION("""COMPUTED_VALUE"""),"PI7651Y")</f>
        <v>PI7651Y</v>
      </c>
      <c r="C1889" s="358" t="str">
        <f>IFERROR(__xludf.DUMMYFUNCTION("""COMPUTED_VALUE"""),"PELUCIA CAPIVARA FLUTUALDO G")</f>
        <v>PELUCIA CAPIVARA FLUTUALDO G</v>
      </c>
      <c r="D1889" s="186" t="str">
        <f>IFERROR(__xludf.DUMMYFUNCTION("""COMPUTED_VALUE"""),"INMETRO Toys System 5 - Ordinance 302")</f>
        <v>INMETRO Toys System 5 - Ordinance 302</v>
      </c>
    </row>
    <row r="1890">
      <c r="B1890" s="186" t="str">
        <f>IFERROR(__xludf.DUMMYFUNCTION("""COMPUTED_VALUE"""),"PI5187Y")</f>
        <v>PI5187Y</v>
      </c>
      <c r="C1890" s="358" t="str">
        <f>IFERROR(__xludf.DUMMYFUNCTION("""COMPUTED_VALUE"""),"CARTAO MANUAL DA MAE INCRIVEL")</f>
        <v>CARTAO MANUAL DA MAE INCRIVEL</v>
      </c>
      <c r="D1890" s="186" t="str">
        <f>IFERROR(__xludf.DUMMYFUNCTION("""COMPUTED_VALUE"""),"FALSO")</f>
        <v>FALSO</v>
      </c>
    </row>
    <row r="1891">
      <c r="B1891" s="186" t="str">
        <f>IFERROR(__xludf.DUMMYFUNCTION("""COMPUTED_VALUE"""),"PI4080Y")</f>
        <v>PI4080Y</v>
      </c>
      <c r="C1891" s="186" t="str">
        <f>IFERROR(__xludf.DUMMYFUNCTION("""COMPUTED_VALUE"""),"CARTAO ANIVERSARIO E HOJE")</f>
        <v>CARTAO ANIVERSARIO E HOJE</v>
      </c>
      <c r="D1891" s="186" t="str">
        <f>IFERROR(__xludf.DUMMYFUNCTION("""COMPUTED_VALUE"""),"FALSO")</f>
        <v>FALSO</v>
      </c>
    </row>
    <row r="1892">
      <c r="B1892" s="186" t="str">
        <f>IFERROR(__xludf.DUMMYFUNCTION("""COMPUTED_VALUE"""),"PI4080Y")</f>
        <v>PI4080Y</v>
      </c>
      <c r="C1892" s="186" t="str">
        <f>IFERROR(__xludf.DUMMYFUNCTION("""COMPUTED_VALUE"""),"CARTAO ANIVERSARIO E HOJE")</f>
        <v>CARTAO ANIVERSARIO E HOJE</v>
      </c>
      <c r="D1892" s="186" t="str">
        <f>IFERROR(__xludf.DUMMYFUNCTION("""COMPUTED_VALUE"""),"FALSO")</f>
        <v>FALSO</v>
      </c>
    </row>
    <row r="1893">
      <c r="B1893" s="186" t="str">
        <f>IFERROR(__xludf.DUMMYFUNCTION("""COMPUTED_VALUE"""),"PI4080Y")</f>
        <v>PI4080Y</v>
      </c>
      <c r="C1893" s="186" t="str">
        <f>IFERROR(__xludf.DUMMYFUNCTION("""COMPUTED_VALUE"""),"CARTAO ANIVERSARIO E HOJE")</f>
        <v>CARTAO ANIVERSARIO E HOJE</v>
      </c>
      <c r="D1893" s="186" t="str">
        <f>IFERROR(__xludf.DUMMYFUNCTION("""COMPUTED_VALUE"""),"FALSO")</f>
        <v>FALSO</v>
      </c>
    </row>
    <row r="1894">
      <c r="B1894" s="186" t="str">
        <f>IFERROR(__xludf.DUMMYFUNCTION("""COMPUTED_VALUE"""),"PI5777Y")</f>
        <v>PI5777Y</v>
      </c>
      <c r="C1894" s="186" t="str">
        <f>IFERROR(__xludf.DUMMYFUNCTION("""COMPUTED_VALUE"""),"CARTAO ANIVERSARIO SIGNOS DO ZODIACO")</f>
        <v>CARTAO ANIVERSARIO SIGNOS DO ZODIACO</v>
      </c>
      <c r="D1894" s="186" t="str">
        <f>IFERROR(__xludf.DUMMYFUNCTION("""COMPUTED_VALUE"""),"FALSO")</f>
        <v>FALSO</v>
      </c>
    </row>
    <row r="1895">
      <c r="B1895" s="186" t="str">
        <f>IFERROR(__xludf.DUMMYFUNCTION("""COMPUTED_VALUE"""),"PI5223Y")</f>
        <v>PI5223Y</v>
      </c>
      <c r="C1895" s="186" t="str">
        <f>IFERROR(__xludf.DUMMYFUNCTION("""COMPUTED_VALUE"""),"LIVRO CARTAO E CANETA RECEITA DE AMOR")</f>
        <v>LIVRO CARTAO E CANETA RECEITA DE AMOR</v>
      </c>
      <c r="D1895" s="186" t="str">
        <f>IFERROR(__xludf.DUMMYFUNCTION("""COMPUTED_VALUE"""),"FALSO")</f>
        <v>FALSO</v>
      </c>
    </row>
    <row r="1896">
      <c r="B1896" s="186" t="str">
        <f>IFERROR(__xludf.DUMMYFUNCTION("""COMPUTED_VALUE"""),"CS2241")</f>
        <v>CS2241</v>
      </c>
      <c r="C1896" s="186" t="str">
        <f>IFERROR(__xludf.DUMMYFUNCTION("""COMPUTED_VALUE"""),"CARTAO PAI MINHA CORAGEM")</f>
        <v>CARTAO PAI MINHA CORAGEM</v>
      </c>
      <c r="D1896" s="186" t="str">
        <f>IFERROR(__xludf.DUMMYFUNCTION("""COMPUTED_VALUE"""),"FALSO")</f>
        <v>FALSO</v>
      </c>
    </row>
    <row r="1897">
      <c r="B1897" s="186" t="str">
        <f>IFERROR(__xludf.DUMMYFUNCTION("""COMPUTED_VALUE"""),"CS2292")</f>
        <v>CS2292</v>
      </c>
      <c r="C1897" s="186" t="str">
        <f>IFERROR(__xludf.DUMMYFUNCTION("""COMPUTED_VALUE"""),"CARTAO PARA FICAR GRAVADO")</f>
        <v>CARTAO PARA FICAR GRAVADO</v>
      </c>
      <c r="D1897" s="186" t="str">
        <f>IFERROR(__xludf.DUMMYFUNCTION("""COMPUTED_VALUE"""),"FALSO")</f>
        <v>FALSO</v>
      </c>
    </row>
    <row r="1898">
      <c r="B1898" s="186" t="str">
        <f>IFERROR(__xludf.DUMMYFUNCTION("""COMPUTED_VALUE"""),"PI3669Y")</f>
        <v>PI3669Y</v>
      </c>
      <c r="C1898" s="186" t="str">
        <f>IFERROR(__xludf.DUMMYFUNCTION("""COMPUTED_VALUE"""),"JOGO DE MIMICA LOVE SONGS")</f>
        <v>JOGO DE MIMICA LOVE SONGS</v>
      </c>
      <c r="D1898" s="186" t="str">
        <f>IFERROR(__xludf.DUMMYFUNCTION("""COMPUTED_VALUE"""),"FALSO")</f>
        <v>FALSO</v>
      </c>
    </row>
    <row r="1899">
      <c r="B1899" s="186" t="str">
        <f>IFERROR(__xludf.DUMMYFUNCTION("""COMPUTED_VALUE"""),"CS2242")</f>
        <v>CS2242</v>
      </c>
      <c r="C1899" s="186" t="str">
        <f>IFERROR(__xludf.DUMMYFUNCTION("""COMPUTED_VALUE"""),"CARTAO AVO MINHA CORAGEM")</f>
        <v>CARTAO AVO MINHA CORAGEM</v>
      </c>
      <c r="D1899" s="186" t="str">
        <f>IFERROR(__xludf.DUMMYFUNCTION("""COMPUTED_VALUE"""),"FALSO")</f>
        <v>FALSO</v>
      </c>
    </row>
    <row r="1900">
      <c r="B1900" s="186" t="str">
        <f>IFERROR(__xludf.DUMMYFUNCTION("""COMPUTED_VALUE"""),"PI4187Y")</f>
        <v>PI4187Y</v>
      </c>
      <c r="C1900" s="186" t="str">
        <f>IFERROR(__xludf.DUMMYFUNCTION("""COMPUTED_VALUE"""),"CARTAO ESTAREI SEMPRE AQUI")</f>
        <v>CARTAO ESTAREI SEMPRE AQUI</v>
      </c>
      <c r="D1900" s="186" t="str">
        <f>IFERROR(__xludf.DUMMYFUNCTION("""COMPUTED_VALUE"""),"FALSO")</f>
        <v>FALSO</v>
      </c>
    </row>
    <row r="1901">
      <c r="B1901" s="186" t="str">
        <f>IFERROR(__xludf.DUMMYFUNCTION("""COMPUTED_VALUE"""),"PI4187Y")</f>
        <v>PI4187Y</v>
      </c>
      <c r="C1901" s="186" t="str">
        <f>IFERROR(__xludf.DUMMYFUNCTION("""COMPUTED_VALUE"""),"CARTAO ESTAREI SEMPRE AQUI")</f>
        <v>CARTAO ESTAREI SEMPRE AQUI</v>
      </c>
      <c r="D1901" s="186" t="str">
        <f>IFERROR(__xludf.DUMMYFUNCTION("""COMPUTED_VALUE"""),"FALSO")</f>
        <v>FALSO</v>
      </c>
    </row>
    <row r="1902">
      <c r="B1902" s="186" t="str">
        <f>IFERROR(__xludf.DUMMYFUNCTION("""COMPUTED_VALUE"""),"CS2368")</f>
        <v>CS2368</v>
      </c>
      <c r="C1902" s="186" t="str">
        <f>IFERROR(__xludf.DUMMYFUNCTION("""COMPUTED_VALUE"""),"CARTAO AMIGO AMIZADE VERDADEIRA")</f>
        <v>CARTAO AMIGO AMIZADE VERDADEIRA</v>
      </c>
      <c r="D1902" s="186" t="str">
        <f>IFERROR(__xludf.DUMMYFUNCTION("""COMPUTED_VALUE"""),"FALSO")</f>
        <v>FALSO</v>
      </c>
    </row>
    <row r="1903">
      <c r="B1903" s="186" t="str">
        <f>IFERROR(__xludf.DUMMYFUNCTION("""COMPUTED_VALUE"""),"CS2368")</f>
        <v>CS2368</v>
      </c>
      <c r="C1903" s="186" t="str">
        <f>IFERROR(__xludf.DUMMYFUNCTION("""COMPUTED_VALUE"""),"CARTAO AMIGO AMIZADE VERDADEIRA")</f>
        <v>CARTAO AMIGO AMIZADE VERDADEIRA</v>
      </c>
      <c r="D1903" s="186" t="str">
        <f>IFERROR(__xludf.DUMMYFUNCTION("""COMPUTED_VALUE"""),"FALSO")</f>
        <v>FALSO</v>
      </c>
    </row>
    <row r="1904">
      <c r="B1904" s="186" t="str">
        <f>IFERROR(__xludf.DUMMYFUNCTION("""COMPUTED_VALUE"""),"CS2368")</f>
        <v>CS2368</v>
      </c>
      <c r="C1904" s="186" t="str">
        <f>IFERROR(__xludf.DUMMYFUNCTION("""COMPUTED_VALUE"""),"CARTAO AMIGO AMIZADE VERDADEIRA")</f>
        <v>CARTAO AMIGO AMIZADE VERDADEIRA</v>
      </c>
      <c r="D1904" s="186" t="str">
        <f>IFERROR(__xludf.DUMMYFUNCTION("""COMPUTED_VALUE"""),"FALSO")</f>
        <v>FALSO</v>
      </c>
    </row>
    <row r="1905">
      <c r="B1905" s="186" t="str">
        <f>IFERROR(__xludf.DUMMYFUNCTION("""COMPUTED_VALUE"""),"CS2380")</f>
        <v>CS2380</v>
      </c>
      <c r="C1905" s="186" t="str">
        <f>IFERROR(__xludf.DUMMYFUNCTION("""COMPUTED_VALUE"""),"CARTAO AMIGO BEBE VERSUS VIDA SOCIAL")</f>
        <v>CARTAO AMIGO BEBE VERSUS VIDA SOCIAL</v>
      </c>
      <c r="D1905" s="186" t="str">
        <f>IFERROR(__xludf.DUMMYFUNCTION("""COMPUTED_VALUE"""),"FALSO")</f>
        <v>FALSO</v>
      </c>
    </row>
    <row r="1906">
      <c r="B1906" s="186" t="str">
        <f>IFERROR(__xludf.DUMMYFUNCTION("""COMPUTED_VALUE"""),"CS2366")</f>
        <v>CS2366</v>
      </c>
      <c r="C1906" s="186" t="str">
        <f>IFERROR(__xludf.DUMMYFUNCTION("""COMPUTED_VALUE"""),"CARTAO AMIGO COXINHA E REFRI")</f>
        <v>CARTAO AMIGO COXINHA E REFRI</v>
      </c>
      <c r="D1906" s="186" t="str">
        <f>IFERROR(__xludf.DUMMYFUNCTION("""COMPUTED_VALUE"""),"FALSO")</f>
        <v>FALSO</v>
      </c>
    </row>
    <row r="1907">
      <c r="B1907" s="186" t="str">
        <f>IFERROR(__xludf.DUMMYFUNCTION("""COMPUTED_VALUE"""),"CS2376")</f>
        <v>CS2376</v>
      </c>
      <c r="C1907" s="186" t="str">
        <f>IFERROR(__xludf.DUMMYFUNCTION("""COMPUTED_VALUE"""),"CARTAO AMIGO EU E MINHA AMIGA TIAGA")</f>
        <v>CARTAO AMIGO EU E MINHA AMIGA TIAGA</v>
      </c>
      <c r="D1907" s="186" t="str">
        <f>IFERROR(__xludf.DUMMYFUNCTION("""COMPUTED_VALUE"""),"FALSO")</f>
        <v>FALSO</v>
      </c>
    </row>
    <row r="1908">
      <c r="B1908" s="186" t="str">
        <f>IFERROR(__xludf.DUMMYFUNCTION("""COMPUTED_VALUE"""),"CS2355")</f>
        <v>CS2355</v>
      </c>
      <c r="C1908" s="186" t="str">
        <f>IFERROR(__xludf.DUMMYFUNCTION("""COMPUTED_VALUE"""),"CARTAO AMIGO MAQUINA DE VENCER")</f>
        <v>CARTAO AMIGO MAQUINA DE VENCER</v>
      </c>
      <c r="D1908" s="186" t="str">
        <f>IFERROR(__xludf.DUMMYFUNCTION("""COMPUTED_VALUE"""),"FALSO")</f>
        <v>FALSO</v>
      </c>
    </row>
    <row r="1909">
      <c r="B1909" s="186" t="str">
        <f>IFERROR(__xludf.DUMMYFUNCTION("""COMPUTED_VALUE"""),"CS2355")</f>
        <v>CS2355</v>
      </c>
      <c r="C1909" s="186" t="str">
        <f>IFERROR(__xludf.DUMMYFUNCTION("""COMPUTED_VALUE"""),"CARTAO AMIGO MAQUINA DE VENCER")</f>
        <v>CARTAO AMIGO MAQUINA DE VENCER</v>
      </c>
      <c r="D1909" s="186" t="str">
        <f>IFERROR(__xludf.DUMMYFUNCTION("""COMPUTED_VALUE"""),"FALSO")</f>
        <v>FALSO</v>
      </c>
    </row>
    <row r="1910">
      <c r="B1910" s="186" t="str">
        <f>IFERROR(__xludf.DUMMYFUNCTION("""COMPUTED_VALUE"""),"CS2355")</f>
        <v>CS2355</v>
      </c>
      <c r="C1910" s="186" t="str">
        <f>IFERROR(__xludf.DUMMYFUNCTION("""COMPUTED_VALUE"""),"CARTAO AMIGO MAQUINA DE VENCER")</f>
        <v>CARTAO AMIGO MAQUINA DE VENCER</v>
      </c>
      <c r="D1910" s="186" t="str">
        <f>IFERROR(__xludf.DUMMYFUNCTION("""COMPUTED_VALUE"""),"FALSO")</f>
        <v>FALSO</v>
      </c>
    </row>
    <row r="1911">
      <c r="B1911" s="186" t="str">
        <f>IFERROR(__xludf.DUMMYFUNCTION("""COMPUTED_VALUE"""),"CS2352")</f>
        <v>CS2352</v>
      </c>
      <c r="C1911" s="186" t="str">
        <f>IFERROR(__xludf.DUMMYFUNCTION("""COMPUTED_VALUE"""),"CARTAO AMIGO MUITA SORTE EM TER VOCE")</f>
        <v>CARTAO AMIGO MUITA SORTE EM TER VOCE</v>
      </c>
      <c r="D1911" s="186" t="str">
        <f>IFERROR(__xludf.DUMMYFUNCTION("""COMPUTED_VALUE"""),"FALSO")</f>
        <v>FALSO</v>
      </c>
    </row>
    <row r="1912">
      <c r="B1912" s="186" t="str">
        <f>IFERROR(__xludf.DUMMYFUNCTION("""COMPUTED_VALUE"""),"CS2352")</f>
        <v>CS2352</v>
      </c>
      <c r="C1912" s="186" t="str">
        <f>IFERROR(__xludf.DUMMYFUNCTION("""COMPUTED_VALUE"""),"CARTAO AMIGO MUITA SORTE EM TER VOCE")</f>
        <v>CARTAO AMIGO MUITA SORTE EM TER VOCE</v>
      </c>
      <c r="D1912" s="186" t="str">
        <f>IFERROR(__xludf.DUMMYFUNCTION("""COMPUTED_VALUE"""),"FALSO")</f>
        <v>FALSO</v>
      </c>
    </row>
    <row r="1913">
      <c r="B1913" s="186" t="str">
        <f>IFERROR(__xludf.DUMMYFUNCTION("""COMPUTED_VALUE"""),"CS2352")</f>
        <v>CS2352</v>
      </c>
      <c r="C1913" s="186" t="str">
        <f>IFERROR(__xludf.DUMMYFUNCTION("""COMPUTED_VALUE"""),"CARTAO AMIGO MUITA SORTE EM TER VOCE")</f>
        <v>CARTAO AMIGO MUITA SORTE EM TER VOCE</v>
      </c>
      <c r="D1913" s="186" t="str">
        <f>IFERROR(__xludf.DUMMYFUNCTION("""COMPUTED_VALUE"""),"FALSO")</f>
        <v>FALSO</v>
      </c>
    </row>
    <row r="1914">
      <c r="B1914" s="186" t="str">
        <f>IFERROR(__xludf.DUMMYFUNCTION("""COMPUTED_VALUE"""),"CS2362")</f>
        <v>CS2362</v>
      </c>
      <c r="C1914" s="186" t="str">
        <f>IFERROR(__xludf.DUMMYFUNCTION("""COMPUTED_VALUE"""),"CARTAO AMIGO OBRIGADO")</f>
        <v>CARTAO AMIGO OBRIGADO</v>
      </c>
      <c r="D1914" s="186" t="str">
        <f>IFERROR(__xludf.DUMMYFUNCTION("""COMPUTED_VALUE"""),"FALSO")</f>
        <v>FALSO</v>
      </c>
    </row>
    <row r="1915">
      <c r="B1915" s="186" t="str">
        <f>IFERROR(__xludf.DUMMYFUNCTION("""COMPUTED_VALUE"""),"CS2362")</f>
        <v>CS2362</v>
      </c>
      <c r="C1915" s="186" t="str">
        <f>IFERROR(__xludf.DUMMYFUNCTION("""COMPUTED_VALUE"""),"CARTAO AMIGO OBRIGADO")</f>
        <v>CARTAO AMIGO OBRIGADO</v>
      </c>
      <c r="D1915" s="186" t="str">
        <f>IFERROR(__xludf.DUMMYFUNCTION("""COMPUTED_VALUE"""),"FALSO")</f>
        <v>FALSO</v>
      </c>
    </row>
    <row r="1916">
      <c r="B1916" s="186" t="str">
        <f>IFERROR(__xludf.DUMMYFUNCTION("""COMPUTED_VALUE"""),"CS2362")</f>
        <v>CS2362</v>
      </c>
      <c r="C1916" s="186" t="str">
        <f>IFERROR(__xludf.DUMMYFUNCTION("""COMPUTED_VALUE"""),"CARTAO AMIGO OBRIGADO")</f>
        <v>CARTAO AMIGO OBRIGADO</v>
      </c>
      <c r="D1916" s="186" t="str">
        <f>IFERROR(__xludf.DUMMYFUNCTION("""COMPUTED_VALUE"""),"FALSO")</f>
        <v>FALSO</v>
      </c>
    </row>
    <row r="1917">
      <c r="B1917" s="186" t="str">
        <f>IFERROR(__xludf.DUMMYFUNCTION("""COMPUTED_VALUE"""),"CS2363")</f>
        <v>CS2363</v>
      </c>
      <c r="C1917" s="186" t="str">
        <f>IFERROR(__xludf.DUMMYFUNCTION("""COMPUTED_VALUE"""),"CARTAO AMIGO PALAVRA CRUZADA")</f>
        <v>CARTAO AMIGO PALAVRA CRUZADA</v>
      </c>
      <c r="D1917" s="186" t="str">
        <f>IFERROR(__xludf.DUMMYFUNCTION("""COMPUTED_VALUE"""),"FALSO")</f>
        <v>FALSO</v>
      </c>
    </row>
    <row r="1918">
      <c r="B1918" s="186" t="str">
        <f>IFERROR(__xludf.DUMMYFUNCTION("""COMPUTED_VALUE"""),"CS2363")</f>
        <v>CS2363</v>
      </c>
      <c r="C1918" s="186" t="str">
        <f>IFERROR(__xludf.DUMMYFUNCTION("""COMPUTED_VALUE"""),"CARTAO AMIGO PALAVRA CRUZADA")</f>
        <v>CARTAO AMIGO PALAVRA CRUZADA</v>
      </c>
      <c r="D1918" s="186" t="str">
        <f>IFERROR(__xludf.DUMMYFUNCTION("""COMPUTED_VALUE"""),"FALSO")</f>
        <v>FALSO</v>
      </c>
    </row>
    <row r="1919">
      <c r="B1919" s="186" t="str">
        <f>IFERROR(__xludf.DUMMYFUNCTION("""COMPUTED_VALUE"""),"CS2365")</f>
        <v>CS2365</v>
      </c>
      <c r="C1919" s="186" t="str">
        <f>IFERROR(__xludf.DUMMYFUNCTION("""COMPUTED_VALUE"""),"CARTAO AMIGO PASTEL E CALDO DE CANA")</f>
        <v>CARTAO AMIGO PASTEL E CALDO DE CANA</v>
      </c>
      <c r="D1919" s="186" t="str">
        <f>IFERROR(__xludf.DUMMYFUNCTION("""COMPUTED_VALUE"""),"FALSO")</f>
        <v>FALSO</v>
      </c>
    </row>
    <row r="1920">
      <c r="B1920" s="186" t="str">
        <f>IFERROR(__xludf.DUMMYFUNCTION("""COMPUTED_VALUE"""),"CS2377")</f>
        <v>CS2377</v>
      </c>
      <c r="C1920" s="186" t="str">
        <f>IFERROR(__xludf.DUMMYFUNCTION("""COMPUTED_VALUE"""),"CARTAO AMIGO RECEM CASADOS")</f>
        <v>CARTAO AMIGO RECEM CASADOS</v>
      </c>
      <c r="D1920" s="186" t="str">
        <f>IFERROR(__xludf.DUMMYFUNCTION("""COMPUTED_VALUE"""),"FALSO")</f>
        <v>FALSO</v>
      </c>
    </row>
    <row r="1921">
      <c r="B1921" s="186" t="str">
        <f>IFERROR(__xludf.DUMMYFUNCTION("""COMPUTED_VALUE"""),"CS2166")</f>
        <v>CS2166</v>
      </c>
      <c r="C1921" s="186" t="str">
        <f>IFERROR(__xludf.DUMMYFUNCTION("""COMPUTED_VALUE"""),"CARTAO AMIGO SECRETO")</f>
        <v>CARTAO AMIGO SECRETO</v>
      </c>
      <c r="D1921" s="186" t="str">
        <f>IFERROR(__xludf.DUMMYFUNCTION("""COMPUTED_VALUE"""),"FALSO")</f>
        <v>FALSO</v>
      </c>
    </row>
    <row r="1922">
      <c r="B1922" s="186" t="str">
        <f>IFERROR(__xludf.DUMMYFUNCTION("""COMPUTED_VALUE"""),"CS2353")</f>
        <v>CS2353</v>
      </c>
      <c r="C1922" s="186" t="str">
        <f>IFERROR(__xludf.DUMMYFUNCTION("""COMPUTED_VALUE"""),"CARTAO AMIGO SOMOS MELHORES JUNTOS")</f>
        <v>CARTAO AMIGO SOMOS MELHORES JUNTOS</v>
      </c>
      <c r="D1922" s="186" t="str">
        <f>IFERROR(__xludf.DUMMYFUNCTION("""COMPUTED_VALUE"""),"FALSO")</f>
        <v>FALSO</v>
      </c>
    </row>
    <row r="1923">
      <c r="B1923" s="186" t="str">
        <f>IFERROR(__xludf.DUMMYFUNCTION("""COMPUTED_VALUE"""),"CS2353")</f>
        <v>CS2353</v>
      </c>
      <c r="C1923" s="186" t="str">
        <f>IFERROR(__xludf.DUMMYFUNCTION("""COMPUTED_VALUE"""),"CARTAO AMIGO SOMOS MELHORES JUNTOS")</f>
        <v>CARTAO AMIGO SOMOS MELHORES JUNTOS</v>
      </c>
      <c r="D1923" s="186" t="str">
        <f>IFERROR(__xludf.DUMMYFUNCTION("""COMPUTED_VALUE"""),"FALSO")</f>
        <v>FALSO</v>
      </c>
    </row>
    <row r="1924">
      <c r="B1924" s="186" t="str">
        <f>IFERROR(__xludf.DUMMYFUNCTION("""COMPUTED_VALUE"""),"CS2353")</f>
        <v>CS2353</v>
      </c>
      <c r="C1924" s="186" t="str">
        <f>IFERROR(__xludf.DUMMYFUNCTION("""COMPUTED_VALUE"""),"CARTAO AMIGO SOMOS MELHORES JUNTOS")</f>
        <v>CARTAO AMIGO SOMOS MELHORES JUNTOS</v>
      </c>
      <c r="D1924" s="186" t="str">
        <f>IFERROR(__xludf.DUMMYFUNCTION("""COMPUTED_VALUE"""),"FALSO")</f>
        <v>FALSO</v>
      </c>
    </row>
    <row r="1925">
      <c r="B1925" s="186" t="str">
        <f>IFERROR(__xludf.DUMMYFUNCTION("""COMPUTED_VALUE"""),"CS2364")</f>
        <v>CS2364</v>
      </c>
      <c r="C1925" s="186" t="str">
        <f>IFERROR(__xludf.DUMMYFUNCTION("""COMPUTED_VALUE"""),"CARTAO AMIGO SORRIA")</f>
        <v>CARTAO AMIGO SORRIA</v>
      </c>
      <c r="D1925" s="186" t="str">
        <f>IFERROR(__xludf.DUMMYFUNCTION("""COMPUTED_VALUE"""),"FALSO")</f>
        <v>FALSO</v>
      </c>
    </row>
    <row r="1926">
      <c r="B1926" s="186" t="str">
        <f>IFERROR(__xludf.DUMMYFUNCTION("""COMPUTED_VALUE"""),"CS2374")</f>
        <v>CS2374</v>
      </c>
      <c r="C1926" s="186" t="str">
        <f>IFERROR(__xludf.DUMMYFUNCTION("""COMPUTED_VALUE"""),"CARTAO AMIGO THANK YOU")</f>
        <v>CARTAO AMIGO THANK YOU</v>
      </c>
      <c r="D1926" s="186" t="str">
        <f>IFERROR(__xludf.DUMMYFUNCTION("""COMPUTED_VALUE"""),"FALSO")</f>
        <v>FALSO</v>
      </c>
    </row>
    <row r="1927">
      <c r="B1927" s="186" t="str">
        <f>IFERROR(__xludf.DUMMYFUNCTION("""COMPUTED_VALUE"""),"CS2379")</f>
        <v>CS2379</v>
      </c>
      <c r="C1927" s="186" t="str">
        <f>IFERROR(__xludf.DUMMYFUNCTION("""COMPUTED_VALUE"""),"CARTAO AMIGO TORCENDO POR VOCE")</f>
        <v>CARTAO AMIGO TORCENDO POR VOCE</v>
      </c>
      <c r="D1927" s="186" t="str">
        <f>IFERROR(__xludf.DUMMYFUNCTION("""COMPUTED_VALUE"""),"FALSO")</f>
        <v>FALSO</v>
      </c>
    </row>
    <row r="1928">
      <c r="B1928" s="186" t="str">
        <f>IFERROR(__xludf.DUMMYFUNCTION("""COMPUTED_VALUE"""),"CS2375")</f>
        <v>CS2375</v>
      </c>
      <c r="C1928" s="186" t="str">
        <f>IFERROR(__xludf.DUMMYFUNCTION("""COMPUTED_VALUE"""),"CARTAO AMIGO VAI PASSAR")</f>
        <v>CARTAO AMIGO VAI PASSAR</v>
      </c>
      <c r="D1928" s="186" t="str">
        <f>IFERROR(__xludf.DUMMYFUNCTION("""COMPUTED_VALUE"""),"FALSO")</f>
        <v>FALSO</v>
      </c>
    </row>
    <row r="1929">
      <c r="B1929" s="186" t="str">
        <f>IFERROR(__xludf.DUMMYFUNCTION("""COMPUTED_VALUE"""),"CS2367")</f>
        <v>CS2367</v>
      </c>
      <c r="C1929" s="186" t="str">
        <f>IFERROR(__xludf.DUMMYFUNCTION("""COMPUTED_VALUE"""),"CARTAO AMIGO VOCE E INCRIVEL")</f>
        <v>CARTAO AMIGO VOCE E INCRIVEL</v>
      </c>
      <c r="D1929" s="186" t="str">
        <f>IFERROR(__xludf.DUMMYFUNCTION("""COMPUTED_VALUE"""),"FALSO")</f>
        <v>FALSO</v>
      </c>
    </row>
    <row r="1930">
      <c r="B1930" s="186" t="str">
        <f>IFERROR(__xludf.DUMMYFUNCTION("""COMPUTED_VALUE"""),"CS2367")</f>
        <v>CS2367</v>
      </c>
      <c r="C1930" s="186" t="str">
        <f>IFERROR(__xludf.DUMMYFUNCTION("""COMPUTED_VALUE"""),"CARTAO AMIGO VOCE E INCRIVEL")</f>
        <v>CARTAO AMIGO VOCE E INCRIVEL</v>
      </c>
      <c r="D1930" s="186" t="str">
        <f>IFERROR(__xludf.DUMMYFUNCTION("""COMPUTED_VALUE"""),"FALSO")</f>
        <v>FALSO</v>
      </c>
    </row>
    <row r="1931">
      <c r="B1931" s="186" t="str">
        <f>IFERROR(__xludf.DUMMYFUNCTION("""COMPUTED_VALUE"""),"CS2351")</f>
        <v>CS2351</v>
      </c>
      <c r="C1931" s="186" t="str">
        <f>IFERROR(__xludf.DUMMYFUNCTION("""COMPUTED_VALUE"""),"CARTAO AMIGO YOU ARE THE BEST")</f>
        <v>CARTAO AMIGO YOU ARE THE BEST</v>
      </c>
      <c r="D1931" s="186" t="str">
        <f>IFERROR(__xludf.DUMMYFUNCTION("""COMPUTED_VALUE"""),"FALSO")</f>
        <v>FALSO</v>
      </c>
    </row>
    <row r="1932">
      <c r="B1932" s="186" t="str">
        <f>IFERROR(__xludf.DUMMYFUNCTION("""COMPUTED_VALUE"""),"CS2351")</f>
        <v>CS2351</v>
      </c>
      <c r="C1932" s="186" t="str">
        <f>IFERROR(__xludf.DUMMYFUNCTION("""COMPUTED_VALUE"""),"CARTAO AMIGO YOU ARE THE BEST")</f>
        <v>CARTAO AMIGO YOU ARE THE BEST</v>
      </c>
      <c r="D1932" s="186" t="str">
        <f>IFERROR(__xludf.DUMMYFUNCTION("""COMPUTED_VALUE"""),"FALSO")</f>
        <v>FALSO</v>
      </c>
    </row>
    <row r="1933">
      <c r="B1933" s="186" t="str">
        <f>IFERROR(__xludf.DUMMYFUNCTION("""COMPUTED_VALUE"""),"CS2351")</f>
        <v>CS2351</v>
      </c>
      <c r="C1933" s="186" t="str">
        <f>IFERROR(__xludf.DUMMYFUNCTION("""COMPUTED_VALUE"""),"CARTAO AMIGO YOU ARE THE BEST")</f>
        <v>CARTAO AMIGO YOU ARE THE BEST</v>
      </c>
      <c r="D1933" s="186" t="str">
        <f>IFERROR(__xludf.DUMMYFUNCTION("""COMPUTED_VALUE"""),"FALSO")</f>
        <v>FALSO</v>
      </c>
    </row>
    <row r="1934">
      <c r="B1934" s="186" t="str">
        <f>IFERROR(__xludf.DUMMYFUNCTION("""COMPUTED_VALUE"""),"CS2137")</f>
        <v>CS2137</v>
      </c>
      <c r="C1934" s="186" t="str">
        <f>IFERROR(__xludf.DUMMYFUNCTION("""COMPUTED_VALUE"""),"CARTAO AMIZADE Y2K CELULAR SMS")</f>
        <v>CARTAO AMIZADE Y2K CELULAR SMS</v>
      </c>
      <c r="D1934" s="186" t="str">
        <f>IFERROR(__xludf.DUMMYFUNCTION("""COMPUTED_VALUE"""),"FALSO")</f>
        <v>FALSO</v>
      </c>
    </row>
    <row r="1935">
      <c r="B1935" s="186" t="str">
        <f>IFERROR(__xludf.DUMMYFUNCTION("""COMPUTED_VALUE"""),"CS2214")</f>
        <v>CS2214</v>
      </c>
      <c r="C1935" s="186" t="str">
        <f>IFERROR(__xludf.DUMMYFUNCTION("""COMPUTED_VALUE"""),"CARTAO AMOR ENROLADO NO ABRACO")</f>
        <v>CARTAO AMOR ENROLADO NO ABRACO</v>
      </c>
      <c r="D1935" s="186" t="str">
        <f>IFERROR(__xludf.DUMMYFUNCTION("""COMPUTED_VALUE"""),"FALSO")</f>
        <v>FALSO</v>
      </c>
    </row>
    <row r="1936">
      <c r="B1936" s="186" t="str">
        <f>IFERROR(__xludf.DUMMYFUNCTION("""COMPUTED_VALUE"""),"CS2169")</f>
        <v>CS2169</v>
      </c>
      <c r="C1936" s="186" t="str">
        <f>IFERROR(__xludf.DUMMYFUNCTION("""COMPUTED_VALUE"""),"CARTAO ANIVERSARIO BOLO FACA UM PEDIDO")</f>
        <v>CARTAO ANIVERSARIO BOLO FACA UM PEDIDO</v>
      </c>
      <c r="D1936" s="186" t="str">
        <f>IFERROR(__xludf.DUMMYFUNCTION("""COMPUTED_VALUE"""),"FALSO")</f>
        <v>FALSO</v>
      </c>
    </row>
    <row r="1937">
      <c r="B1937" s="186" t="str">
        <f>IFERROR(__xludf.DUMMYFUNCTION("""COMPUTED_VALUE"""),"CS2358")</f>
        <v>CS2358</v>
      </c>
      <c r="C1937" s="186" t="str">
        <f>IFERROR(__xludf.DUMMYFUNCTION("""COMPUTED_VALUE"""),"CARTAO ANIVERSARIO FACA O DOWNLOAD")</f>
        <v>CARTAO ANIVERSARIO FACA O DOWNLOAD</v>
      </c>
      <c r="D1937" s="186" t="str">
        <f>IFERROR(__xludf.DUMMYFUNCTION("""COMPUTED_VALUE"""),"FALSO")</f>
        <v>FALSO</v>
      </c>
    </row>
    <row r="1938">
      <c r="B1938" s="186" t="str">
        <f>IFERROR(__xludf.DUMMYFUNCTION("""COMPUTED_VALUE"""),"CS2358")</f>
        <v>CS2358</v>
      </c>
      <c r="C1938" s="186" t="str">
        <f>IFERROR(__xludf.DUMMYFUNCTION("""COMPUTED_VALUE"""),"CARTAO ANIVERSARIO FACA O DOWNLOAD")</f>
        <v>CARTAO ANIVERSARIO FACA O DOWNLOAD</v>
      </c>
      <c r="D1938" s="186" t="str">
        <f>IFERROR(__xludf.DUMMYFUNCTION("""COMPUTED_VALUE"""),"FALSO")</f>
        <v>FALSO</v>
      </c>
    </row>
    <row r="1939">
      <c r="B1939" s="186" t="str">
        <f>IFERROR(__xludf.DUMMYFUNCTION("""COMPUTED_VALUE"""),"CS2336")</f>
        <v>CS2336</v>
      </c>
      <c r="C1939" s="186" t="str">
        <f>IFERROR(__xludf.DUMMYFUNCTION("""COMPUTED_VALUE"""),"CARTAO ANIVERSARIO FACA UM PEDIDO")</f>
        <v>CARTAO ANIVERSARIO FACA UM PEDIDO</v>
      </c>
      <c r="D1939" s="186" t="str">
        <f>IFERROR(__xludf.DUMMYFUNCTION("""COMPUTED_VALUE"""),"FALSO")</f>
        <v>FALSO</v>
      </c>
    </row>
    <row r="1940">
      <c r="B1940" s="186" t="str">
        <f>IFERROR(__xludf.DUMMYFUNCTION("""COMPUTED_VALUE"""),"CS2336")</f>
        <v>CS2336</v>
      </c>
      <c r="C1940" s="186" t="str">
        <f>IFERROR(__xludf.DUMMYFUNCTION("""COMPUTED_VALUE"""),"CARTAO ANIVERSARIO FACA UM PEDIDO")</f>
        <v>CARTAO ANIVERSARIO FACA UM PEDIDO</v>
      </c>
      <c r="D1940" s="186" t="str">
        <f>IFERROR(__xludf.DUMMYFUNCTION("""COMPUTED_VALUE"""),"FALSO")</f>
        <v>FALSO</v>
      </c>
    </row>
    <row r="1941">
      <c r="B1941" s="186" t="str">
        <f>IFERROR(__xludf.DUMMYFUNCTION("""COMPUTED_VALUE"""),"CS2336")</f>
        <v>CS2336</v>
      </c>
      <c r="C1941" s="186" t="str">
        <f>IFERROR(__xludf.DUMMYFUNCTION("""COMPUTED_VALUE"""),"CARTAO ANIVERSARIO FACA UM PEDIDO")</f>
        <v>CARTAO ANIVERSARIO FACA UM PEDIDO</v>
      </c>
      <c r="D1941" s="186" t="str">
        <f>IFERROR(__xludf.DUMMYFUNCTION("""COMPUTED_VALUE"""),"FALSO")</f>
        <v>FALSO</v>
      </c>
    </row>
    <row r="1942">
      <c r="B1942" s="186" t="str">
        <f>IFERROR(__xludf.DUMMYFUNCTION("""COMPUTED_VALUE"""),"CS2360")</f>
        <v>CS2360</v>
      </c>
      <c r="C1942" s="186" t="str">
        <f>IFERROR(__xludf.DUMMYFUNCTION("""COMPUTED_VALUE"""),"CARTAO ANIVERSARIO FASE 30 DESBLOQUEADA")</f>
        <v>CARTAO ANIVERSARIO FASE 30 DESBLOQUEADA</v>
      </c>
      <c r="D1942" s="186" t="str">
        <f>IFERROR(__xludf.DUMMYFUNCTION("""COMPUTED_VALUE"""),"FALSO")</f>
        <v>FALSO</v>
      </c>
    </row>
    <row r="1943">
      <c r="B1943" s="186" t="str">
        <f>IFERROR(__xludf.DUMMYFUNCTION("""COMPUTED_VALUE"""),"CS2360")</f>
        <v>CS2360</v>
      </c>
      <c r="C1943" s="186" t="str">
        <f>IFERROR(__xludf.DUMMYFUNCTION("""COMPUTED_VALUE"""),"CARTAO ANIVERSARIO FASE 30 DESBLOQUEADA")</f>
        <v>CARTAO ANIVERSARIO FASE 30 DESBLOQUEADA</v>
      </c>
      <c r="D1943" s="186" t="str">
        <f>IFERROR(__xludf.DUMMYFUNCTION("""COMPUTED_VALUE"""),"FALSO")</f>
        <v>FALSO</v>
      </c>
    </row>
    <row r="1944">
      <c r="B1944" s="186" t="str">
        <f>IFERROR(__xludf.DUMMYFUNCTION("""COMPUTED_VALUE"""),"CS2346")</f>
        <v>CS2346</v>
      </c>
      <c r="C1944" s="186" t="str">
        <f>IFERROR(__xludf.DUMMYFUNCTION("""COMPUTED_VALUE"""),"CARTAO ANIVERSARIO HAPPY BIRTHDAY PB")</f>
        <v>CARTAO ANIVERSARIO HAPPY BIRTHDAY PB</v>
      </c>
      <c r="D1944" s="186" t="str">
        <f>IFERROR(__xludf.DUMMYFUNCTION("""COMPUTED_VALUE"""),"FALSO")</f>
        <v>FALSO</v>
      </c>
    </row>
    <row r="1945">
      <c r="B1945" s="186" t="str">
        <f>IFERROR(__xludf.DUMMYFUNCTION("""COMPUTED_VALUE"""),"CS2346")</f>
        <v>CS2346</v>
      </c>
      <c r="C1945" s="186" t="str">
        <f>IFERROR(__xludf.DUMMYFUNCTION("""COMPUTED_VALUE"""),"CARTAO ANIVERSARIO HAPPY BIRTHDAY PB")</f>
        <v>CARTAO ANIVERSARIO HAPPY BIRTHDAY PB</v>
      </c>
      <c r="D1945" s="186" t="str">
        <f>IFERROR(__xludf.DUMMYFUNCTION("""COMPUTED_VALUE"""),"FALSO")</f>
        <v>FALSO</v>
      </c>
    </row>
    <row r="1946">
      <c r="B1946" s="186" t="str">
        <f>IFERROR(__xludf.DUMMYFUNCTION("""COMPUTED_VALUE"""),"CS2334")</f>
        <v>CS2334</v>
      </c>
      <c r="C1946" s="186" t="str">
        <f>IFERROR(__xludf.DUMMYFUNCTION("""COMPUTED_VALUE"""),"CARTAO ANIVERSARIO HAPPY BIRTHDAY TO YOU")</f>
        <v>CARTAO ANIVERSARIO HAPPY BIRTHDAY TO YOU</v>
      </c>
      <c r="D1946" s="186" t="str">
        <f>IFERROR(__xludf.DUMMYFUNCTION("""COMPUTED_VALUE"""),"FALSO")</f>
        <v>FALSO</v>
      </c>
    </row>
    <row r="1947">
      <c r="B1947" s="186" t="str">
        <f>IFERROR(__xludf.DUMMYFUNCTION("""COMPUTED_VALUE"""),"CS2334")</f>
        <v>CS2334</v>
      </c>
      <c r="C1947" s="186" t="str">
        <f>IFERROR(__xludf.DUMMYFUNCTION("""COMPUTED_VALUE"""),"CARTAO ANIVERSARIO HAPPY BIRTHDAY TO YOU")</f>
        <v>CARTAO ANIVERSARIO HAPPY BIRTHDAY TO YOU</v>
      </c>
      <c r="D1947" s="186" t="str">
        <f>IFERROR(__xludf.DUMMYFUNCTION("""COMPUTED_VALUE"""),"FALSO")</f>
        <v>FALSO</v>
      </c>
    </row>
    <row r="1948">
      <c r="B1948" s="186" t="str">
        <f>IFERROR(__xludf.DUMMYFUNCTION("""COMPUTED_VALUE"""),"CS2334")</f>
        <v>CS2334</v>
      </c>
      <c r="C1948" s="186" t="str">
        <f>IFERROR(__xludf.DUMMYFUNCTION("""COMPUTED_VALUE"""),"CARTAO ANIVERSARIO HAPPY BIRTHDAY TO YOU")</f>
        <v>CARTAO ANIVERSARIO HAPPY BIRTHDAY TO YOU</v>
      </c>
      <c r="D1948" s="186" t="str">
        <f>IFERROR(__xludf.DUMMYFUNCTION("""COMPUTED_VALUE"""),"FALSO")</f>
        <v>FALSO</v>
      </c>
    </row>
    <row r="1949">
      <c r="B1949" s="186" t="str">
        <f>IFERROR(__xludf.DUMMYFUNCTION("""COMPUTED_VALUE"""),"CS2345")</f>
        <v>CS2345</v>
      </c>
      <c r="C1949" s="186" t="str">
        <f>IFERROR(__xludf.DUMMYFUNCTION("""COMPUTED_VALUE"""),"CARTAO ANIVERSARIO MELHORAM COM O TEMPO")</f>
        <v>CARTAO ANIVERSARIO MELHORAM COM O TEMPO</v>
      </c>
      <c r="D1949" s="186" t="str">
        <f>IFERROR(__xludf.DUMMYFUNCTION("""COMPUTED_VALUE"""),"FALSO")</f>
        <v>FALSO</v>
      </c>
    </row>
    <row r="1950">
      <c r="B1950" s="186" t="str">
        <f>IFERROR(__xludf.DUMMYFUNCTION("""COMPUTED_VALUE"""),"CS2345")</f>
        <v>CS2345</v>
      </c>
      <c r="C1950" s="186" t="str">
        <f>IFERROR(__xludf.DUMMYFUNCTION("""COMPUTED_VALUE"""),"CARTAO ANIVERSARIO MELHORAM COM O TEMPO")</f>
        <v>CARTAO ANIVERSARIO MELHORAM COM O TEMPO</v>
      </c>
      <c r="D1950" s="186" t="str">
        <f>IFERROR(__xludf.DUMMYFUNCTION("""COMPUTED_VALUE"""),"FALSO")</f>
        <v>FALSO</v>
      </c>
    </row>
    <row r="1951">
      <c r="B1951" s="186" t="str">
        <f>IFERROR(__xludf.DUMMYFUNCTION("""COMPUTED_VALUE"""),"CS2345")</f>
        <v>CS2345</v>
      </c>
      <c r="C1951" s="186" t="str">
        <f>IFERROR(__xludf.DUMMYFUNCTION("""COMPUTED_VALUE"""),"CARTAO ANIVERSARIO MELHORAM COM O TEMPO")</f>
        <v>CARTAO ANIVERSARIO MELHORAM COM O TEMPO</v>
      </c>
      <c r="D1951" s="186" t="str">
        <f>IFERROR(__xludf.DUMMYFUNCTION("""COMPUTED_VALUE"""),"FALSO")</f>
        <v>FALSO</v>
      </c>
    </row>
    <row r="1952">
      <c r="B1952" s="186" t="str">
        <f>IFERROR(__xludf.DUMMYFUNCTION("""COMPUTED_VALUE"""),"CS2333")</f>
        <v>CS2333</v>
      </c>
      <c r="C1952" s="186" t="str">
        <f>IFERROR(__xludf.DUMMYFUNCTION("""COMPUTED_VALUE"""),"CARTAO ANIVERSARIO PARABENS")</f>
        <v>CARTAO ANIVERSARIO PARABENS</v>
      </c>
      <c r="D1952" s="186" t="str">
        <f>IFERROR(__xludf.DUMMYFUNCTION("""COMPUTED_VALUE"""),"FALSO")</f>
        <v>FALSO</v>
      </c>
    </row>
    <row r="1953">
      <c r="B1953" s="186" t="str">
        <f>IFERROR(__xludf.DUMMYFUNCTION("""COMPUTED_VALUE"""),"CS2333")</f>
        <v>CS2333</v>
      </c>
      <c r="C1953" s="186" t="str">
        <f>IFERROR(__xludf.DUMMYFUNCTION("""COMPUTED_VALUE"""),"CARTAO ANIVERSARIO PARABENS")</f>
        <v>CARTAO ANIVERSARIO PARABENS</v>
      </c>
      <c r="D1953" s="186" t="str">
        <f>IFERROR(__xludf.DUMMYFUNCTION("""COMPUTED_VALUE"""),"FALSO")</f>
        <v>FALSO</v>
      </c>
    </row>
    <row r="1954">
      <c r="B1954" s="186" t="str">
        <f>IFERROR(__xludf.DUMMYFUNCTION("""COMPUTED_VALUE"""),"CS2333")</f>
        <v>CS2333</v>
      </c>
      <c r="C1954" s="186" t="str">
        <f>IFERROR(__xludf.DUMMYFUNCTION("""COMPUTED_VALUE"""),"CARTAO ANIVERSARIO PARABENS")</f>
        <v>CARTAO ANIVERSARIO PARABENS</v>
      </c>
      <c r="D1954" s="186" t="str">
        <f>IFERROR(__xludf.DUMMYFUNCTION("""COMPUTED_VALUE"""),"FALSO")</f>
        <v>FALSO</v>
      </c>
    </row>
    <row r="1955">
      <c r="B1955" s="186" t="str">
        <f>IFERROR(__xludf.DUMMYFUNCTION("""COMPUTED_VALUE"""),"CS2361")</f>
        <v>CS2361</v>
      </c>
      <c r="C1955" s="186" t="str">
        <f>IFERROR(__xludf.DUMMYFUNCTION("""COMPUTED_VALUE"""),"CARTAO ANIVERSARIO VELAS")</f>
        <v>CARTAO ANIVERSARIO VELAS</v>
      </c>
      <c r="D1955" s="186" t="str">
        <f>IFERROR(__xludf.DUMMYFUNCTION("""COMPUTED_VALUE"""),"FALSO")</f>
        <v>FALSO</v>
      </c>
    </row>
    <row r="1956">
      <c r="B1956" s="186" t="str">
        <f>IFERROR(__xludf.DUMMYFUNCTION("""COMPUTED_VALUE"""),"CS2289")</f>
        <v>CS2289</v>
      </c>
      <c r="C1956" s="186" t="str">
        <f>IFERROR(__xludf.DUMMYFUNCTION("""COMPUTED_VALUE"""),"CARTAO AS VEZES O CUPIDO ACERTA")</f>
        <v>CARTAO AS VEZES O CUPIDO ACERTA</v>
      </c>
      <c r="D1956" s="186" t="str">
        <f>IFERROR(__xludf.DUMMYFUNCTION("""COMPUTED_VALUE"""),"FALSO")</f>
        <v>FALSO</v>
      </c>
    </row>
    <row r="1957">
      <c r="B1957" s="186" t="str">
        <f>IFERROR(__xludf.DUMMYFUNCTION("""COMPUTED_VALUE"""),"CS2289")</f>
        <v>CS2289</v>
      </c>
      <c r="C1957" s="186" t="str">
        <f>IFERROR(__xludf.DUMMYFUNCTION("""COMPUTED_VALUE"""),"CARTAO AS VEZES O CUPIDO ACERTA")</f>
        <v>CARTAO AS VEZES O CUPIDO ACERTA</v>
      </c>
      <c r="D1957" s="186" t="str">
        <f>IFERROR(__xludf.DUMMYFUNCTION("""COMPUTED_VALUE"""),"FALSO")</f>
        <v>FALSO</v>
      </c>
    </row>
    <row r="1958">
      <c r="B1958" s="186" t="str">
        <f>IFERROR(__xludf.DUMMYFUNCTION("""COMPUTED_VALUE"""),"CS2289")</f>
        <v>CS2289</v>
      </c>
      <c r="C1958" s="186" t="str">
        <f>IFERROR(__xludf.DUMMYFUNCTION("""COMPUTED_VALUE"""),"CARTAO AS VEZES O CUPIDO ACERTA")</f>
        <v>CARTAO AS VEZES O CUPIDO ACERTA</v>
      </c>
      <c r="D1958" s="186" t="str">
        <f>IFERROR(__xludf.DUMMYFUNCTION("""COMPUTED_VALUE"""),"FALSO")</f>
        <v>FALSO</v>
      </c>
    </row>
    <row r="1959">
      <c r="B1959" s="186" t="str">
        <f>IFERROR(__xludf.DUMMYFUNCTION("""COMPUTED_VALUE"""),"CS2344")</f>
        <v>CS2344</v>
      </c>
      <c r="C1959" s="186" t="str">
        <f>IFERROR(__xludf.DUMMYFUNCTION("""COMPUTED_VALUE"""),"CARTAO AVO A MELHOR")</f>
        <v>CARTAO AVO A MELHOR</v>
      </c>
      <c r="D1959" s="186" t="str">
        <f>IFERROR(__xludf.DUMMYFUNCTION("""COMPUTED_VALUE"""),"FALSO")</f>
        <v>FALSO</v>
      </c>
    </row>
    <row r="1960">
      <c r="B1960" s="186" t="str">
        <f>IFERROR(__xludf.DUMMYFUNCTION("""COMPUTED_VALUE"""),"CS2197")</f>
        <v>CS2197</v>
      </c>
      <c r="C1960" s="186" t="str">
        <f>IFERROR(__xludf.DUMMYFUNCTION("""COMPUTED_VALUE"""),"CARTAO AVO SOL")</f>
        <v>CARTAO AVO SOL</v>
      </c>
      <c r="D1960" s="186" t="str">
        <f>IFERROR(__xludf.DUMMYFUNCTION("""COMPUTED_VALUE"""),"FALSO")</f>
        <v>FALSO</v>
      </c>
    </row>
    <row r="1961">
      <c r="B1961" s="186" t="str">
        <f>IFERROR(__xludf.DUMMYFUNCTION("""COMPUTED_VALUE"""),"CS2179")</f>
        <v>CS2179</v>
      </c>
      <c r="C1961" s="186" t="str">
        <f>IFERROR(__xludf.DUMMYFUNCTION("""COMPUTED_VALUE"""),"CARTAO BOLETO RECEBIDOS DO DIA")</f>
        <v>CARTAO BOLETO RECEBIDOS DO DIA</v>
      </c>
      <c r="D1961" s="186" t="str">
        <f>IFERROR(__xludf.DUMMYFUNCTION("""COMPUTED_VALUE"""),"FALSO")</f>
        <v>FALSO</v>
      </c>
    </row>
    <row r="1962">
      <c r="B1962" s="186" t="str">
        <f>IFERROR(__xludf.DUMMYFUNCTION("""COMPUTED_VALUE"""),"CS2088")</f>
        <v>CS2088</v>
      </c>
      <c r="C1962" s="186" t="str">
        <f>IFERROR(__xludf.DUMMYFUNCTION("""COMPUTED_VALUE"""),"CARTAO DE ANIVERSARIO SOL ANO BRILHANTE")</f>
        <v>CARTAO DE ANIVERSARIO SOL ANO BRILHANTE</v>
      </c>
      <c r="D1962" s="186" t="str">
        <f>IFERROR(__xludf.DUMMYFUNCTION("""COMPUTED_VALUE"""),"FALSO")</f>
        <v>FALSO</v>
      </c>
    </row>
    <row r="1963">
      <c r="B1963" s="186" t="str">
        <f>IFERROR(__xludf.DUMMYFUNCTION("""COMPUTED_VALUE"""),"CS2164")</f>
        <v>CS2164</v>
      </c>
      <c r="C1963" s="186" t="str">
        <f>IFERROR(__xludf.DUMMYFUNCTION("""COMPUTED_VALUE"""),"CARTAO DE ANIVERSARIO VINHO")</f>
        <v>CARTAO DE ANIVERSARIO VINHO</v>
      </c>
      <c r="D1963" s="186" t="str">
        <f>IFERROR(__xludf.DUMMYFUNCTION("""COMPUTED_VALUE"""),"FALSO")</f>
        <v>FALSO</v>
      </c>
    </row>
    <row r="1964">
      <c r="B1964" s="186" t="str">
        <f>IFERROR(__xludf.DUMMYFUNCTION("""COMPUTED_VALUE"""),"CS2167")</f>
        <v>CS2167</v>
      </c>
      <c r="C1964" s="186" t="str">
        <f>IFERROR(__xludf.DUMMYFUNCTION("""COMPUTED_VALUE"""),"CARTAO DE NATAL ARVORE GRANDES DESEJOS")</f>
        <v>CARTAO DE NATAL ARVORE GRANDES DESEJOS</v>
      </c>
      <c r="D1964" s="186" t="str">
        <f>IFERROR(__xludf.DUMMYFUNCTION("""COMPUTED_VALUE"""),"FALSO")</f>
        <v>FALSO</v>
      </c>
    </row>
    <row r="1965">
      <c r="B1965" s="186" t="str">
        <f>IFERROR(__xludf.DUMMYFUNCTION("""COMPUTED_VALUE"""),"CS2168")</f>
        <v>CS2168</v>
      </c>
      <c r="C1965" s="186" t="str">
        <f>IFERROR(__xludf.DUMMYFUNCTION("""COMPUTED_VALUE"""),"CARTAO DE NATAL SACO CHEIO DE PRESENTES")</f>
        <v>CARTAO DE NATAL SACO CHEIO DE PRESENTES</v>
      </c>
      <c r="D1965" s="186" t="str">
        <f>IFERROR(__xludf.DUMMYFUNCTION("""COMPUTED_VALUE"""),"FALSO")</f>
        <v>FALSO</v>
      </c>
    </row>
    <row r="1966">
      <c r="B1966" s="186" t="str">
        <f>IFERROR(__xludf.DUMMYFUNCTION("""COMPUTED_VALUE"""),"CS2038")</f>
        <v>CS2038</v>
      </c>
      <c r="C1966" s="186" t="str">
        <f>IFERROR(__xludf.DUMMYFUNCTION("""COMPUTED_VALUE"""),"CARTAO DE NATAL UVA PASSA")</f>
        <v>CARTAO DE NATAL UVA PASSA</v>
      </c>
      <c r="D1966" s="186" t="str">
        <f>IFERROR(__xludf.DUMMYFUNCTION("""COMPUTED_VALUE"""),"FALSO")</f>
        <v>FALSO</v>
      </c>
    </row>
    <row r="1967">
      <c r="B1967" s="186" t="str">
        <f>IFERROR(__xludf.DUMMYFUNCTION("""COMPUTED_VALUE"""),"CS2180")</f>
        <v>CS2180</v>
      </c>
      <c r="C1967" s="186" t="str">
        <f>IFERROR(__xludf.DUMMYFUNCTION("""COMPUTED_VALUE"""),"CARTAO FAZ MUITA FALTA")</f>
        <v>CARTAO FAZ MUITA FALTA</v>
      </c>
      <c r="D1967" s="186" t="str">
        <f>IFERROR(__xludf.DUMMYFUNCTION("""COMPUTED_VALUE"""),"FALSO")</f>
        <v>FALSO</v>
      </c>
    </row>
    <row r="1968">
      <c r="B1968" s="186" t="str">
        <f>IFERROR(__xludf.DUMMYFUNCTION("""COMPUTED_VALUE"""),"CS2215")</f>
        <v>CS2215</v>
      </c>
      <c r="C1968" s="186" t="str">
        <f>IFERROR(__xludf.DUMMYFUNCTION("""COMPUTED_VALUE"""),"CARTAO FELIPE MOROZINI EU SABIA")</f>
        <v>CARTAO FELIPE MOROZINI EU SABIA</v>
      </c>
      <c r="D1968" s="186" t="str">
        <f>IFERROR(__xludf.DUMMYFUNCTION("""COMPUTED_VALUE"""),"FALSO")</f>
        <v>FALSO</v>
      </c>
    </row>
    <row r="1969">
      <c r="B1969" s="186" t="str">
        <f>IFERROR(__xludf.DUMMYFUNCTION("""COMPUTED_VALUE"""),"CS2335")</f>
        <v>CS2335</v>
      </c>
      <c r="C1969" s="186" t="str">
        <f>IFERROR(__xludf.DUMMYFUNCTION("""COMPUTED_VALUE"""),"CARTAO FELIZ ANIVERSARIO")</f>
        <v>CARTAO FELIZ ANIVERSARIO</v>
      </c>
      <c r="D1969" s="186" t="str">
        <f>IFERROR(__xludf.DUMMYFUNCTION("""COMPUTED_VALUE"""),"FALSO")</f>
        <v>FALSO</v>
      </c>
    </row>
    <row r="1970">
      <c r="B1970" s="186" t="str">
        <f>IFERROR(__xludf.DUMMYFUNCTION("""COMPUTED_VALUE"""),"CS2335")</f>
        <v>CS2335</v>
      </c>
      <c r="C1970" s="186" t="str">
        <f>IFERROR(__xludf.DUMMYFUNCTION("""COMPUTED_VALUE"""),"CARTAO FELIZ ANIVERSARIO")</f>
        <v>CARTAO FELIZ ANIVERSARIO</v>
      </c>
      <c r="D1970" s="186" t="str">
        <f>IFERROR(__xludf.DUMMYFUNCTION("""COMPUTED_VALUE"""),"FALSO")</f>
        <v>FALSO</v>
      </c>
    </row>
    <row r="1971">
      <c r="B1971" s="186" t="str">
        <f>IFERROR(__xludf.DUMMYFUNCTION("""COMPUTED_VALUE"""),"CS2335")</f>
        <v>CS2335</v>
      </c>
      <c r="C1971" s="186" t="str">
        <f>IFERROR(__xludf.DUMMYFUNCTION("""COMPUTED_VALUE"""),"CARTAO FELIZ ANIVERSARIO")</f>
        <v>CARTAO FELIZ ANIVERSARIO</v>
      </c>
      <c r="D1971" s="186" t="str">
        <f>IFERROR(__xludf.DUMMYFUNCTION("""COMPUTED_VALUE"""),"FALSO")</f>
        <v>FALSO</v>
      </c>
    </row>
    <row r="1972">
      <c r="B1972" s="186" t="str">
        <f>IFERROR(__xludf.DUMMYFUNCTION("""COMPUTED_VALUE"""),"CS2357")</f>
        <v>CS2357</v>
      </c>
      <c r="C1972" s="186" t="str">
        <f>IFERROR(__xludf.DUMMYFUNCTION("""COMPUTED_VALUE"""),"CARTAO FORMATURA MAIS QUE SUA OBRIGACAO")</f>
        <v>CARTAO FORMATURA MAIS QUE SUA OBRIGACAO</v>
      </c>
      <c r="D1972" s="186" t="str">
        <f>IFERROR(__xludf.DUMMYFUNCTION("""COMPUTED_VALUE"""),"FALSO")</f>
        <v>FALSO</v>
      </c>
    </row>
    <row r="1973">
      <c r="B1973" s="186" t="str">
        <f>IFERROR(__xludf.DUMMYFUNCTION("""COMPUTED_VALUE"""),"CS2357")</f>
        <v>CS2357</v>
      </c>
      <c r="C1973" s="186" t="str">
        <f>IFERROR(__xludf.DUMMYFUNCTION("""COMPUTED_VALUE"""),"CARTAO FORMATURA MAIS QUE SUA OBRIGACAO")</f>
        <v>CARTAO FORMATURA MAIS QUE SUA OBRIGACAO</v>
      </c>
      <c r="D1973" s="186" t="str">
        <f>IFERROR(__xludf.DUMMYFUNCTION("""COMPUTED_VALUE"""),"FALSO")</f>
        <v>FALSO</v>
      </c>
    </row>
    <row r="1974">
      <c r="B1974" s="186" t="str">
        <f>IFERROR(__xludf.DUMMYFUNCTION("""COMPUTED_VALUE"""),"CS2356")</f>
        <v>CS2356</v>
      </c>
      <c r="C1974" s="186" t="str">
        <f>IFERROR(__xludf.DUMMYFUNCTION("""COMPUTED_VALUE"""),"CARTAO FORMATURA PARABENS")</f>
        <v>CARTAO FORMATURA PARABENS</v>
      </c>
      <c r="D1974" s="186" t="str">
        <f>IFERROR(__xludf.DUMMYFUNCTION("""COMPUTED_VALUE"""),"FALSO")</f>
        <v>FALSO</v>
      </c>
    </row>
    <row r="1975">
      <c r="B1975" s="186" t="str">
        <f>IFERROR(__xludf.DUMMYFUNCTION("""COMPUTED_VALUE"""),"CS2078")</f>
        <v>CS2078</v>
      </c>
      <c r="C1975" s="186" t="str">
        <f>IFERROR(__xludf.DUMMYFUNCTION("""COMPUTED_VALUE"""),"CARTAO FOSFORO NOSSA CHAMA")</f>
        <v>CARTAO FOSFORO NOSSA CHAMA</v>
      </c>
      <c r="D1975" s="186" t="str">
        <f>IFERROR(__xludf.DUMMYFUNCTION("""COMPUTED_VALUE"""),"FALSO")</f>
        <v>FALSO</v>
      </c>
    </row>
    <row r="1976">
      <c r="B1976" s="186" t="str">
        <f>IFERROR(__xludf.DUMMYFUNCTION("""COMPUTED_VALUE"""),"CS2442")</f>
        <v>CS2442</v>
      </c>
      <c r="C1976" s="186" t="str">
        <f>IFERROR(__xludf.DUMMYFUNCTION("""COMPUTED_VALUE"""),"CARTAO FUN ALGO PARA REVELAR")</f>
        <v>CARTAO FUN ALGO PARA REVELAR</v>
      </c>
      <c r="D1976" s="186" t="str">
        <f>IFERROR(__xludf.DUMMYFUNCTION("""COMPUTED_VALUE"""),"FALSO")</f>
        <v>FALSO</v>
      </c>
    </row>
    <row r="1977">
      <c r="B1977" s="186" t="str">
        <f>IFERROR(__xludf.DUMMYFUNCTION("""COMPUTED_VALUE"""),"CS2007")</f>
        <v>CS2007</v>
      </c>
      <c r="C1977" s="186" t="str">
        <f>IFERROR(__xludf.DUMMYFUNCTION("""COMPUTED_VALUE"""),"CARTAO HARRY POTTER VIRA TEMPO")</f>
        <v>CARTAO HARRY POTTER VIRA TEMPO</v>
      </c>
      <c r="D1977" s="186" t="str">
        <f>IFERROR(__xludf.DUMMYFUNCTION("""COMPUTED_VALUE"""),"FALSO")</f>
        <v>FALSO</v>
      </c>
    </row>
    <row r="1978">
      <c r="B1978" s="186" t="str">
        <f>IFERROR(__xludf.DUMMYFUNCTION("""COMPUTED_VALUE"""),"CS2381")</f>
        <v>CS2381</v>
      </c>
      <c r="C1978" s="186" t="str">
        <f>IFERROR(__xludf.DUMMYFUNCTION("""COMPUTED_VALUE"""),"CARTAO HP ANIVERSARIO VOCE E UM BRUXO")</f>
        <v>CARTAO HP ANIVERSARIO VOCE E UM BRUXO</v>
      </c>
      <c r="D1978" s="186" t="str">
        <f>IFERROR(__xludf.DUMMYFUNCTION("""COMPUTED_VALUE"""),"FALSO")</f>
        <v>FALSO</v>
      </c>
    </row>
    <row r="1979">
      <c r="B1979" s="186" t="str">
        <f>IFERROR(__xludf.DUMMYFUNCTION("""COMPUTED_VALUE"""),"CS2381")</f>
        <v>CS2381</v>
      </c>
      <c r="C1979" s="186" t="str">
        <f>IFERROR(__xludf.DUMMYFUNCTION("""COMPUTED_VALUE"""),"CARTAO HP ANIVERSARIO VOCE E UM BRUXO")</f>
        <v>CARTAO HP ANIVERSARIO VOCE E UM BRUXO</v>
      </c>
      <c r="D1979" s="186" t="str">
        <f>IFERROR(__xludf.DUMMYFUNCTION("""COMPUTED_VALUE"""),"FALSO")</f>
        <v>FALSO</v>
      </c>
    </row>
    <row r="1980">
      <c r="B1980" s="186" t="str">
        <f>IFERROR(__xludf.DUMMYFUNCTION("""COMPUTED_VALUE"""),"CS2475")</f>
        <v>CS2475</v>
      </c>
      <c r="C1980" s="186" t="str">
        <f>IFERROR(__xludf.DUMMYFUNCTION("""COMPUTED_VALUE"""),"CARTAO HP MANDRAGORA")</f>
        <v>CARTAO HP MANDRAGORA</v>
      </c>
      <c r="D1980" s="186" t="str">
        <f>IFERROR(__xludf.DUMMYFUNCTION("""COMPUTED_VALUE"""),"FALSO")</f>
        <v>FALSO</v>
      </c>
    </row>
    <row r="1981">
      <c r="B1981" s="186" t="str">
        <f>IFERROR(__xludf.DUMMYFUNCTION("""COMPUTED_VALUE"""),"CS2090")</f>
        <v>CS2090</v>
      </c>
      <c r="C1981" s="186" t="str">
        <f>IFERROR(__xludf.DUMMYFUNCTION("""COMPUTED_VALUE"""),"CARTAO HP POMO DE OURO")</f>
        <v>CARTAO HP POMO DE OURO</v>
      </c>
      <c r="D1981" s="186" t="str">
        <f>IFERROR(__xludf.DUMMYFUNCTION("""COMPUTED_VALUE"""),"FALSO")</f>
        <v>FALSO</v>
      </c>
    </row>
    <row r="1982">
      <c r="B1982" s="186" t="str">
        <f>IFERROR(__xludf.DUMMYFUNCTION("""COMPUTED_VALUE"""),"CS2090")</f>
        <v>CS2090</v>
      </c>
      <c r="C1982" s="186" t="str">
        <f>IFERROR(__xludf.DUMMYFUNCTION("""COMPUTED_VALUE"""),"CARTAO HP POMO DE OURO")</f>
        <v>CARTAO HP POMO DE OURO</v>
      </c>
      <c r="D1982" s="186" t="str">
        <f>IFERROR(__xludf.DUMMYFUNCTION("""COMPUTED_VALUE"""),"FALSO")</f>
        <v>FALSO</v>
      </c>
    </row>
    <row r="1983">
      <c r="B1983" s="186" t="str">
        <f>IFERROR(__xludf.DUMMYFUNCTION("""COMPUTED_VALUE"""),"CS2499")</f>
        <v>CS2499</v>
      </c>
      <c r="C1983" s="186" t="str">
        <f>IFERROR(__xludf.DUMMYFUNCTION("""COMPUTED_VALUE"""),"CARTAO MAE FAVORITA")</f>
        <v>CARTAO MAE FAVORITA</v>
      </c>
      <c r="D1983" s="186" t="str">
        <f>IFERROR(__xludf.DUMMYFUNCTION("""COMPUTED_VALUE"""),"FALSO")</f>
        <v>FALSO</v>
      </c>
    </row>
    <row r="1984">
      <c r="B1984" s="186" t="str">
        <f>IFERROR(__xludf.DUMMYFUNCTION("""COMPUTED_VALUE"""),"CS2343")</f>
        <v>CS2343</v>
      </c>
      <c r="C1984" s="186" t="str">
        <f>IFERROR(__xludf.DUMMYFUNCTION("""COMPUTED_VALUE"""),"CARTAO MAE FELIZ DIA")</f>
        <v>CARTAO MAE FELIZ DIA</v>
      </c>
      <c r="D1984" s="186" t="str">
        <f>IFERROR(__xludf.DUMMYFUNCTION("""COMPUTED_VALUE"""),"FALSO")</f>
        <v>FALSO</v>
      </c>
    </row>
    <row r="1985">
      <c r="B1985" s="186" t="str">
        <f>IFERROR(__xludf.DUMMYFUNCTION("""COMPUTED_VALUE"""),"CS2196")</f>
        <v>CS2196</v>
      </c>
      <c r="C1985" s="186" t="str">
        <f>IFERROR(__xludf.DUMMYFUNCTION("""COMPUTED_VALUE"""),"CARTAO MAE SOL")</f>
        <v>CARTAO MAE SOL</v>
      </c>
      <c r="D1985" s="186" t="str">
        <f>IFERROR(__xludf.DUMMYFUNCTION("""COMPUTED_VALUE"""),"FALSO")</f>
        <v>FALSO</v>
      </c>
    </row>
    <row r="1986">
      <c r="B1986" s="186" t="str">
        <f>IFERROR(__xludf.DUMMYFUNCTION("""COMPUTED_VALUE"""),"CS2342")</f>
        <v>CS2342</v>
      </c>
      <c r="C1986" s="186" t="str">
        <f>IFERROR(__xludf.DUMMYFUNCTION("""COMPUTED_VALUE"""),"CARTAO MAE VOCE NAO E TODO MUNDO")</f>
        <v>CARTAO MAE VOCE NAO E TODO MUNDO</v>
      </c>
      <c r="D1986" s="186" t="str">
        <f>IFERROR(__xludf.DUMMYFUNCTION("""COMPUTED_VALUE"""),"FALSO")</f>
        <v>FALSO</v>
      </c>
    </row>
    <row r="1987">
      <c r="B1987" s="186" t="str">
        <f>IFERROR(__xludf.DUMMYFUNCTION("""COMPUTED_VALUE"""),"CS2079")</f>
        <v>CS2079</v>
      </c>
      <c r="C1987" s="186" t="str">
        <f>IFERROR(__xludf.DUMMYFUNCTION("""COMPUTED_VALUE"""),"CARTAO MEDALHA PAI VALE OURO")</f>
        <v>CARTAO MEDALHA PAI VALE OURO</v>
      </c>
      <c r="D1987" s="186" t="str">
        <f>IFERROR(__xludf.DUMMYFUNCTION("""COMPUTED_VALUE"""),"FALSO")</f>
        <v>FALSO</v>
      </c>
    </row>
    <row r="1988">
      <c r="B1988" s="186" t="str">
        <f>IFERROR(__xludf.DUMMYFUNCTION("""COMPUTED_VALUE"""),"CS2079")</f>
        <v>CS2079</v>
      </c>
      <c r="C1988" s="186" t="str">
        <f>IFERROR(__xludf.DUMMYFUNCTION("""COMPUTED_VALUE"""),"CARTAO MEDALHA PAI VALE OURO")</f>
        <v>CARTAO MEDALHA PAI VALE OURO</v>
      </c>
      <c r="D1988" s="186" t="str">
        <f>IFERROR(__xludf.DUMMYFUNCTION("""COMPUTED_VALUE"""),"FALSO")</f>
        <v>FALSO</v>
      </c>
    </row>
    <row r="1989">
      <c r="B1989" s="186" t="str">
        <f>IFERROR(__xludf.DUMMYFUNCTION("""COMPUTED_VALUE"""),"CS2341")</f>
        <v>CS2341</v>
      </c>
      <c r="C1989" s="186" t="str">
        <f>IFERROR(__xludf.DUMMYFUNCTION("""COMPUTED_VALUE"""),"CARTAO NAMORADOS ESCRITO NAS ESTRELAS")</f>
        <v>CARTAO NAMORADOS ESCRITO NAS ESTRELAS</v>
      </c>
      <c r="D1989" s="186" t="str">
        <f>IFERROR(__xludf.DUMMYFUNCTION("""COMPUTED_VALUE"""),"FALSO")</f>
        <v>FALSO</v>
      </c>
    </row>
    <row r="1990">
      <c r="B1990" s="186" t="str">
        <f>IFERROR(__xludf.DUMMYFUNCTION("""COMPUTED_VALUE"""),"CS2341")</f>
        <v>CS2341</v>
      </c>
      <c r="C1990" s="186" t="str">
        <f>IFERROR(__xludf.DUMMYFUNCTION("""COMPUTED_VALUE"""),"CARTAO NAMORADOS ESCRITO NAS ESTRELAS")</f>
        <v>CARTAO NAMORADOS ESCRITO NAS ESTRELAS</v>
      </c>
      <c r="D1990" s="186" t="str">
        <f>IFERROR(__xludf.DUMMYFUNCTION("""COMPUTED_VALUE"""),"FALSO")</f>
        <v>FALSO</v>
      </c>
    </row>
    <row r="1991">
      <c r="B1991" s="186" t="str">
        <f>IFERROR(__xludf.DUMMYFUNCTION("""COMPUTED_VALUE"""),"CS2341")</f>
        <v>CS2341</v>
      </c>
      <c r="C1991" s="186" t="str">
        <f>IFERROR(__xludf.DUMMYFUNCTION("""COMPUTED_VALUE"""),"CARTAO NAMORADOS ESCRITO NAS ESTRELAS")</f>
        <v>CARTAO NAMORADOS ESCRITO NAS ESTRELAS</v>
      </c>
      <c r="D1991" s="186" t="str">
        <f>IFERROR(__xludf.DUMMYFUNCTION("""COMPUTED_VALUE"""),"FALSO")</f>
        <v>FALSO</v>
      </c>
    </row>
    <row r="1992">
      <c r="B1992" s="186" t="str">
        <f>IFERROR(__xludf.DUMMYFUNCTION("""COMPUTED_VALUE"""),"CS2337")</f>
        <v>CS2337</v>
      </c>
      <c r="C1992" s="186" t="str">
        <f>IFERROR(__xludf.DUMMYFUNCTION("""COMPUTED_VALUE"""),"CARTAO NAMORADOS I LOVE YOU")</f>
        <v>CARTAO NAMORADOS I LOVE YOU</v>
      </c>
      <c r="D1992" s="186" t="str">
        <f>IFERROR(__xludf.DUMMYFUNCTION("""COMPUTED_VALUE"""),"FALSO")</f>
        <v>FALSO</v>
      </c>
    </row>
    <row r="1993">
      <c r="B1993" s="186" t="str">
        <f>IFERROR(__xludf.DUMMYFUNCTION("""COMPUTED_VALUE"""),"CS2337")</f>
        <v>CS2337</v>
      </c>
      <c r="C1993" s="186" t="str">
        <f>IFERROR(__xludf.DUMMYFUNCTION("""COMPUTED_VALUE"""),"CARTAO NAMORADOS I LOVE YOU")</f>
        <v>CARTAO NAMORADOS I LOVE YOU</v>
      </c>
      <c r="D1993" s="186" t="str">
        <f>IFERROR(__xludf.DUMMYFUNCTION("""COMPUTED_VALUE"""),"FALSO")</f>
        <v>FALSO</v>
      </c>
    </row>
    <row r="1994">
      <c r="B1994" s="186" t="str">
        <f>IFERROR(__xludf.DUMMYFUNCTION("""COMPUTED_VALUE"""),"CS2337")</f>
        <v>CS2337</v>
      </c>
      <c r="C1994" s="186" t="str">
        <f>IFERROR(__xludf.DUMMYFUNCTION("""COMPUTED_VALUE"""),"CARTAO NAMORADOS I LOVE YOU")</f>
        <v>CARTAO NAMORADOS I LOVE YOU</v>
      </c>
      <c r="D1994" s="186" t="str">
        <f>IFERROR(__xludf.DUMMYFUNCTION("""COMPUTED_VALUE"""),"FALSO")</f>
        <v>FALSO</v>
      </c>
    </row>
    <row r="1995">
      <c r="B1995" s="186" t="str">
        <f>IFERROR(__xludf.DUMMYFUNCTION("""COMPUTED_VALUE"""),"CS2340")</f>
        <v>CS2340</v>
      </c>
      <c r="C1995" s="186" t="str">
        <f>IFERROR(__xludf.DUMMYFUNCTION("""COMPUTED_VALUE"""),"CARTAO NAMORADOS MAIS QUE BATATA FRITA")</f>
        <v>CARTAO NAMORADOS MAIS QUE BATATA FRITA</v>
      </c>
      <c r="D1995" s="186" t="str">
        <f>IFERROR(__xludf.DUMMYFUNCTION("""COMPUTED_VALUE"""),"FALSO")</f>
        <v>FALSO</v>
      </c>
    </row>
    <row r="1996">
      <c r="B1996" s="186" t="str">
        <f>IFERROR(__xludf.DUMMYFUNCTION("""COMPUTED_VALUE"""),"CS2340")</f>
        <v>CS2340</v>
      </c>
      <c r="C1996" s="186" t="str">
        <f>IFERROR(__xludf.DUMMYFUNCTION("""COMPUTED_VALUE"""),"CARTAO NAMORADOS MAIS QUE BATATA FRITA")</f>
        <v>CARTAO NAMORADOS MAIS QUE BATATA FRITA</v>
      </c>
      <c r="D1996" s="186" t="str">
        <f>IFERROR(__xludf.DUMMYFUNCTION("""COMPUTED_VALUE"""),"FALSO")</f>
        <v>FALSO</v>
      </c>
    </row>
    <row r="1997">
      <c r="B1997" s="186" t="str">
        <f>IFERROR(__xludf.DUMMYFUNCTION("""COMPUTED_VALUE"""),"CS2340")</f>
        <v>CS2340</v>
      </c>
      <c r="C1997" s="186" t="str">
        <f>IFERROR(__xludf.DUMMYFUNCTION("""COMPUTED_VALUE"""),"CARTAO NAMORADOS MAIS QUE BATATA FRITA")</f>
        <v>CARTAO NAMORADOS MAIS QUE BATATA FRITA</v>
      </c>
      <c r="D1997" s="186" t="str">
        <f>IFERROR(__xludf.DUMMYFUNCTION("""COMPUTED_VALUE"""),"FALSO")</f>
        <v>FALSO</v>
      </c>
    </row>
    <row r="1998">
      <c r="B1998" s="186" t="str">
        <f>IFERROR(__xludf.DUMMYFUNCTION("""COMPUTED_VALUE"""),"CS2338")</f>
        <v>CS2338</v>
      </c>
      <c r="C1998" s="186" t="str">
        <f>IFERROR(__xludf.DUMMYFUNCTION("""COMPUTED_VALUE"""),"CARTAO NAMORADOS MENSAGEM ESPECIAL")</f>
        <v>CARTAO NAMORADOS MENSAGEM ESPECIAL</v>
      </c>
      <c r="D1998" s="186" t="str">
        <f>IFERROR(__xludf.DUMMYFUNCTION("""COMPUTED_VALUE"""),"FALSO")</f>
        <v>FALSO</v>
      </c>
    </row>
    <row r="1999">
      <c r="B1999" s="186" t="str">
        <f>IFERROR(__xludf.DUMMYFUNCTION("""COMPUTED_VALUE"""),"CS2338")</f>
        <v>CS2338</v>
      </c>
      <c r="C1999" s="186" t="str">
        <f>IFERROR(__xludf.DUMMYFUNCTION("""COMPUTED_VALUE"""),"CARTAO NAMORADOS MENSAGEM ESPECIAL")</f>
        <v>CARTAO NAMORADOS MENSAGEM ESPECIAL</v>
      </c>
      <c r="D1999" s="186" t="str">
        <f>IFERROR(__xludf.DUMMYFUNCTION("""COMPUTED_VALUE"""),"FALSO")</f>
        <v>FALSO</v>
      </c>
    </row>
    <row r="2000">
      <c r="B2000" s="186" t="str">
        <f>IFERROR(__xludf.DUMMYFUNCTION("""COMPUTED_VALUE"""),"CS2338")</f>
        <v>CS2338</v>
      </c>
      <c r="C2000" s="186" t="str">
        <f>IFERROR(__xludf.DUMMYFUNCTION("""COMPUTED_VALUE"""),"CARTAO NAMORADOS MENSAGEM ESPECIAL")</f>
        <v>CARTAO NAMORADOS MENSAGEM ESPECIAL</v>
      </c>
      <c r="D2000" s="186" t="str">
        <f>IFERROR(__xludf.DUMMYFUNCTION("""COMPUTED_VALUE"""),"FALSO")</f>
        <v>FALSO</v>
      </c>
    </row>
    <row r="2001">
      <c r="B2001" s="186" t="str">
        <f>IFERROR(__xludf.DUMMYFUNCTION("""COMPUTED_VALUE"""),"CS2339")</f>
        <v>CS2339</v>
      </c>
      <c r="C2001" s="186" t="str">
        <f>IFERROR(__xludf.DUMMYFUNCTION("""COMPUTED_VALUE"""),"CARTAO NAMORADOS PESSOA FAVORITA")</f>
        <v>CARTAO NAMORADOS PESSOA FAVORITA</v>
      </c>
      <c r="D2001" s="186" t="str">
        <f>IFERROR(__xludf.DUMMYFUNCTION("""COMPUTED_VALUE"""),"FALSO")</f>
        <v>FALSO</v>
      </c>
    </row>
    <row r="2002">
      <c r="B2002" s="186" t="str">
        <f>IFERROR(__xludf.DUMMYFUNCTION("""COMPUTED_VALUE"""),"CS2339")</f>
        <v>CS2339</v>
      </c>
      <c r="C2002" s="186" t="str">
        <f>IFERROR(__xludf.DUMMYFUNCTION("""COMPUTED_VALUE"""),"CARTAO NAMORADOS PESSOA FAVORITA")</f>
        <v>CARTAO NAMORADOS PESSOA FAVORITA</v>
      </c>
      <c r="D2002" s="186" t="str">
        <f>IFERROR(__xludf.DUMMYFUNCTION("""COMPUTED_VALUE"""),"FALSO")</f>
        <v>FALSO</v>
      </c>
    </row>
    <row r="2003">
      <c r="B2003" s="186" t="str">
        <f>IFERROR(__xludf.DUMMYFUNCTION("""COMPUTED_VALUE"""),"CS2339")</f>
        <v>CS2339</v>
      </c>
      <c r="C2003" s="186" t="str">
        <f>IFERROR(__xludf.DUMMYFUNCTION("""COMPUTED_VALUE"""),"CARTAO NAMORADOS PESSOA FAVORITA")</f>
        <v>CARTAO NAMORADOS PESSOA FAVORITA</v>
      </c>
      <c r="D2003" s="186" t="str">
        <f>IFERROR(__xludf.DUMMYFUNCTION("""COMPUTED_VALUE"""),"FALSO")</f>
        <v>FALSO</v>
      </c>
    </row>
    <row r="2004">
      <c r="B2004" s="186" t="str">
        <f>IFERROR(__xludf.DUMMYFUNCTION("""COMPUTED_VALUE"""),"CS2370")</f>
        <v>CS2370</v>
      </c>
      <c r="C2004" s="186" t="str">
        <f>IFERROR(__xludf.DUMMYFUNCTION("""COMPUTED_VALUE"""),"CARTAO NATAL BISCOITOS DE NATAL")</f>
        <v>CARTAO NATAL BISCOITOS DE NATAL</v>
      </c>
      <c r="D2004" s="186" t="str">
        <f>IFERROR(__xludf.DUMMYFUNCTION("""COMPUTED_VALUE"""),"FALSO")</f>
        <v>FALSO</v>
      </c>
    </row>
    <row r="2005">
      <c r="B2005" s="186" t="str">
        <f>IFERROR(__xludf.DUMMYFUNCTION("""COMPUTED_VALUE"""),"CS2370")</f>
        <v>CS2370</v>
      </c>
      <c r="C2005" s="186" t="str">
        <f>IFERROR(__xludf.DUMMYFUNCTION("""COMPUTED_VALUE"""),"CARTAO NATAL BISCOITOS DE NATAL")</f>
        <v>CARTAO NATAL BISCOITOS DE NATAL</v>
      </c>
      <c r="D2005" s="186" t="str">
        <f>IFERROR(__xludf.DUMMYFUNCTION("""COMPUTED_VALUE"""),"FALSO")</f>
        <v>FALSO</v>
      </c>
    </row>
    <row r="2006">
      <c r="B2006" s="186" t="str">
        <f>IFERROR(__xludf.DUMMYFUNCTION("""COMPUTED_VALUE"""),"CS2372")</f>
        <v>CS2372</v>
      </c>
      <c r="C2006" s="186" t="str">
        <f>IFERROR(__xludf.DUMMYFUNCTION("""COMPUTED_VALUE"""),"CARTAO NATAL GATO PRETO")</f>
        <v>CARTAO NATAL GATO PRETO</v>
      </c>
      <c r="D2006" s="186" t="str">
        <f>IFERROR(__xludf.DUMMYFUNCTION("""COMPUTED_VALUE"""),"FALSO")</f>
        <v>FALSO</v>
      </c>
    </row>
    <row r="2007">
      <c r="B2007" s="186" t="str">
        <f>IFERROR(__xludf.DUMMYFUNCTION("""COMPUTED_VALUE"""),"CS2372")</f>
        <v>CS2372</v>
      </c>
      <c r="C2007" s="186" t="str">
        <f>IFERROR(__xludf.DUMMYFUNCTION("""COMPUTED_VALUE"""),"CARTAO NATAL GATO PRETO")</f>
        <v>CARTAO NATAL GATO PRETO</v>
      </c>
      <c r="D2007" s="186" t="str">
        <f>IFERROR(__xludf.DUMMYFUNCTION("""COMPUTED_VALUE"""),"FALSO")</f>
        <v>FALSO</v>
      </c>
    </row>
    <row r="2008">
      <c r="B2008" s="186" t="str">
        <f>IFERROR(__xludf.DUMMYFUNCTION("""COMPUTED_VALUE"""),"CS2371")</f>
        <v>CS2371</v>
      </c>
      <c r="C2008" s="186" t="str">
        <f>IFERROR(__xludf.DUMMYFUNCTION("""COMPUTED_VALUE"""),"CARTAO NATAL HO HO HO ARVORE")</f>
        <v>CARTAO NATAL HO HO HO ARVORE</v>
      </c>
      <c r="D2008" s="186" t="str">
        <f>IFERROR(__xludf.DUMMYFUNCTION("""COMPUTED_VALUE"""),"FALSO")</f>
        <v>FALSO</v>
      </c>
    </row>
    <row r="2009">
      <c r="B2009" s="186" t="str">
        <f>IFERROR(__xludf.DUMMYFUNCTION("""COMPUTED_VALUE"""),"CS2371")</f>
        <v>CS2371</v>
      </c>
      <c r="C2009" s="186" t="str">
        <f>IFERROR(__xludf.DUMMYFUNCTION("""COMPUTED_VALUE"""),"CARTAO NATAL HO HO HO ARVORE")</f>
        <v>CARTAO NATAL HO HO HO ARVORE</v>
      </c>
      <c r="D2009" s="186" t="str">
        <f>IFERROR(__xludf.DUMMYFUNCTION("""COMPUTED_VALUE"""),"FALSO")</f>
        <v>FALSO</v>
      </c>
    </row>
    <row r="2010">
      <c r="B2010" s="186" t="str">
        <f>IFERROR(__xludf.DUMMYFUNCTION("""COMPUTED_VALUE"""),"CS2373")</f>
        <v>CS2373</v>
      </c>
      <c r="C2010" s="186" t="str">
        <f>IFERROR(__xludf.DUMMYFUNCTION("""COMPUTED_VALUE"""),"CARTAO NATAL VALEU NATALINA")</f>
        <v>CARTAO NATAL VALEU NATALINA</v>
      </c>
      <c r="D2010" s="186" t="str">
        <f>IFERROR(__xludf.DUMMYFUNCTION("""COMPUTED_VALUE"""),"FALSO")</f>
        <v>FALSO</v>
      </c>
    </row>
    <row r="2011">
      <c r="B2011" s="186" t="str">
        <f>IFERROR(__xludf.DUMMYFUNCTION("""COMPUTED_VALUE"""),"CS2373")</f>
        <v>CS2373</v>
      </c>
      <c r="C2011" s="186" t="str">
        <f>IFERROR(__xludf.DUMMYFUNCTION("""COMPUTED_VALUE"""),"CARTAO NATAL VALEU NATALINA")</f>
        <v>CARTAO NATAL VALEU NATALINA</v>
      </c>
      <c r="D2011" s="186" t="str">
        <f>IFERROR(__xludf.DUMMYFUNCTION("""COMPUTED_VALUE"""),"FALSO")</f>
        <v>FALSO</v>
      </c>
    </row>
    <row r="2012">
      <c r="B2012" s="186" t="str">
        <f>IFERROR(__xludf.DUMMYFUNCTION("""COMPUTED_VALUE"""),"CS2348")</f>
        <v>CS2348</v>
      </c>
      <c r="C2012" s="186" t="str">
        <f>IFERROR(__xludf.DUMMYFUNCTION("""COMPUTED_VALUE"""),"CARTAO PAI FELIZ DIA")</f>
        <v>CARTAO PAI FELIZ DIA</v>
      </c>
      <c r="D2012" s="186" t="str">
        <f>IFERROR(__xludf.DUMMYFUNCTION("""COMPUTED_VALUE"""),"FALSO")</f>
        <v>FALSO</v>
      </c>
    </row>
    <row r="2013">
      <c r="B2013" s="186" t="str">
        <f>IFERROR(__xludf.DUMMYFUNCTION("""COMPUTED_VALUE"""),"CS2349")</f>
        <v>CS2349</v>
      </c>
      <c r="C2013" s="186" t="str">
        <f>IFERROR(__xludf.DUMMYFUNCTION("""COMPUTED_VALUE"""),"CARTAO PAI MELHORES MOMENTOS")</f>
        <v>CARTAO PAI MELHORES MOMENTOS</v>
      </c>
      <c r="D2013" s="186" t="str">
        <f>IFERROR(__xludf.DUMMYFUNCTION("""COMPUTED_VALUE"""),"FALSO")</f>
        <v>FALSO</v>
      </c>
    </row>
    <row r="2014">
      <c r="B2014" s="186" t="str">
        <f>IFERROR(__xludf.DUMMYFUNCTION("""COMPUTED_VALUE"""),"CS2350")</f>
        <v>CS2350</v>
      </c>
      <c r="C2014" s="186" t="str">
        <f>IFERROR(__xludf.DUMMYFUNCTION("""COMPUTED_VALUE"""),"CARTAO PAI MEU AMOR POR VOCE")</f>
        <v>CARTAO PAI MEU AMOR POR VOCE</v>
      </c>
      <c r="D2014" s="186" t="str">
        <f>IFERROR(__xludf.DUMMYFUNCTION("""COMPUTED_VALUE"""),"FALSO")</f>
        <v>FALSO</v>
      </c>
    </row>
    <row r="2015">
      <c r="B2015" s="186" t="str">
        <f>IFERROR(__xludf.DUMMYFUNCTION("""COMPUTED_VALUE"""),"CS2424")</f>
        <v>CS2424</v>
      </c>
      <c r="C2015" s="186" t="str">
        <f>IFERROR(__xludf.DUMMYFUNCTION("""COMPUTED_VALUE"""),"CARTAO POP UP BOTANICA FLORESCER")</f>
        <v>CARTAO POP UP BOTANICA FLORESCER</v>
      </c>
      <c r="D2015" s="186" t="str">
        <f>IFERROR(__xludf.DUMMYFUNCTION("""COMPUTED_VALUE"""),"FALSO")</f>
        <v>FALSO</v>
      </c>
    </row>
    <row r="2016">
      <c r="B2016" s="186" t="str">
        <f>IFERROR(__xludf.DUMMYFUNCTION("""COMPUTED_VALUE"""),"CS2498")</f>
        <v>CS2498</v>
      </c>
      <c r="C2016" s="186" t="str">
        <f>IFERROR(__xludf.DUMMYFUNCTION("""COMPUTED_VALUE"""),"CARTAO POP UP FLORESCER")</f>
        <v>CARTAO POP UP FLORESCER</v>
      </c>
      <c r="D2016" s="186" t="str">
        <f>IFERROR(__xludf.DUMMYFUNCTION("""COMPUTED_VALUE"""),"FALSO")</f>
        <v>FALSO</v>
      </c>
    </row>
    <row r="2017">
      <c r="B2017" s="186" t="str">
        <f>IFERROR(__xludf.DUMMYFUNCTION("""COMPUTED_VALUE"""),"CS2023")</f>
        <v>CS2023</v>
      </c>
      <c r="C2017" s="186" t="str">
        <f>IFERROR(__xludf.DUMMYFUNCTION("""COMPUTED_VALUE"""),"CARTAO POP UP FRIENDS SOFA")</f>
        <v>CARTAO POP UP FRIENDS SOFA</v>
      </c>
      <c r="D2017" s="186" t="str">
        <f>IFERROR(__xludf.DUMMYFUNCTION("""COMPUTED_VALUE"""),"FALSO")</f>
        <v>FALSO</v>
      </c>
    </row>
    <row r="2018">
      <c r="B2018" s="186" t="str">
        <f>IFERROR(__xludf.DUMMYFUNCTION("""COMPUTED_VALUE"""),"CS2091")</f>
        <v>CS2091</v>
      </c>
      <c r="C2018" s="186" t="str">
        <f>IFERROR(__xludf.DUMMYFUNCTION("""COMPUTED_VALUE"""),"CARTAO POP UP IMA EU E VC")</f>
        <v>CARTAO POP UP IMA EU E VC</v>
      </c>
      <c r="D2018" s="186" t="str">
        <f>IFERROR(__xludf.DUMMYFUNCTION("""COMPUTED_VALUE"""),"FALSO")</f>
        <v>FALSO</v>
      </c>
    </row>
    <row r="2019">
      <c r="B2019" s="186" t="str">
        <f>IFERROR(__xludf.DUMMYFUNCTION("""COMPUTED_VALUE"""),"CS1892")</f>
        <v>CS1892</v>
      </c>
      <c r="C2019" s="186" t="str">
        <f>IFERROR(__xludf.DUMMYFUNCTION("""COMPUTED_VALUE"""),"CARTAO RASPADINHA AMO VOCE")</f>
        <v>CARTAO RASPADINHA AMO VOCE</v>
      </c>
      <c r="D2019" s="186" t="str">
        <f>IFERROR(__xludf.DUMMYFUNCTION("""COMPUTED_VALUE"""),"FALSO")</f>
        <v>FALSO</v>
      </c>
    </row>
    <row r="2020">
      <c r="B2020" s="186" t="str">
        <f>IFERROR(__xludf.DUMMYFUNCTION("""COMPUTED_VALUE"""),"CS2213")</f>
        <v>CS2213</v>
      </c>
      <c r="C2020" s="186" t="str">
        <f>IFERROR(__xludf.DUMMYFUNCTION("""COMPUTED_VALUE"""),"CARTAO SORTE NO AMOR")</f>
        <v>CARTAO SORTE NO AMOR</v>
      </c>
      <c r="D2020" s="186" t="str">
        <f>IFERROR(__xludf.DUMMYFUNCTION("""COMPUTED_VALUE"""),"FALSO")</f>
        <v>FALSO</v>
      </c>
    </row>
    <row r="2021">
      <c r="B2021" s="186" t="str">
        <f>IFERROR(__xludf.DUMMYFUNCTION("""COMPUTED_VALUE"""),"CS2165")</f>
        <v>CS2165</v>
      </c>
      <c r="C2021" s="186" t="str">
        <f>IFERROR(__xludf.DUMMYFUNCTION("""COMPUTED_VALUE"""),"CARTAO TICKET DO MEU AMOR")</f>
        <v>CARTAO TICKET DO MEU AMOR</v>
      </c>
      <c r="D2021" s="186" t="str">
        <f>IFERROR(__xludf.DUMMYFUNCTION("""COMPUTED_VALUE"""),"FALSO")</f>
        <v>FALSO</v>
      </c>
    </row>
    <row r="2022">
      <c r="B2022" s="186" t="str">
        <f>IFERROR(__xludf.DUMMYFUNCTION("""COMPUTED_VALUE"""),"PI7559Y")</f>
        <v>PI7559Y</v>
      </c>
      <c r="C2022" s="186" t="str">
        <f>IFERROR(__xludf.DUMMYFUNCTION("""COMPUTED_VALUE"""),"CANETA BRACINHOS GATO")</f>
        <v>CANETA BRACINHOS GATO</v>
      </c>
      <c r="D2022" s="186" t="str">
        <f>IFERROR(__xludf.DUMMYFUNCTION("""COMPUTED_VALUE"""),"INMETRO SCHOOL ARTICLES SYSTEM 5 - ORDINANCE 481")</f>
        <v>INMETRO SCHOOL ARTICLES SYSTEM 5 - ORDINANCE 481</v>
      </c>
    </row>
    <row r="2023">
      <c r="B2023" s="186" t="str">
        <f>IFERROR(__xludf.DUMMYFUNCTION("""COMPUTED_VALUE"""),"US0083")</f>
        <v>US0083</v>
      </c>
      <c r="C2023" s="186" t="str">
        <f>IFERROR(__xludf.DUMMYFUNCTION("""COMPUTED_VALUE"""),"LUMINARIA CAVEIRA NATURAL")</f>
        <v>LUMINARIA CAVEIRA NATURAL</v>
      </c>
      <c r="D2023" s="186" t="str">
        <f>IFERROR(__xludf.DUMMYFUNCTION("""COMPUTED_VALUE"""),"FALSO")</f>
        <v>FALSO</v>
      </c>
    </row>
    <row r="2024">
      <c r="B2024" s="186" t="str">
        <f>IFERROR(__xludf.DUMMYFUNCTION("""COMPUTED_VALUE"""),"PI5190Y")</f>
        <v>PI5190Y</v>
      </c>
      <c r="C2024" s="186" t="str">
        <f>IFERROR(__xludf.DUMMYFUNCTION("""COMPUTED_VALUE"""),"PORTA CARTAO PARA CELULAR HOJE TA PAGO")</f>
        <v>PORTA CARTAO PARA CELULAR HOJE TA PAGO</v>
      </c>
      <c r="D2024" s="186" t="str">
        <f>IFERROR(__xludf.DUMMYFUNCTION("""COMPUTED_VALUE"""),"FALSO")</f>
        <v>FALSO</v>
      </c>
    </row>
    <row r="2025">
      <c r="B2025" s="186" t="str">
        <f>IFERROR(__xludf.DUMMYFUNCTION("""COMPUTED_VALUE"""),"PI5098Y")</f>
        <v>PI5098Y</v>
      </c>
      <c r="C2025" s="186" t="str">
        <f>IFERROR(__xludf.DUMMYFUNCTION("""COMPUTED_VALUE"""),"PORTA CARTAO PARA CELULAR QUAL A NOTA")</f>
        <v>PORTA CARTAO PARA CELULAR QUAL A NOTA</v>
      </c>
      <c r="D2025" s="186" t="str">
        <f>IFERROR(__xludf.DUMMYFUNCTION("""COMPUTED_VALUE"""),"FALSO")</f>
        <v>FALSO</v>
      </c>
    </row>
    <row r="2026">
      <c r="B2026" s="186" t="str">
        <f>IFERROR(__xludf.DUMMYFUNCTION("""COMPUTED_VALUE"""),"PI5189Y")</f>
        <v>PI5189Y</v>
      </c>
      <c r="C2026" s="186" t="str">
        <f>IFERROR(__xludf.DUMMYFUNCTION("""COMPUTED_VALUE"""),"SUPORTE PARA CELULAR PEROLADO")</f>
        <v>SUPORTE PARA CELULAR PEROLADO</v>
      </c>
      <c r="D2026" s="186" t="str">
        <f>IFERROR(__xludf.DUMMYFUNCTION("""COMPUTED_VALUE"""),"FALSO")</f>
        <v>FALSO</v>
      </c>
    </row>
    <row r="2027">
      <c r="B2027" s="186" t="str">
        <f>IFERROR(__xludf.DUMMYFUNCTION("""COMPUTED_VALUE"""),"CS2193")</f>
        <v>CS2193</v>
      </c>
      <c r="C2027" s="186" t="str">
        <f>IFERROR(__xludf.DUMMYFUNCTION("""COMPUTED_VALUE"""),"CHAVEIRO E PLACA PET BOM PRA CACHORRO")</f>
        <v>CHAVEIRO E PLACA PET BOM PRA CACHORRO</v>
      </c>
      <c r="D2027" s="186" t="str">
        <f>IFERROR(__xludf.DUMMYFUNCTION("""COMPUTED_VALUE"""),"FALSO")</f>
        <v>FALSO</v>
      </c>
    </row>
    <row r="2028">
      <c r="B2028" s="186" t="str">
        <f>IFERROR(__xludf.DUMMYFUNCTION("""COMPUTED_VALUE"""),"CS2062")</f>
        <v>CS2062</v>
      </c>
      <c r="C2028" s="186" t="str">
        <f>IFERROR(__xludf.DUMMYFUNCTION("""COMPUTED_VALUE"""),"CHAVEIRO E PLACA PET DOGUINHO")</f>
        <v>CHAVEIRO E PLACA PET DOGUINHO</v>
      </c>
      <c r="D2028" s="186" t="str">
        <f>IFERROR(__xludf.DUMMYFUNCTION("""COMPUTED_VALUE"""),"FALSO")</f>
        <v>FALSO</v>
      </c>
    </row>
    <row r="2029">
      <c r="B2029" s="186" t="str">
        <f>IFERROR(__xludf.DUMMYFUNCTION("""COMPUTED_VALUE"""),"CS2056")</f>
        <v>CS2056</v>
      </c>
      <c r="C2029" s="186" t="str">
        <f>IFERROR(__xludf.DUMMYFUNCTION("""COMPUTED_VALUE"""),"CHAVEIRO E PLACA PET GATO ABACATE")</f>
        <v>CHAVEIRO E PLACA PET GATO ABACATE</v>
      </c>
      <c r="D2029" s="186" t="str">
        <f>IFERROR(__xludf.DUMMYFUNCTION("""COMPUTED_VALUE"""),"FALSO")</f>
        <v>FALSO</v>
      </c>
    </row>
    <row r="2030">
      <c r="B2030" s="186" t="str">
        <f>IFERROR(__xludf.DUMMYFUNCTION("""COMPUTED_VALUE"""),"CS2191")</f>
        <v>CS2191</v>
      </c>
      <c r="C2030" s="186" t="str">
        <f>IFERROR(__xludf.DUMMYFUNCTION("""COMPUTED_VALUE"""),"CHAVEIRO E PLACA PET GATO REI DA CASA")</f>
        <v>CHAVEIRO E PLACA PET GATO REI DA CASA</v>
      </c>
      <c r="D2030" s="186" t="str">
        <f>IFERROR(__xludf.DUMMYFUNCTION("""COMPUTED_VALUE"""),"FALSO")</f>
        <v>FALSO</v>
      </c>
    </row>
    <row r="2031">
      <c r="B2031" s="186" t="str">
        <f>IFERROR(__xludf.DUMMYFUNCTION("""COMPUTED_VALUE"""),"CS2071")</f>
        <v>CS2071</v>
      </c>
      <c r="C2031" s="186" t="str">
        <f>IFERROR(__xludf.DUMMYFUNCTION("""COMPUTED_VALUE"""),"CHAVEIRO HP MAPA DO MAROTO")</f>
        <v>CHAVEIRO HP MAPA DO MAROTO</v>
      </c>
      <c r="D2031" s="186" t="str">
        <f>IFERROR(__xludf.DUMMYFUNCTION("""COMPUTED_VALUE"""),"FALSO")</f>
        <v>FALSO</v>
      </c>
    </row>
    <row r="2032">
      <c r="B2032" s="186" t="str">
        <f>IFERROR(__xludf.DUMMYFUNCTION("""COMPUTED_VALUE"""),"CS2071")</f>
        <v>CS2071</v>
      </c>
      <c r="C2032" s="186" t="str">
        <f>IFERROR(__xludf.DUMMYFUNCTION("""COMPUTED_VALUE"""),"CHAVEIRO HP MAPA DO MAROTO")</f>
        <v>CHAVEIRO HP MAPA DO MAROTO</v>
      </c>
      <c r="D2032" s="186" t="str">
        <f>IFERROR(__xludf.DUMMYFUNCTION("""COMPUTED_VALUE"""),"FALSO")</f>
        <v>FALSO</v>
      </c>
    </row>
    <row r="2033">
      <c r="B2033" s="186" t="str">
        <f>IFERROR(__xludf.DUMMYFUNCTION("""COMPUTED_VALUE"""),"PI7470Y")</f>
        <v>PI7470Y</v>
      </c>
      <c r="C2033" s="186" t="str">
        <f>IFERROR(__xludf.DUMMYFUNCTION("""COMPUTED_VALUE"""),"MANTA QUADRICULADA PREGUICA")</f>
        <v>MANTA QUADRICULADA PREGUICA</v>
      </c>
      <c r="D2033" s="186" t="str">
        <f>IFERROR(__xludf.DUMMYFUNCTION("""COMPUTED_VALUE"""),"FALSO")</f>
        <v>FALSO</v>
      </c>
    </row>
    <row r="2034">
      <c r="B2034" s="186" t="str">
        <f>IFERROR(__xludf.DUMMYFUNCTION("""COMPUTED_VALUE"""),"PI7431Y")</f>
        <v>PI7431Y</v>
      </c>
      <c r="C2034" s="186" t="str">
        <f>IFERROR(__xludf.DUMMYFUNCTION("""COMPUTED_VALUE"""),"ROUPAO QUADRICULADO NAO ACORDEI")</f>
        <v>ROUPAO QUADRICULADO NAO ACORDEI</v>
      </c>
      <c r="D2034" s="186" t="str">
        <f>IFERROR(__xludf.DUMMYFUNCTION("""COMPUTED_VALUE"""),"FALSO")</f>
        <v>FALSO</v>
      </c>
    </row>
    <row r="2035">
      <c r="B2035" s="186" t="str">
        <f>IFERROR(__xludf.DUMMYFUNCTION("""COMPUTED_VALUE"""),"PI7430Y")</f>
        <v>PI7430Y</v>
      </c>
      <c r="C2035" s="186" t="str">
        <f>IFERROR(__xludf.DUMMYFUNCTION("""COMPUTED_VALUE"""),"ROUPAO QUADRICULADO COM SONO ME DEITO")</f>
        <v>ROUPAO QUADRICULADO COM SONO ME DEITO</v>
      </c>
      <c r="D2035" s="186" t="str">
        <f>IFERROR(__xludf.DUMMYFUNCTION("""COMPUTED_VALUE"""),"FALSO")</f>
        <v>FALSO</v>
      </c>
    </row>
    <row r="2036">
      <c r="B2036" s="186" t="str">
        <f>IFERROR(__xludf.DUMMYFUNCTION("""COMPUTED_VALUE"""),"PI7486Y")</f>
        <v>PI7486Y</v>
      </c>
      <c r="C2036" s="186" t="str">
        <f>IFERROR(__xludf.DUMMYFUNCTION("""COMPUTED_VALUE"""),"ROUPAO QUADRICULADO MESTRE DO DESCANSO")</f>
        <v>ROUPAO QUADRICULADO MESTRE DO DESCANSO</v>
      </c>
      <c r="D2036" s="186" t="str">
        <f>IFERROR(__xludf.DUMMYFUNCTION("""COMPUTED_VALUE"""),"FALSO")</f>
        <v>FALSO</v>
      </c>
    </row>
    <row r="2037">
      <c r="B2037" s="186" t="str">
        <f>IFERROR(__xludf.DUMMYFUNCTION("""COMPUTED_VALUE"""),"PI5768Y")</f>
        <v>PI5768Y</v>
      </c>
      <c r="C2037" s="186" t="str">
        <f>IFERROR(__xludf.DUMMYFUNCTION("""COMPUTED_VALUE"""),"TABUA DE QUEIJOS MISTICO TAROT")</f>
        <v>TABUA DE QUEIJOS MISTICO TAROT</v>
      </c>
      <c r="D2037" s="186" t="str">
        <f>IFERROR(__xludf.DUMMYFUNCTION("""COMPUTED_VALUE"""),"FALSO")</f>
        <v>FALSO</v>
      </c>
    </row>
    <row r="2038">
      <c r="B2038" s="186" t="str">
        <f>IFERROR(__xludf.DUMMYFUNCTION("""COMPUTED_VALUE"""),"PI6616Y")</f>
        <v>PI6616Y</v>
      </c>
      <c r="C2038" s="186" t="str">
        <f>IFERROR(__xludf.DUMMYFUNCTION("""COMPUTED_VALUE"""),"TABUA DE QUEIJOS COM A FACA NA MESA")</f>
        <v>TABUA DE QUEIJOS COM A FACA NA MESA</v>
      </c>
      <c r="D2038" s="186" t="str">
        <f>IFERROR(__xludf.DUMMYFUNCTION("""COMPUTED_VALUE"""),"FALSO")</f>
        <v>FALSO</v>
      </c>
    </row>
    <row r="2039">
      <c r="B2039" s="186" t="str">
        <f>IFERROR(__xludf.DUMMYFUNCTION("""COMPUTED_VALUE"""),"PI7668Y")</f>
        <v>PI7668Y</v>
      </c>
      <c r="C2039" s="186" t="str">
        <f>IFERROR(__xludf.DUMMYFUNCTION("""COMPUTED_VALUE"""),"KIT FACAS DE QUEIJO O GRANDE GATSBRIE")</f>
        <v>KIT FACAS DE QUEIJO O GRANDE GATSBRIE</v>
      </c>
      <c r="D2039" s="186" t="str">
        <f>IFERROR(__xludf.DUMMYFUNCTION("""COMPUTED_VALUE"""),"FALSO")</f>
        <v>FALSO</v>
      </c>
    </row>
    <row r="2040">
      <c r="B2040" s="186" t="str">
        <f>IFERROR(__xludf.DUMMYFUNCTION("""COMPUTED_VALUE"""),"PI4854Y")</f>
        <v>PI4854Y</v>
      </c>
      <c r="C2040" s="186" t="str">
        <f>IFERROR(__xludf.DUMMYFUNCTION("""COMPUTED_VALUE"""),"KIT QUEIJO ENTRE TACAS E QUEIJOS")</f>
        <v>KIT QUEIJO ENTRE TACAS E QUEIJOS</v>
      </c>
      <c r="D2040" s="186" t="str">
        <f>IFERROR(__xludf.DUMMYFUNCTION("""COMPUTED_VALUE"""),"FALSO")</f>
        <v>FALSO</v>
      </c>
    </row>
    <row r="2041">
      <c r="B2041" s="186" t="str">
        <f>IFERROR(__xludf.DUMMYFUNCTION("""COMPUTED_VALUE"""),"PI4854Y")</f>
        <v>PI4854Y</v>
      </c>
      <c r="C2041" s="186" t="str">
        <f>IFERROR(__xludf.DUMMYFUNCTION("""COMPUTED_VALUE"""),"KIT QUEIJO ENTRE TACAS E QUEIJOS")</f>
        <v>KIT QUEIJO ENTRE TACAS E QUEIJOS</v>
      </c>
      <c r="D2041" s="186" t="str">
        <f>IFERROR(__xludf.DUMMYFUNCTION("""COMPUTED_VALUE"""),"FALSO")</f>
        <v>FALSO</v>
      </c>
    </row>
    <row r="2042">
      <c r="B2042" s="186" t="str">
        <f>IFERROR(__xludf.DUMMYFUNCTION("""COMPUTED_VALUE"""),"PI5440Y")</f>
        <v>PI5440Y</v>
      </c>
      <c r="C2042" s="186" t="str">
        <f>IFERROR(__xludf.DUMMYFUNCTION("""COMPUTED_VALUE"""),"LUMINARIA LED NEON CEREJA")</f>
        <v>LUMINARIA LED NEON CEREJA</v>
      </c>
      <c r="D2042" s="186" t="str">
        <f>IFERROR(__xludf.DUMMYFUNCTION("""COMPUTED_VALUE"""),"FALSO")</f>
        <v>FALSO</v>
      </c>
    </row>
    <row r="2043">
      <c r="B2043" s="186" t="str">
        <f>IFERROR(__xludf.DUMMYFUNCTION("""COMPUTED_VALUE"""),"PI7028Y")</f>
        <v>PI7028Y</v>
      </c>
      <c r="C2043" s="186" t="str">
        <f>IFERROR(__xludf.DUMMYFUNCTION("""COMPUTED_VALUE"""),"GARRAFA INFANTIL COM CANUDO IMAGILAND")</f>
        <v>GARRAFA INFANTIL COM CANUDO IMAGILAND</v>
      </c>
      <c r="D2043" s="186" t="str">
        <f>IFERROR(__xludf.DUMMYFUNCTION("""COMPUTED_VALUE"""),"FALSO")</f>
        <v>FALSO</v>
      </c>
    </row>
    <row r="2044">
      <c r="B2044" s="186" t="str">
        <f>IFERROR(__xludf.DUMMYFUNCTION("""COMPUTED_VALUE"""),"PI5229Y")</f>
        <v>PI5229Y</v>
      </c>
      <c r="C2044" s="186" t="str">
        <f>IFERROR(__xludf.DUMMYFUNCTION("""COMPUTED_VALUE"""),"FONTE DE CHOCOLATE 127V MINHAS FONTES")</f>
        <v>FONTE DE CHOCOLATE 127V MINHAS FONTES</v>
      </c>
      <c r="D2044" s="186" t="str">
        <f>IFERROR(__xludf.DUMMYFUNCTION("""COMPUTED_VALUE"""),"INMETRO Electrical Security System 5 (Factory) - Ordinance 371")</f>
        <v>INMETRO Electrical Security System 5 (Factory) - Ordinance 371</v>
      </c>
    </row>
    <row r="2045">
      <c r="B2045" s="186" t="str">
        <f>IFERROR(__xludf.DUMMYFUNCTION("""COMPUTED_VALUE"""),"PI5230Y")</f>
        <v>PI5230Y</v>
      </c>
      <c r="C2045" s="186" t="str">
        <f>IFERROR(__xludf.DUMMYFUNCTION("""COMPUTED_VALUE"""),"FONTE DE CHOCOLATE 220V MINHAS FONTES")</f>
        <v>FONTE DE CHOCOLATE 220V MINHAS FONTES</v>
      </c>
      <c r="D2045" s="186" t="str">
        <f>IFERROR(__xludf.DUMMYFUNCTION("""COMPUTED_VALUE"""),"INMETRO Electrical Security System 5 (Factory) - Ordinance 371")</f>
        <v>INMETRO Electrical Security System 5 (Factory) - Ordinance 371</v>
      </c>
    </row>
    <row r="2046">
      <c r="B2046" s="186" t="str">
        <f>IFERROR(__xludf.DUMMYFUNCTION("""COMPUTED_VALUE"""),"US0084")</f>
        <v>US0084</v>
      </c>
      <c r="C2046" s="186" t="str">
        <f>IFERROR(__xludf.DUMMYFUNCTION("""COMPUTED_VALUE"""),"LUMINARIA CHOPP")</f>
        <v>LUMINARIA CHOPP</v>
      </c>
      <c r="D2046" s="186" t="str">
        <f>IFERROR(__xludf.DUMMYFUNCTION("""COMPUTED_VALUE"""),"FALSO")</f>
        <v>FALSO</v>
      </c>
    </row>
    <row r="2047">
      <c r="B2047" s="186" t="str">
        <f>IFERROR(__xludf.DUMMYFUNCTION("""COMPUTED_VALUE"""),"PI6258Y")</f>
        <v>PI6258Y</v>
      </c>
      <c r="C2047" s="186" t="str">
        <f>IFERROR(__xludf.DUMMYFUNCTION("""COMPUTED_VALUE"""),"RELOGIO CLAQUETE")</f>
        <v>RELOGIO CLAQUETE</v>
      </c>
      <c r="D2047" s="186" t="str">
        <f>IFERROR(__xludf.DUMMYFUNCTION("""COMPUTED_VALUE"""),"FALSO")</f>
        <v>FALSO</v>
      </c>
    </row>
    <row r="2048">
      <c r="B2048" s="186" t="str">
        <f>IFERROR(__xludf.DUMMYFUNCTION("""COMPUTED_VALUE"""),"PI6258Y")</f>
        <v>PI6258Y</v>
      </c>
      <c r="C2048" s="186" t="str">
        <f>IFERROR(__xludf.DUMMYFUNCTION("""COMPUTED_VALUE"""),"RELOGIO CLAQUETE")</f>
        <v>RELOGIO CLAQUETE</v>
      </c>
      <c r="D2048" s="186" t="str">
        <f>IFERROR(__xludf.DUMMYFUNCTION("""COMPUTED_VALUE"""),"FALSO")</f>
        <v>FALSO</v>
      </c>
    </row>
    <row r="2049">
      <c r="B2049" s="186" t="str">
        <f>IFERROR(__xludf.DUMMYFUNCTION("""COMPUTED_VALUE"""),"PI6258Y")</f>
        <v>PI6258Y</v>
      </c>
      <c r="C2049" s="186" t="str">
        <f>IFERROR(__xludf.DUMMYFUNCTION("""COMPUTED_VALUE"""),"RELOGIO CLAQUETE")</f>
        <v>RELOGIO CLAQUETE</v>
      </c>
      <c r="D2049" s="186" t="str">
        <f>IFERROR(__xludf.DUMMYFUNCTION("""COMPUTED_VALUE"""),"FALSO")</f>
        <v>FALSO</v>
      </c>
    </row>
    <row r="2050">
      <c r="B2050" s="186" t="str">
        <f>IFERROR(__xludf.DUMMYFUNCTION("""COMPUTED_VALUE"""),"PI5545Y")</f>
        <v>PI5545Y</v>
      </c>
      <c r="C2050" s="186" t="str">
        <f>IFERROR(__xludf.DUMMYFUNCTION("""COMPUTED_VALUE"""),"RELOGIO SPEAKER LUZ GRADUAL MEU TEMPO")</f>
        <v>RELOGIO SPEAKER LUZ GRADUAL MEU TEMPO</v>
      </c>
      <c r="D2050" s="186" t="str">
        <f>IFERROR(__xludf.DUMMYFUNCTION("""COMPUTED_VALUE"""),"Anatel Category 2 - Bluetooth Module")</f>
        <v>Anatel Category 2 - Bluetooth Module</v>
      </c>
    </row>
    <row r="2051">
      <c r="B2051" s="186" t="str">
        <f>IFERROR(__xludf.DUMMYFUNCTION("""COMPUTED_VALUE"""),"PI5545Y")</f>
        <v>PI5545Y</v>
      </c>
      <c r="C2051" s="186" t="str">
        <f>IFERROR(__xludf.DUMMYFUNCTION("""COMPUTED_VALUE"""),"RELOGIO SPEAKER LUZ GRADUAL MEU TEMPO")</f>
        <v>RELOGIO SPEAKER LUZ GRADUAL MEU TEMPO</v>
      </c>
      <c r="D2051" s="186" t="str">
        <f>IFERROR(__xludf.DUMMYFUNCTION("""COMPUTED_VALUE"""),"Anatel Category 2 - Bluetooth Module")</f>
        <v>Anatel Category 2 - Bluetooth Module</v>
      </c>
    </row>
    <row r="2052">
      <c r="B2052" s="186" t="str">
        <f>IFERROR(__xludf.DUMMYFUNCTION("""COMPUTED_VALUE"""),"PI4709Y")</f>
        <v>PI4709Y</v>
      </c>
      <c r="C2052" s="186" t="str">
        <f>IFERROR(__xludf.DUMMYFUNCTION("""COMPUTED_VALUE"""),"RELOGIO SPEAKER LUZ GRADUAL BEATLES SUN")</f>
        <v>RELOGIO SPEAKER LUZ GRADUAL BEATLES SUN</v>
      </c>
      <c r="D2052" s="186" t="str">
        <f>IFERROR(__xludf.DUMMYFUNCTION("""COMPUTED_VALUE"""),"Anatel Category 2 - Bluetooth and Radiofrequency Comms")</f>
        <v>Anatel Category 2 - Bluetooth and Radiofrequency Comms</v>
      </c>
    </row>
    <row r="2053">
      <c r="B2053" s="186" t="str">
        <f>IFERROR(__xludf.DUMMYFUNCTION("""COMPUTED_VALUE"""),"PI5881Y")</f>
        <v>PI5881Y</v>
      </c>
      <c r="C2053" s="186" t="str">
        <f>IFERROR(__xludf.DUMMYFUNCTION("""COMPUTED_VALUE"""),"CONJUNTO PORTA COPOS LIMAO")</f>
        <v>CONJUNTO PORTA COPOS LIMAO</v>
      </c>
      <c r="D2053" s="186" t="str">
        <f>IFERROR(__xludf.DUMMYFUNCTION("""COMPUTED_VALUE"""),"FALSO")</f>
        <v>FALSO</v>
      </c>
    </row>
    <row r="2054">
      <c r="B2054" s="186" t="str">
        <f>IFERROR(__xludf.DUMMYFUNCTION("""COMPUTED_VALUE"""),"PI5448Y")</f>
        <v>PI5448Y</v>
      </c>
      <c r="C2054" s="186" t="str">
        <f>IFERROR(__xludf.DUMMYFUNCTION("""COMPUTED_VALUE"""),"KIT PORTA COPOS ESTAMPA DEIXA FLUIR")</f>
        <v>KIT PORTA COPOS ESTAMPA DEIXA FLUIR</v>
      </c>
      <c r="D2054" s="186" t="str">
        <f>IFERROR(__xludf.DUMMYFUNCTION("""COMPUTED_VALUE"""),"FALSO")</f>
        <v>FALSO</v>
      </c>
    </row>
    <row r="2055">
      <c r="B2055" s="186" t="str">
        <f>IFERROR(__xludf.DUMMYFUNCTION("""COMPUTED_VALUE"""),"PI6663Y")</f>
        <v>PI6663Y</v>
      </c>
      <c r="C2055" s="186" t="str">
        <f>IFERROR(__xludf.DUMMYFUNCTION("""COMPUTED_VALUE"""),"COQUETELEIRA SHAKER ACADEMIA TOPOGRAFIA")</f>
        <v>COQUETELEIRA SHAKER ACADEMIA TOPOGRAFIA</v>
      </c>
      <c r="D2055" s="186" t="str">
        <f>IFERROR(__xludf.DUMMYFUNCTION("""COMPUTED_VALUE"""),"FALSO")</f>
        <v>FALSO</v>
      </c>
    </row>
    <row r="2056">
      <c r="B2056" s="186" t="str">
        <f>IFERROR(__xludf.DUMMYFUNCTION("""COMPUTED_VALUE"""),"PI5458Y")</f>
        <v>PI5458Y</v>
      </c>
      <c r="C2056" s="186" t="str">
        <f>IFERROR(__xludf.DUMMYFUNCTION("""COMPUTED_VALUE"""),"COQUETELEIRA ESTAMPA DEIXA ROLAR")</f>
        <v>COQUETELEIRA ESTAMPA DEIXA ROLAR</v>
      </c>
      <c r="D2056" s="186" t="str">
        <f>IFERROR(__xludf.DUMMYFUNCTION("""COMPUTED_VALUE"""),"FALSO")</f>
        <v>FALSO</v>
      </c>
    </row>
    <row r="2057">
      <c r="B2057" s="186" t="str">
        <f>IFERROR(__xludf.DUMMYFUNCTION("""COMPUTED_VALUE"""),"PI5459Y")</f>
        <v>PI5459Y</v>
      </c>
      <c r="C2057" s="186" t="str">
        <f>IFERROR(__xludf.DUMMYFUNCTION("""COMPUTED_VALUE"""),"COQUETELEIRA RECEITAS SE VIRA NOS DRINKS")</f>
        <v>COQUETELEIRA RECEITAS SE VIRA NOS DRINKS</v>
      </c>
      <c r="D2057" s="186" t="str">
        <f>IFERROR(__xludf.DUMMYFUNCTION("""COMPUTED_VALUE"""),"FALSO")</f>
        <v>FALSO</v>
      </c>
    </row>
    <row r="2058">
      <c r="B2058" s="186" t="str">
        <f>IFERROR(__xludf.DUMMYFUNCTION("""COMPUTED_VALUE"""),"PI5459Y")</f>
        <v>PI5459Y</v>
      </c>
      <c r="C2058" s="186" t="str">
        <f>IFERROR(__xludf.DUMMYFUNCTION("""COMPUTED_VALUE"""),"COQUETELEIRA RECEITAS SE VIRA NOS DRINKS")</f>
        <v>COQUETELEIRA RECEITAS SE VIRA NOS DRINKS</v>
      </c>
      <c r="D2058" s="186" t="str">
        <f>IFERROR(__xludf.DUMMYFUNCTION("""COMPUTED_VALUE"""),"FALSO")</f>
        <v>FALSO</v>
      </c>
    </row>
    <row r="2059">
      <c r="B2059" s="186" t="str">
        <f>IFERROR(__xludf.DUMMYFUNCTION("""COMPUTED_VALUE"""),"PI6484Y")</f>
        <v>PI6484Y</v>
      </c>
      <c r="C2059" s="186" t="str">
        <f>IFERROR(__xludf.DUMMYFUNCTION("""COMPUTED_VALUE"""),"PORTA CAPSULAS DE CAFE CAPSULAS DO TEMPO")</f>
        <v>PORTA CAPSULAS DE CAFE CAPSULAS DO TEMPO</v>
      </c>
      <c r="D2059" s="186" t="str">
        <f>IFERROR(__xludf.DUMMYFUNCTION("""COMPUTED_VALUE"""),"FALSO")</f>
        <v>FALSO</v>
      </c>
    </row>
    <row r="2060">
      <c r="B2060" s="186" t="str">
        <f>IFERROR(__xludf.DUMMYFUNCTION("""COMPUTED_VALUE"""),"PI5095Y")</f>
        <v>PI5095Y</v>
      </c>
      <c r="C2060" s="186" t="str">
        <f>IFERROR(__xludf.DUMMYFUNCTION("""COMPUTED_VALUE"""),"CAFETEIRA DE VIDRO COM FILTRO UM PASSADO")</f>
        <v>CAFETEIRA DE VIDRO COM FILTRO UM PASSADO</v>
      </c>
      <c r="D2060" s="186" t="str">
        <f>IFERROR(__xludf.DUMMYFUNCTION("""COMPUTED_VALUE"""),"FALSO")</f>
        <v>FALSO</v>
      </c>
    </row>
    <row r="2061">
      <c r="B2061" s="186" t="str">
        <f>IFERROR(__xludf.DUMMYFUNCTION("""COMPUTED_VALUE"""),"PI6700Y")</f>
        <v>PI6700Y</v>
      </c>
      <c r="C2061" s="186" t="str">
        <f>IFERROR(__xludf.DUMMYFUNCTION("""COMPUTED_VALUE"""),"COPO MOEDOR DE CAFE HOJE EU TO MOIDO")</f>
        <v>COPO MOEDOR DE CAFE HOJE EU TO MOIDO</v>
      </c>
      <c r="D2061" s="186" t="str">
        <f>IFERROR(__xludf.DUMMYFUNCTION("""COMPUTED_VALUE"""),"FALSO")</f>
        <v>FALSO</v>
      </c>
    </row>
    <row r="2062">
      <c r="B2062" s="186" t="str">
        <f>IFERROR(__xludf.DUMMYFUNCTION("""COMPUTED_VALUE"""),"PI7285Y")</f>
        <v>PI7285Y</v>
      </c>
      <c r="C2062" s="186" t="str">
        <f>IFERROR(__xludf.DUMMYFUNCTION("""COMPUTED_VALUE"""),"MOEDOR DE CAFE GRAOS")</f>
        <v>MOEDOR DE CAFE GRAOS</v>
      </c>
      <c r="D2062" s="186" t="str">
        <f>IFERROR(__xludf.DUMMYFUNCTION("""COMPUTED_VALUE"""),"FALSO")</f>
        <v>FALSO</v>
      </c>
    </row>
    <row r="2063">
      <c r="B2063" s="186" t="str">
        <f>IFERROR(__xludf.DUMMYFUNCTION("""COMPUTED_VALUE"""),"PI6012Y")</f>
        <v>PI6012Y</v>
      </c>
      <c r="C2063" s="186" t="str">
        <f>IFERROR(__xludf.DUMMYFUNCTION("""COMPUTED_VALUE"""),"MOEDOR CAFE MOENDO DE VONTADE")</f>
        <v>MOEDOR CAFE MOENDO DE VONTADE</v>
      </c>
      <c r="D2063" s="186" t="str">
        <f>IFERROR(__xludf.DUMMYFUNCTION("""COMPUTED_VALUE"""),"FALSO")</f>
        <v>FALSO</v>
      </c>
    </row>
    <row r="2064">
      <c r="B2064" s="186" t="str">
        <f>IFERROR(__xludf.DUMMYFUNCTION("""COMPUTED_VALUE"""),"PI6316Y")</f>
        <v>PI6316Y</v>
      </c>
      <c r="C2064" s="186" t="str">
        <f>IFERROR(__xludf.DUMMYFUNCTION("""COMPUTED_VALUE"""),"GARRAFA TÉRMICA COM ALÇAS COLOR BLOCK")</f>
        <v>GARRAFA TÉRMICA COM ALÇAS COLOR BLOCK</v>
      </c>
      <c r="D2064" s="186" t="str">
        <f>IFERROR(__xludf.DUMMYFUNCTION("""COMPUTED_VALUE"""),"FALSO")</f>
        <v>FALSO</v>
      </c>
    </row>
    <row r="2065">
      <c r="B2065" s="186" t="str">
        <f>IFERROR(__xludf.DUMMYFUNCTION("""COMPUTED_VALUE"""),"AC2154Y")</f>
        <v>AC2154Y</v>
      </c>
      <c r="C2065" s="186" t="str">
        <f>IFERROR(__xludf.DUMMYFUNCTION("""COMPUTED_VALUE"""),"COLOR BOX PARA PI959Y")</f>
        <v>COLOR BOX PARA PI959Y</v>
      </c>
      <c r="D2065" s="186" t="str">
        <f>IFERROR(__xludf.DUMMYFUNCTION("""COMPUTED_VALUE"""),"FALSO")</f>
        <v>FALSO</v>
      </c>
    </row>
    <row r="2066">
      <c r="B2066" s="186" t="str">
        <f>IFERROR(__xludf.DUMMYFUNCTION("""COMPUTED_VALUE"""),"PI3307Y")</f>
        <v>PI3307Y</v>
      </c>
      <c r="C2066" s="186" t="str">
        <f>IFERROR(__xludf.DUMMYFUNCTION("""COMPUTED_VALUE"""),"CANECO TERMOSSENSIVEL NAO VEJO A HORA")</f>
        <v>CANECO TERMOSSENSIVEL NAO VEJO A HORA</v>
      </c>
      <c r="D2066" s="186" t="str">
        <f>IFERROR(__xludf.DUMMYFUNCTION("""COMPUTED_VALUE"""),"FALSO")</f>
        <v>FALSO</v>
      </c>
    </row>
    <row r="2067">
      <c r="B2067" s="186" t="str">
        <f>IFERROR(__xludf.DUMMYFUNCTION("""COMPUTED_VALUE"""),"PI5992Y")</f>
        <v>PI5992Y</v>
      </c>
      <c r="C2067" s="186" t="str">
        <f>IFERROR(__xludf.DUMMYFUNCTION("""COMPUTED_VALUE"""),"GARRAFA MUDA DE COR FELIPE MOROZINI")</f>
        <v>GARRAFA MUDA DE COR FELIPE MOROZINI</v>
      </c>
      <c r="D2067" s="186" t="str">
        <f>IFERROR(__xludf.DUMMYFUNCTION("""COMPUTED_VALUE"""),"FALSO")</f>
        <v>FALSO</v>
      </c>
    </row>
    <row r="2068">
      <c r="B2068" s="186" t="str">
        <f>IFERROR(__xludf.DUMMYFUNCTION("""COMPUTED_VALUE"""),"PI5887Y")</f>
        <v>PI5887Y</v>
      </c>
      <c r="C2068" s="186" t="str">
        <f>IFERROR(__xludf.DUMMYFUNCTION("""COMPUTED_VALUE"""),"GARRAFA MUDA DE COR OVO FIT")</f>
        <v>GARRAFA MUDA DE COR OVO FIT</v>
      </c>
      <c r="D2068" s="186" t="str">
        <f>IFERROR(__xludf.DUMMYFUNCTION("""COMPUTED_VALUE"""),"FALSO")</f>
        <v>FALSO</v>
      </c>
    </row>
    <row r="2069">
      <c r="B2069" s="186" t="str">
        <f>IFERROR(__xludf.DUMMYFUNCTION("""COMPUTED_VALUE"""),"PI5511Y")</f>
        <v>PI5511Y</v>
      </c>
      <c r="C2069" s="186" t="str">
        <f>IFERROR(__xludf.DUMMYFUNCTION("""COMPUTED_VALUE"""),"GARRAFA MUDA DE COR HP LUMOS")</f>
        <v>GARRAFA MUDA DE COR HP LUMOS</v>
      </c>
      <c r="D2069" s="186" t="str">
        <f>IFERROR(__xludf.DUMMYFUNCTION("""COMPUTED_VALUE"""),"FALSO")</f>
        <v>FALSO</v>
      </c>
    </row>
    <row r="2070">
      <c r="B2070" s="186" t="str">
        <f>IFERROR(__xludf.DUMMYFUNCTION("""COMPUTED_VALUE"""),"PI5511Y")</f>
        <v>PI5511Y</v>
      </c>
      <c r="C2070" s="186" t="str">
        <f>IFERROR(__xludf.DUMMYFUNCTION("""COMPUTED_VALUE"""),"GARRAFA MUDA DE COR HP LUMOS")</f>
        <v>GARRAFA MUDA DE COR HP LUMOS</v>
      </c>
      <c r="D2070" s="186" t="str">
        <f>IFERROR(__xludf.DUMMYFUNCTION("""COMPUTED_VALUE"""),"FALSO")</f>
        <v>FALSO</v>
      </c>
    </row>
    <row r="2071">
      <c r="B2071" s="186" t="str">
        <f>IFERROR(__xludf.DUMMYFUNCTION("""COMPUTED_VALUE"""),"PI4816Y")</f>
        <v>PI4816Y</v>
      </c>
      <c r="C2071" s="186" t="str">
        <f>IFERROR(__xludf.DUMMYFUNCTION("""COMPUTED_VALUE"""),"GARRAFA MUDA DE COR HP MAPA DO MAROTO")</f>
        <v>GARRAFA MUDA DE COR HP MAPA DO MAROTO</v>
      </c>
      <c r="D2071" s="186" t="str">
        <f>IFERROR(__xludf.DUMMYFUNCTION("""COMPUTED_VALUE"""),"FALSO")</f>
        <v>FALSO</v>
      </c>
    </row>
    <row r="2072">
      <c r="B2072" s="186" t="str">
        <f>IFERROR(__xludf.DUMMYFUNCTION("""COMPUTED_VALUE"""),"PI4816Y")</f>
        <v>PI4816Y</v>
      </c>
      <c r="C2072" s="186" t="str">
        <f>IFERROR(__xludf.DUMMYFUNCTION("""COMPUTED_VALUE"""),"GARRAFA MUDA DE COR HP MAPA DO MAROTO")</f>
        <v>GARRAFA MUDA DE COR HP MAPA DO MAROTO</v>
      </c>
      <c r="D2072" s="186" t="str">
        <f>IFERROR(__xludf.DUMMYFUNCTION("""COMPUTED_VALUE"""),"FALSO")</f>
        <v>FALSO</v>
      </c>
    </row>
    <row r="2073">
      <c r="B2073" s="186" t="str">
        <f>IFERROR(__xludf.DUMMYFUNCTION("""COMPUTED_VALUE"""),"PI4816Y")</f>
        <v>PI4816Y</v>
      </c>
      <c r="C2073" s="186" t="str">
        <f>IFERROR(__xludf.DUMMYFUNCTION("""COMPUTED_VALUE"""),"GARRAFA MUDA DE COR HP MAPA DO MAROTO")</f>
        <v>GARRAFA MUDA DE COR HP MAPA DO MAROTO</v>
      </c>
      <c r="D2073" s="186" t="str">
        <f>IFERROR(__xludf.DUMMYFUNCTION("""COMPUTED_VALUE"""),"FALSO")</f>
        <v>FALSO</v>
      </c>
    </row>
    <row r="2074">
      <c r="B2074" s="186" t="str">
        <f>IFERROR(__xludf.DUMMYFUNCTION("""COMPUTED_VALUE"""),"PI5786Y")</f>
        <v>PI5786Y</v>
      </c>
      <c r="C2074" s="186" t="str">
        <f>IFERROR(__xludf.DUMMYFUNCTION("""COMPUTED_VALUE"""),"GARRAFA MUDA DE COR MISTICO UNIVERSO")</f>
        <v>GARRAFA MUDA DE COR MISTICO UNIVERSO</v>
      </c>
      <c r="D2074" s="186" t="str">
        <f>IFERROR(__xludf.DUMMYFUNCTION("""COMPUTED_VALUE"""),"FALSO")</f>
        <v>FALSO</v>
      </c>
    </row>
    <row r="2075">
      <c r="B2075" s="186" t="str">
        <f>IFERROR(__xludf.DUMMYFUNCTION("""COMPUTED_VALUE"""),"PI5146Y")</f>
        <v>PI5146Y</v>
      </c>
      <c r="C2075" s="186" t="str">
        <f>IFERROR(__xludf.DUMMYFUNCTION("""COMPUTED_VALUE"""),"GARRAFA MUDA DE COR STRANGER THINGS AZUL")</f>
        <v>GARRAFA MUDA DE COR STRANGER THINGS AZUL</v>
      </c>
      <c r="D2075" s="186" t="str">
        <f>IFERROR(__xludf.DUMMYFUNCTION("""COMPUTED_VALUE"""),"FALSO")</f>
        <v>FALSO</v>
      </c>
    </row>
    <row r="2076">
      <c r="B2076" s="186" t="str">
        <f>IFERROR(__xludf.DUMMYFUNCTION("""COMPUTED_VALUE"""),"PI6029Y")</f>
        <v>PI6029Y</v>
      </c>
      <c r="C2076" s="186" t="str">
        <f>IFERROR(__xludf.DUMMYFUNCTION("""COMPUTED_VALUE"""),"COPO MUDA COR POCAO POLISSUCO HP")</f>
        <v>COPO MUDA COR POCAO POLISSUCO HP</v>
      </c>
      <c r="D2076" s="186" t="str">
        <f>IFERROR(__xludf.DUMMYFUNCTION("""COMPUTED_VALUE"""),"FALSO")</f>
        <v>FALSO</v>
      </c>
    </row>
    <row r="2077">
      <c r="B2077" s="186" t="str">
        <f>IFERROR(__xludf.DUMMYFUNCTION("""COMPUTED_VALUE"""),"PI5043Y")</f>
        <v>PI5043Y</v>
      </c>
      <c r="C2077" s="186" t="str">
        <f>IFERROR(__xludf.DUMMYFUNCTION("""COMPUTED_VALUE"""),"GARRAFA DE VIDRO MUDA DE COR TO CHEIA")</f>
        <v>GARRAFA DE VIDRO MUDA DE COR TO CHEIA</v>
      </c>
      <c r="D2077" s="186" t="str">
        <f>IFERROR(__xludf.DUMMYFUNCTION("""COMPUTED_VALUE"""),"FALSO")</f>
        <v>FALSO</v>
      </c>
    </row>
    <row r="2078">
      <c r="B2078" s="186" t="str">
        <f>IFERROR(__xludf.DUMMYFUNCTION("""COMPUTED_VALUE"""),"PI5494Y")</f>
        <v>PI5494Y</v>
      </c>
      <c r="C2078" s="186" t="str">
        <f>IFERROR(__xludf.DUMMYFUNCTION("""COMPUTED_VALUE"""),"CANECO TERMOSSENSIVEL CACA GELADA")</f>
        <v>CANECO TERMOSSENSIVEL CACA GELADA</v>
      </c>
      <c r="D2078" s="186" t="str">
        <f>IFERROR(__xludf.DUMMYFUNCTION("""COMPUTED_VALUE"""),"FALSO")</f>
        <v>FALSO</v>
      </c>
    </row>
    <row r="2079">
      <c r="B2079" s="186" t="str">
        <f>IFERROR(__xludf.DUMMYFUNCTION("""COMPUTED_VALUE"""),"PI5494Y")</f>
        <v>PI5494Y</v>
      </c>
      <c r="C2079" s="186" t="str">
        <f>IFERROR(__xludf.DUMMYFUNCTION("""COMPUTED_VALUE"""),"CANECO TERMOSSENSIVEL CACA GELADA")</f>
        <v>CANECO TERMOSSENSIVEL CACA GELADA</v>
      </c>
      <c r="D2079" s="186" t="str">
        <f>IFERROR(__xludf.DUMMYFUNCTION("""COMPUTED_VALUE"""),"FALSO")</f>
        <v>FALSO</v>
      </c>
    </row>
    <row r="2080">
      <c r="B2080" s="186" t="str">
        <f>IFERROR(__xludf.DUMMYFUNCTION("""COMPUTED_VALUE"""),"PI5578Y")</f>
        <v>PI5578Y</v>
      </c>
      <c r="C2080" s="186" t="str">
        <f>IFERROR(__xludf.DUMMYFUNCTION("""COMPUTED_VALUE"""),"GUARDA CHUVA MUDA DE COR SMILES")</f>
        <v>GUARDA CHUVA MUDA DE COR SMILES</v>
      </c>
      <c r="D2080" s="186" t="str">
        <f>IFERROR(__xludf.DUMMYFUNCTION("""COMPUTED_VALUE"""),"FALSO")</f>
        <v>FALSO</v>
      </c>
    </row>
    <row r="2081">
      <c r="B2081" s="186" t="str">
        <f>IFERROR(__xludf.DUMMYFUNCTION("""COMPUTED_VALUE"""),"CS2163")</f>
        <v>CS2163</v>
      </c>
      <c r="C2081" s="186" t="str">
        <f>IFERROR(__xludf.DUMMYFUNCTION("""COMPUTED_VALUE"""),"CONJUNTO CANECAS EMPILHAVEIS HP FEITICOS")</f>
        <v>CONJUNTO CANECAS EMPILHAVEIS HP FEITICOS</v>
      </c>
      <c r="D2081" s="186" t="str">
        <f>IFERROR(__xludf.DUMMYFUNCTION("""COMPUTED_VALUE"""),"FALSO")</f>
        <v>FALSO</v>
      </c>
    </row>
    <row r="2082">
      <c r="B2082" s="186" t="str">
        <f>IFERROR(__xludf.DUMMYFUNCTION("""COMPUTED_VALUE"""),"CS2162")</f>
        <v>CS2162</v>
      </c>
      <c r="C2082" s="186" t="str">
        <f>IFERROR(__xludf.DUMMYFUNCTION("""COMPUTED_VALUE"""),"CONJUNTO CANECAS EMPILHAVEIS SOL E LUA")</f>
        <v>CONJUNTO CANECAS EMPILHAVEIS SOL E LUA</v>
      </c>
      <c r="D2082" s="186" t="str">
        <f>IFERROR(__xludf.DUMMYFUNCTION("""COMPUTED_VALUE"""),"FALSO")</f>
        <v>FALSO</v>
      </c>
    </row>
    <row r="2083">
      <c r="B2083" s="186" t="str">
        <f>IFERROR(__xludf.DUMMYFUNCTION("""COMPUTED_VALUE"""),"CS2064")</f>
        <v>CS2064</v>
      </c>
      <c r="C2083" s="186" t="str">
        <f>IFERROR(__xludf.DUMMYFUNCTION("""COMPUTED_VALUE"""),"CONJUNTO DE CANECAS CAFE COM LEITE")</f>
        <v>CONJUNTO DE CANECAS CAFE COM LEITE</v>
      </c>
      <c r="D2083" s="186" t="str">
        <f>IFERROR(__xludf.DUMMYFUNCTION("""COMPUTED_VALUE"""),"FALSO")</f>
        <v>FALSO</v>
      </c>
    </row>
    <row r="2084">
      <c r="B2084" s="186" t="str">
        <f>IFERROR(__xludf.DUMMYFUNCTION("""COMPUTED_VALUE"""),"CS1935")</f>
        <v>CS1935</v>
      </c>
      <c r="C2084" s="186" t="str">
        <f>IFERROR(__xludf.DUMMYFUNCTION("""COMPUTED_VALUE"""),"CONJUNTO DE CANECAS CAFE E CAFEZINHO")</f>
        <v>CONJUNTO DE CANECAS CAFE E CAFEZINHO</v>
      </c>
      <c r="D2084" s="186" t="str">
        <f>IFERROR(__xludf.DUMMYFUNCTION("""COMPUTED_VALUE"""),"FALSO")</f>
        <v>FALSO</v>
      </c>
    </row>
    <row r="2085">
      <c r="B2085" s="186" t="str">
        <f>IFERROR(__xludf.DUMMYFUNCTION("""COMPUTED_VALUE"""),"CS2206")</f>
        <v>CS2206</v>
      </c>
      <c r="C2085" s="358" t="str">
        <f>IFERROR(__xludf.DUMMYFUNCTION("""COMPUTED_VALUE"""),"CONJUNTO DE CANECAS CORACAO SORTE")</f>
        <v>CONJUNTO DE CANECAS CORACAO SORTE</v>
      </c>
      <c r="D2085" s="186" t="str">
        <f>IFERROR(__xludf.DUMMYFUNCTION("""COMPUTED_VALUE"""),"FALSO")</f>
        <v>FALSO</v>
      </c>
    </row>
    <row r="2086">
      <c r="B2086" s="186" t="str">
        <f>IFERROR(__xludf.DUMMYFUNCTION("""COMPUTED_VALUE"""),"CS2161")</f>
        <v>CS2161</v>
      </c>
      <c r="C2086" s="186" t="str">
        <f>IFERROR(__xludf.DUMMYFUNCTION("""COMPUTED_VALUE"""),"CONJUNTO DE CANECAS EMPILHAVEIS BARALHO")</f>
        <v>CONJUNTO DE CANECAS EMPILHAVEIS BARALHO</v>
      </c>
      <c r="D2086" s="186" t="str">
        <f>IFERROR(__xludf.DUMMYFUNCTION("""COMPUTED_VALUE"""),"FALSO")</f>
        <v>FALSO</v>
      </c>
    </row>
    <row r="2087">
      <c r="B2087" s="186" t="str">
        <f>IFERROR(__xludf.DUMMYFUNCTION("""COMPUTED_VALUE"""),"CS2129")</f>
        <v>CS2129</v>
      </c>
      <c r="C2087" s="186" t="str">
        <f>IFERROR(__xludf.DUMMYFUNCTION("""COMPUTED_VALUE"""),"CONJUNTO DE CANECAS HORA DO CAFE")</f>
        <v>CONJUNTO DE CANECAS HORA DO CAFE</v>
      </c>
      <c r="D2087" s="186" t="str">
        <f>IFERROR(__xludf.DUMMYFUNCTION("""COMPUTED_VALUE"""),"FALSO")</f>
        <v>FALSO</v>
      </c>
    </row>
    <row r="2088">
      <c r="B2088" s="186" t="str">
        <f>IFERROR(__xludf.DUMMYFUNCTION("""COMPUTED_VALUE"""),"CS1983")</f>
        <v>CS1983</v>
      </c>
      <c r="C2088" s="186" t="str">
        <f>IFERROR(__xludf.DUMMYFUNCTION("""COMPUTED_VALUE"""),"CONJUNTO DE CANECAS PASSADO E FUTURO")</f>
        <v>CONJUNTO DE CANECAS PASSADO E FUTURO</v>
      </c>
      <c r="D2088" s="186" t="str">
        <f>IFERROR(__xludf.DUMMYFUNCTION("""COMPUTED_VALUE"""),"FALSO")</f>
        <v>FALSO</v>
      </c>
    </row>
    <row r="2089">
      <c r="B2089" s="186" t="str">
        <f>IFERROR(__xludf.DUMMYFUNCTION("""COMPUTED_VALUE"""),"CS2076")</f>
        <v>CS2076</v>
      </c>
      <c r="C2089" s="186" t="str">
        <f>IFERROR(__xludf.DUMMYFUNCTION("""COMPUTED_VALUE"""),"CONJUNTO DE XICARAS BORA")</f>
        <v>CONJUNTO DE XICARAS BORA</v>
      </c>
      <c r="D2089" s="186" t="str">
        <f>IFERROR(__xludf.DUMMYFUNCTION("""COMPUTED_VALUE"""),"FALSO")</f>
        <v>FALSO</v>
      </c>
    </row>
    <row r="2090">
      <c r="B2090" s="186" t="str">
        <f>IFERROR(__xludf.DUMMYFUNCTION("""COMPUTED_VALUE"""),"CS1968")</f>
        <v>CS1968</v>
      </c>
      <c r="C2090" s="186" t="str">
        <f>IFERROR(__xludf.DUMMYFUNCTION("""COMPUTED_VALUE"""),"CONJUNTO DE XICARAS HP CASAS HOGWARTS")</f>
        <v>CONJUNTO DE XICARAS HP CASAS HOGWARTS</v>
      </c>
      <c r="D2090" s="186" t="str">
        <f>IFERROR(__xludf.DUMMYFUNCTION("""COMPUTED_VALUE"""),"FALSO")</f>
        <v>FALSO</v>
      </c>
    </row>
    <row r="2091">
      <c r="B2091" s="186" t="str">
        <f>IFERROR(__xludf.DUMMYFUNCTION("""COMPUTED_VALUE"""),"CS1968")</f>
        <v>CS1968</v>
      </c>
      <c r="C2091" s="186" t="str">
        <f>IFERROR(__xludf.DUMMYFUNCTION("""COMPUTED_VALUE"""),"CONJUNTO DE XICARAS HP CASAS HOGWARTS")</f>
        <v>CONJUNTO DE XICARAS HP CASAS HOGWARTS</v>
      </c>
      <c r="D2091" s="186" t="str">
        <f>IFERROR(__xludf.DUMMYFUNCTION("""COMPUTED_VALUE"""),"FALSO")</f>
        <v>FALSO</v>
      </c>
    </row>
    <row r="2092">
      <c r="B2092" s="186" t="str">
        <f>IFERROR(__xludf.DUMMYFUNCTION("""COMPUTED_VALUE"""),"CS2045")</f>
        <v>CS2045</v>
      </c>
      <c r="C2092" s="186" t="str">
        <f>IFERROR(__xludf.DUMMYFUNCTION("""COMPUTED_VALUE"""),"CONJUNTO DE XICARAS STRANGER THINGS WILL")</f>
        <v>CONJUNTO DE XICARAS STRANGER THINGS WILL</v>
      </c>
      <c r="D2092" s="186" t="str">
        <f>IFERROR(__xludf.DUMMYFUNCTION("""COMPUTED_VALUE"""),"FALSO")</f>
        <v>FALSO</v>
      </c>
    </row>
    <row r="2093">
      <c r="B2093" s="186" t="str">
        <f>IFERROR(__xludf.DUMMYFUNCTION("""COMPUTED_VALUE"""),"PI6283Y")</f>
        <v>PI6283Y</v>
      </c>
      <c r="C2093" s="186" t="str">
        <f>IFERROR(__xludf.DUMMYFUNCTION("""COMPUTED_VALUE"""),"COOLER COM ALÇAS FICA FRIO")</f>
        <v>COOLER COM ALÇAS FICA FRIO</v>
      </c>
      <c r="D2093" s="186" t="str">
        <f>IFERROR(__xludf.DUMMYFUNCTION("""COMPUTED_VALUE"""),"FALSO")</f>
        <v>FALSO</v>
      </c>
    </row>
    <row r="2094">
      <c r="B2094" s="186" t="str">
        <f>IFERROR(__xludf.DUMMYFUNCTION("""COMPUTED_VALUE"""),"PI5507Y")</f>
        <v>PI5507Y</v>
      </c>
      <c r="C2094" s="186" t="str">
        <f>IFERROR(__xludf.DUMMYFUNCTION("""COMPUTED_VALUE"""),"COOLER CARRINHO BEBIDA POR CONTA DA CASA")</f>
        <v>COOLER CARRINHO BEBIDA POR CONTA DA CASA</v>
      </c>
      <c r="D2094" s="186" t="str">
        <f>IFERROR(__xludf.DUMMYFUNCTION("""COMPUTED_VALUE"""),"FALSO")</f>
        <v>FALSO</v>
      </c>
    </row>
    <row r="2095">
      <c r="B2095" s="186" t="str">
        <f>IFERROR(__xludf.DUMMYFUNCTION("""COMPUTED_VALUE"""),"PI7287Y")</f>
        <v>PI7287Y</v>
      </c>
      <c r="C2095" s="186" t="str">
        <f>IFERROR(__xludf.DUMMYFUNCTION("""COMPUTED_VALUE"""),"COOLER CARRINHO OPEN BAR")</f>
        <v>COOLER CARRINHO OPEN BAR</v>
      </c>
      <c r="D2095" s="186" t="str">
        <f>IFERROR(__xludf.DUMMYFUNCTION("""COMPUTED_VALUE"""),"FALSO")</f>
        <v>FALSO</v>
      </c>
    </row>
    <row r="2096">
      <c r="B2096" s="186" t="str">
        <f>IFERROR(__xludf.DUMMYFUNCTION("""COMPUTED_VALUE"""),"CS2113")</f>
        <v>CS2113</v>
      </c>
      <c r="C2096" s="186" t="str">
        <f>IFERROR(__xludf.DUMMYFUNCTION("""COMPUTED_VALUE"""),"COPO PARA CERVEJA SE EU FOR TU WEISS")</f>
        <v>COPO PARA CERVEJA SE EU FOR TU WEISS</v>
      </c>
      <c r="D2096" s="186" t="str">
        <f>IFERROR(__xludf.DUMMYFUNCTION("""COMPUTED_VALUE"""),"FALSO")</f>
        <v>FALSO</v>
      </c>
    </row>
    <row r="2097">
      <c r="B2097" s="186" t="str">
        <f>IFERROR(__xludf.DUMMYFUNCTION("""COMPUTED_VALUE"""),"CS2113")</f>
        <v>CS2113</v>
      </c>
      <c r="C2097" s="186" t="str">
        <f>IFERROR(__xludf.DUMMYFUNCTION("""COMPUTED_VALUE"""),"COPO PARA CERVEJA SE EU FOR TU WEISS")</f>
        <v>COPO PARA CERVEJA SE EU FOR TU WEISS</v>
      </c>
      <c r="D2097" s="186" t="str">
        <f>IFERROR(__xludf.DUMMYFUNCTION("""COMPUTED_VALUE"""),"FALSO")</f>
        <v>FALSO</v>
      </c>
    </row>
    <row r="2098">
      <c r="B2098" s="186" t="str">
        <f>IFERROR(__xludf.DUMMYFUNCTION("""COMPUTED_VALUE"""),"PI7893Y")</f>
        <v>PI7893Y</v>
      </c>
      <c r="C2098" s="186" t="str">
        <f>IFERROR(__xludf.DUMMYFUNCTION("""COMPUTED_VALUE"""),"ALMOFADA COTELE FLOR LILAS")</f>
        <v>ALMOFADA COTELE FLOR LILAS</v>
      </c>
      <c r="D2098" s="186" t="str">
        <f>IFERROR(__xludf.DUMMYFUNCTION("""COMPUTED_VALUE"""),"FALSO")</f>
        <v>FALSO</v>
      </c>
    </row>
    <row r="2099">
      <c r="B2099" s="186" t="str">
        <f>IFERROR(__xludf.DUMMYFUNCTION("""COMPUTED_VALUE"""),"PI7894Y")</f>
        <v>PI7894Y</v>
      </c>
      <c r="C2099" s="186" t="str">
        <f>IFERROR(__xludf.DUMMYFUNCTION("""COMPUTED_VALUE"""),"ALMOFADA COTELE FLOR VERDE CLARO")</f>
        <v>ALMOFADA COTELE FLOR VERDE CLARO</v>
      </c>
      <c r="D2099" s="186" t="str">
        <f>IFERROR(__xludf.DUMMYFUNCTION("""COMPUTED_VALUE"""),"FALSO")</f>
        <v>FALSO</v>
      </c>
    </row>
    <row r="2100">
      <c r="B2100" s="186" t="str">
        <f>IFERROR(__xludf.DUMMYFUNCTION("""COMPUTED_VALUE"""),"PI7891Y")</f>
        <v>PI7891Y</v>
      </c>
      <c r="C2100" s="186" t="str">
        <f>IFERROR(__xludf.DUMMYFUNCTION("""COMPUTED_VALUE"""),"ALMOFADA COTELE MARGARIDA BRANCA")</f>
        <v>ALMOFADA COTELE MARGARIDA BRANCA</v>
      </c>
      <c r="D2100" s="186" t="str">
        <f>IFERROR(__xludf.DUMMYFUNCTION("""COMPUTED_VALUE"""),"FALSO")</f>
        <v>FALSO</v>
      </c>
    </row>
    <row r="2101">
      <c r="B2101" s="186" t="str">
        <f>IFERROR(__xludf.DUMMYFUNCTION("""COMPUTED_VALUE"""),"PI7892Y")</f>
        <v>PI7892Y</v>
      </c>
      <c r="C2101" s="186" t="str">
        <f>IFERROR(__xludf.DUMMYFUNCTION("""COMPUTED_VALUE"""),"ALMOFADA COTELE MARGARIDA AMARELA")</f>
        <v>ALMOFADA COTELE MARGARIDA AMARELA</v>
      </c>
      <c r="D2101" s="186" t="str">
        <f>IFERROR(__xludf.DUMMYFUNCTION("""COMPUTED_VALUE"""),"FALSO")</f>
        <v>FALSO</v>
      </c>
    </row>
    <row r="2102">
      <c r="B2102" s="186" t="str">
        <f>IFERROR(__xludf.DUMMYFUNCTION("""COMPUTED_VALUE"""),"PI6599Y")</f>
        <v>PI6599Y</v>
      </c>
      <c r="C2102" s="186" t="str">
        <f>IFERROR(__xludf.DUMMYFUNCTION("""COMPUTED_VALUE"""),"PORTA ROLHAS NA LUTA E NA GLORIA")</f>
        <v>PORTA ROLHAS NA LUTA E NA GLORIA</v>
      </c>
      <c r="D2102" s="186" t="str">
        <f>IFERROR(__xludf.DUMMYFUNCTION("""COMPUTED_VALUE"""),"FALSO")</f>
        <v>FALSO</v>
      </c>
    </row>
    <row r="2103">
      <c r="B2103" s="186" t="str">
        <f>IFERROR(__xludf.DUMMYFUNCTION("""COMPUTED_VALUE"""),"PI5988Y")</f>
        <v>PI5988Y</v>
      </c>
      <c r="C2103" s="186" t="str">
        <f>IFERROR(__xludf.DUMMYFUNCTION("""COMPUTED_VALUE"""),"PORTA ROLHAS MINHA VIDA SOCIAL")</f>
        <v>PORTA ROLHAS MINHA VIDA SOCIAL</v>
      </c>
      <c r="D2103" s="186" t="str">
        <f>IFERROR(__xludf.DUMMYFUNCTION("""COMPUTED_VALUE"""),"FALSO")</f>
        <v>FALSO</v>
      </c>
    </row>
    <row r="2104">
      <c r="B2104" s="186" t="str">
        <f>IFERROR(__xludf.DUMMYFUNCTION("""COMPUTED_VALUE"""),"PI4243Y")</f>
        <v>PI4243Y</v>
      </c>
      <c r="C2104" s="186" t="str">
        <f>IFERROR(__xludf.DUMMYFUNCTION("""COMPUTED_VALUE"""),"BANDEJA LAPTOP DOBRAVEL CORTICA")</f>
        <v>BANDEJA LAPTOP DOBRAVEL CORTICA</v>
      </c>
      <c r="D2104" s="186" t="str">
        <f>IFERROR(__xludf.DUMMYFUNCTION("""COMPUTED_VALUE"""),"FALSO")</f>
        <v>FALSO</v>
      </c>
    </row>
    <row r="2105">
      <c r="B2105" s="186" t="str">
        <f>IFERROR(__xludf.DUMMYFUNCTION("""COMPUTED_VALUE"""),"US0085")</f>
        <v>US0085</v>
      </c>
      <c r="C2105" s="186" t="str">
        <f>IFERROR(__xludf.DUMMYFUNCTION("""COMPUTED_VALUE"""),"LUMINARIA CORUJA NATURAL")</f>
        <v>LUMINARIA CORUJA NATURAL</v>
      </c>
      <c r="D2105" s="186" t="str">
        <f>IFERROR(__xludf.DUMMYFUNCTION("""COMPUTED_VALUE"""),"FALSO")</f>
        <v>FALSO</v>
      </c>
    </row>
    <row r="2106">
      <c r="B2106" s="186" t="str">
        <f>IFERROR(__xludf.DUMMYFUNCTION("""COMPUTED_VALUE"""),"PI6271Y")</f>
        <v>PI6271Y</v>
      </c>
      <c r="C2106" s="186" t="str">
        <f>IFERROR(__xludf.DUMMYFUNCTION("""COMPUTED_VALUE"""),"ORGANIZADOR DE COSMÉTICOS TUDO JUNTO")</f>
        <v>ORGANIZADOR DE COSMÉTICOS TUDO JUNTO</v>
      </c>
      <c r="D2106" s="186" t="str">
        <f>IFERROR(__xludf.DUMMYFUNCTION("""COMPUTED_VALUE"""),"FALSO")</f>
        <v>FALSO</v>
      </c>
    </row>
    <row r="2107">
      <c r="B2107" s="186" t="str">
        <f>IFERROR(__xludf.DUMMYFUNCTION("""COMPUTED_VALUE"""),"PI7005Y")</f>
        <v>PI7005Y</v>
      </c>
      <c r="C2107" s="186" t="str">
        <f>IFERROR(__xludf.DUMMYFUNCTION("""COMPUTED_VALUE"""),"ORGANIZADOR DE COSMETICOS TUDO JUNTO")</f>
        <v>ORGANIZADOR DE COSMETICOS TUDO JUNTO</v>
      </c>
      <c r="D2107" s="186" t="str">
        <f>IFERROR(__xludf.DUMMYFUNCTION("""COMPUTED_VALUE"""),"FALSO")</f>
        <v>FALSO</v>
      </c>
    </row>
    <row r="2108">
      <c r="B2108" s="186" t="str">
        <f>IFERROR(__xludf.DUMMYFUNCTION("""COMPUTED_VALUE"""),"PI7615Y")</f>
        <v>PI7615Y</v>
      </c>
      <c r="C2108" s="186" t="str">
        <f>IFERROR(__xludf.DUMMYFUNCTION("""COMPUTED_VALUE"""),"ORGANIZADOR DE COSMETICOS MELHOR VIAGEM")</f>
        <v>ORGANIZADOR DE COSMETICOS MELHOR VIAGEM</v>
      </c>
      <c r="D2108" s="186" t="str">
        <f>IFERROR(__xludf.DUMMYFUNCTION("""COMPUTED_VALUE"""),"FALSO")</f>
        <v>FALSO</v>
      </c>
    </row>
    <row r="2109">
      <c r="B2109" s="186" t="str">
        <f>IFERROR(__xludf.DUMMYFUNCTION("""COMPUTED_VALUE"""),"PI7080Y")</f>
        <v>PI7080Y</v>
      </c>
      <c r="C2109" s="186" t="str">
        <f>IFERROR(__xludf.DUMMYFUNCTION("""COMPUTED_VALUE"""),"ORGANIZADOR DE COSMETICOS LIVRE E LEVE")</f>
        <v>ORGANIZADOR DE COSMETICOS LIVRE E LEVE</v>
      </c>
      <c r="D2109" s="186" t="str">
        <f>IFERROR(__xludf.DUMMYFUNCTION("""COMPUTED_VALUE"""),"FALSO")</f>
        <v>FALSO</v>
      </c>
    </row>
    <row r="2110">
      <c r="B2110" s="186" t="str">
        <f>IFERROR(__xludf.DUMMYFUNCTION("""COMPUTED_VALUE"""),"PI6272Y")</f>
        <v>PI6272Y</v>
      </c>
      <c r="C2110" s="186" t="str">
        <f>IFERROR(__xludf.DUMMYFUNCTION("""COMPUTED_VALUE"""),"ORGANIZADOR DE COSMÉTICOS A VIDA FLUI")</f>
        <v>ORGANIZADOR DE COSMÉTICOS A VIDA FLUI</v>
      </c>
      <c r="D2110" s="186" t="str">
        <f>IFERROR(__xludf.DUMMYFUNCTION("""COMPUTED_VALUE"""),"FALSO")</f>
        <v>FALSO</v>
      </c>
    </row>
    <row r="2111">
      <c r="B2111" s="186" t="str">
        <f>IFERROR(__xludf.DUMMYFUNCTION("""COMPUTED_VALUE"""),"PI7616Y")</f>
        <v>PI7616Y</v>
      </c>
      <c r="C2111" s="186" t="str">
        <f>IFERROR(__xludf.DUMMYFUNCTION("""COMPUTED_VALUE"""),"ORGANIZADOR DE COSMETICOS ORGANIZADO")</f>
        <v>ORGANIZADOR DE COSMETICOS ORGANIZADO</v>
      </c>
      <c r="D2111" s="186" t="str">
        <f>IFERROR(__xludf.DUMMYFUNCTION("""COMPUTED_VALUE"""),"FALSO")</f>
        <v>FALSO</v>
      </c>
    </row>
    <row r="2112">
      <c r="B2112" s="186" t="str">
        <f>IFERROR(__xludf.DUMMYFUNCTION("""COMPUTED_VALUE"""),"PI5091Y")</f>
        <v>PI5091Y</v>
      </c>
      <c r="C2112" s="186" t="str">
        <f>IFERROR(__xludf.DUMMYFUNCTION("""COMPUTED_VALUE"""),"KIT FRASCOS PARA VIAGEM MENTA")</f>
        <v>KIT FRASCOS PARA VIAGEM MENTA</v>
      </c>
      <c r="D2112" s="186" t="str">
        <f>IFERROR(__xludf.DUMMYFUNCTION("""COMPUTED_VALUE"""),"FALSO")</f>
        <v>FALSO</v>
      </c>
    </row>
    <row r="2113">
      <c r="B2113" s="186" t="str">
        <f>IFERROR(__xludf.DUMMYFUNCTION("""COMPUTED_VALUE"""),"PI7809Y")</f>
        <v>PI7809Y</v>
      </c>
      <c r="C2113" s="186"/>
      <c r="D2113" s="186" t="str">
        <f>IFERROR(__xludf.DUMMYFUNCTION("""COMPUTED_VALUE"""),"FALSO")</f>
        <v>FALSO</v>
      </c>
    </row>
    <row r="2114">
      <c r="B2114" s="186" t="str">
        <f>IFERROR(__xludf.DUMMYFUNCTION("""COMPUTED_VALUE"""),"PI5891Y")</f>
        <v>PI5891Y</v>
      </c>
      <c r="C2114" s="186" t="str">
        <f>IFERROR(__xludf.DUMMYFUNCTION("""COMPUTED_VALUE"""),"KIT CANETAS DE MARCAR COPOS E TACAS BORA")</f>
        <v>KIT CANETAS DE MARCAR COPOS E TACAS BORA</v>
      </c>
      <c r="D2114" s="186" t="str">
        <f>IFERROR(__xludf.DUMMYFUNCTION("""COMPUTED_VALUE"""),"FALSO")</f>
        <v>FALSO</v>
      </c>
    </row>
    <row r="2115">
      <c r="B2115" s="186" t="str">
        <f>IFERROR(__xludf.DUMMYFUNCTION("""COMPUTED_VALUE"""),"US0086")</f>
        <v>US0086</v>
      </c>
      <c r="C2115" s="186" t="str">
        <f>IFERROR(__xludf.DUMMYFUNCTION("""COMPUTED_VALUE"""),"LUMINARIA CUPCAKE KAWAII")</f>
        <v>LUMINARIA CUPCAKE KAWAII</v>
      </c>
      <c r="D2115" s="186" t="str">
        <f>IFERROR(__xludf.DUMMYFUNCTION("""COMPUTED_VALUE"""),"FALSO")</f>
        <v>FALSO</v>
      </c>
    </row>
    <row r="2116">
      <c r="B2116" s="186" t="str">
        <f>IFERROR(__xludf.DUMMYFUNCTION("""COMPUTED_VALUE"""),"PI6511Y")</f>
        <v>PI6511Y</v>
      </c>
      <c r="C2116" s="186" t="str">
        <f>IFERROR(__xludf.DUMMYFUNCTION("""COMPUTED_VALUE"""),"COPO PRENSA PAIXAO E EXPRESSO")</f>
        <v>COPO PRENSA PAIXAO E EXPRESSO</v>
      </c>
      <c r="D2116" s="186" t="str">
        <f>IFERROR(__xludf.DUMMYFUNCTION("""COMPUTED_VALUE"""),"FALSO")</f>
        <v>FALSO</v>
      </c>
    </row>
    <row r="2117">
      <c r="B2117" s="186" t="str">
        <f>IFERROR(__xludf.DUMMYFUNCTION("""COMPUTED_VALUE"""),"PI5885Y")</f>
        <v>PI5885Y</v>
      </c>
      <c r="C2117" s="186" t="str">
        <f>IFERROR(__xludf.DUMMYFUNCTION("""COMPUTED_VALUE"""),"KIT COPOS E GARRAFA DOSES DE SABEDORIA")</f>
        <v>KIT COPOS E GARRAFA DOSES DE SABEDORIA</v>
      </c>
      <c r="D2117" s="186" t="str">
        <f>IFERROR(__xludf.DUMMYFUNCTION("""COMPUTED_VALUE"""),"FALSO")</f>
        <v>FALSO</v>
      </c>
    </row>
    <row r="2118">
      <c r="B2118" s="186" t="str">
        <f>IFERROR(__xludf.DUMMYFUNCTION("""COMPUTED_VALUE"""),"PI5096Y")</f>
        <v>PI5096Y</v>
      </c>
      <c r="C2118" s="186" t="str">
        <f>IFERROR(__xludf.DUMMYFUNCTION("""COMPUTED_VALUE"""),"COPO COM ABRIDOR ZECA DEIXAR ROLAR")</f>
        <v>COPO COM ABRIDOR ZECA DEIXAR ROLAR</v>
      </c>
      <c r="D2118" s="186" t="str">
        <f>IFERROR(__xludf.DUMMYFUNCTION("""COMPUTED_VALUE"""),"FALSO")</f>
        <v>FALSO</v>
      </c>
    </row>
    <row r="2119">
      <c r="B2119" s="186" t="str">
        <f>IFERROR(__xludf.DUMMYFUNCTION("""COMPUTED_VALUE"""),"PI6341Y")</f>
        <v>PI6341Y</v>
      </c>
      <c r="C2119" s="186" t="str">
        <f>IFERROR(__xludf.DUMMYFUNCTION("""COMPUTED_VALUE"""),"COPO MOEDOR ELÉTRICO MOÍDO NA HORA")</f>
        <v>COPO MOEDOR ELÉTRICO MOÍDO NA HORA</v>
      </c>
      <c r="D2119" s="186" t="str">
        <f>IFERROR(__xludf.DUMMYFUNCTION("""COMPUTED_VALUE"""),"FALSO")</f>
        <v>FALSO</v>
      </c>
    </row>
    <row r="2120">
      <c r="B2120" s="186" t="str">
        <f>IFERROR(__xludf.DUMMYFUNCTION("""COMPUTED_VALUE"""),"PI4877Y")</f>
        <v>PI4877Y</v>
      </c>
      <c r="C2120" s="186" t="str">
        <f>IFERROR(__xludf.DUMMYFUNCTION("""COMPUTED_VALUE"""),"COPO CONGELAVEL COM CANUDO REFIL GRATIS")</f>
        <v>COPO CONGELAVEL COM CANUDO REFIL GRATIS</v>
      </c>
      <c r="D2120" s="186" t="str">
        <f>IFERROR(__xludf.DUMMYFUNCTION("""COMPUTED_VALUE"""),"FALSO")</f>
        <v>FALSO</v>
      </c>
    </row>
    <row r="2121">
      <c r="B2121" s="186" t="str">
        <f>IFERROR(__xludf.DUMMYFUNCTION("""COMPUTED_VALUE"""),"PI7700Y")</f>
        <v>PI7700Y</v>
      </c>
      <c r="C2121" s="358" t="str">
        <f>IFERROR(__xludf.DUMMYFUNCTION("""COMPUTED_VALUE"""),"COPO COM ALCA E TERMOMETRO OFF WHITE")</f>
        <v>COPO COM ALCA E TERMOMETRO OFF WHITE</v>
      </c>
      <c r="D2121" s="186" t="str">
        <f>IFERROR(__xludf.DUMMYFUNCTION("""COMPUTED_VALUE"""),"FALSO")</f>
        <v>FALSO</v>
      </c>
    </row>
    <row r="2122">
      <c r="B2122" s="186" t="str">
        <f>IFERROR(__xludf.DUMMYFUNCTION("""COMPUTED_VALUE"""),"PI5928Y")</f>
        <v>PI5928Y</v>
      </c>
      <c r="C2122" s="186" t="str">
        <f>IFERROR(__xludf.DUMMYFUNCTION("""COMPUTED_VALUE"""),"CANECA COM COLHER E TAMPA AMOR DE MAE")</f>
        <v>CANECA COM COLHER E TAMPA AMOR DE MAE</v>
      </c>
      <c r="D2122" s="186" t="str">
        <f>IFERROR(__xludf.DUMMYFUNCTION("""COMPUTED_VALUE"""),"FALSO")</f>
        <v>FALSO</v>
      </c>
    </row>
    <row r="2123">
      <c r="B2123" s="186" t="str">
        <f>IFERROR(__xludf.DUMMYFUNCTION("""COMPUTED_VALUE"""),"PI5113Y")</f>
        <v>PI5113Y</v>
      </c>
      <c r="C2123" s="186" t="str">
        <f>IFERROR(__xludf.DUMMYFUNCTION("""COMPUTED_VALUE"""),"COPO COM CANUDO E BOIA CAPIVARA")</f>
        <v>COPO COM CANUDO E BOIA CAPIVARA</v>
      </c>
      <c r="D2123" s="186" t="str">
        <f>IFERROR(__xludf.DUMMYFUNCTION("""COMPUTED_VALUE"""),"FALSO")</f>
        <v>FALSO</v>
      </c>
    </row>
    <row r="2124">
      <c r="B2124" s="186" t="str">
        <f>IFERROR(__xludf.DUMMYFUNCTION("""COMPUTED_VALUE"""),"PI5352Y")</f>
        <v>PI5352Y</v>
      </c>
      <c r="C2124" s="186" t="str">
        <f>IFERROR(__xludf.DUMMYFUNCTION("""COMPUTED_VALUE"""),"COPO COM CANUDO CEREJA TO FORA OU BORA")</f>
        <v>COPO COM CANUDO CEREJA TO FORA OU BORA</v>
      </c>
      <c r="D2124" s="186" t="str">
        <f>IFERROR(__xludf.DUMMYFUNCTION("""COMPUTED_VALUE"""),"FALSO")</f>
        <v>FALSO</v>
      </c>
    </row>
    <row r="2125">
      <c r="B2125" s="186" t="str">
        <f>IFERROR(__xludf.DUMMYFUNCTION("""COMPUTED_VALUE"""),"PI5496Y")</f>
        <v>PI5496Y</v>
      </c>
      <c r="C2125" s="186" t="str">
        <f>IFERROR(__xludf.DUMMYFUNCTION("""COMPUTED_VALUE"""),"TACA COM CANUDO GLITTER BONS DRINKS")</f>
        <v>TACA COM CANUDO GLITTER BONS DRINKS</v>
      </c>
      <c r="D2125" s="186" t="str">
        <f>IFERROR(__xludf.DUMMYFUNCTION("""COMPUTED_VALUE"""),"FALSO")</f>
        <v>FALSO</v>
      </c>
    </row>
    <row r="2126">
      <c r="B2126" s="186" t="str">
        <f>IFERROR(__xludf.DUMMYFUNCTION("""COMPUTED_VALUE"""),"PI5482Y")</f>
        <v>PI5482Y</v>
      </c>
      <c r="C2126" s="186" t="str">
        <f>IFERROR(__xludf.DUMMYFUNCTION("""COMPUTED_VALUE"""),"COPO COM CANUDO DEGRADE CORACOES")</f>
        <v>COPO COM CANUDO DEGRADE CORACOES</v>
      </c>
      <c r="D2126" s="186" t="str">
        <f>IFERROR(__xludf.DUMMYFUNCTION("""COMPUTED_VALUE"""),"FALSO")</f>
        <v>FALSO</v>
      </c>
    </row>
    <row r="2127">
      <c r="B2127" s="186" t="str">
        <f>IFERROR(__xludf.DUMMYFUNCTION("""COMPUTED_VALUE"""),"PI5343Y")</f>
        <v>PI5343Y</v>
      </c>
      <c r="C2127" s="186" t="str">
        <f>IFERROR(__xludf.DUMMYFUNCTION("""COMPUTED_VALUE"""),"COPO COM CANUDO LA FLORA")</f>
        <v>COPO COM CANUDO LA FLORA</v>
      </c>
      <c r="D2127" s="186" t="str">
        <f>IFERROR(__xludf.DUMMYFUNCTION("""COMPUTED_VALUE"""),"FALSO")</f>
        <v>FALSO</v>
      </c>
    </row>
    <row r="2128">
      <c r="B2128" s="186" t="str">
        <f>IFERROR(__xludf.DUMMYFUNCTION("""COMPUTED_VALUE"""),"PI6339Y")</f>
        <v>PI6339Y</v>
      </c>
      <c r="C2128" s="186" t="str">
        <f>IFERROR(__xludf.DUMMYFUNCTION("""COMPUTED_VALUE"""),"COPO PARA VIAGEM COM CANUDO PEGA LEVE")</f>
        <v>COPO PARA VIAGEM COM CANUDO PEGA LEVE</v>
      </c>
      <c r="D2128" s="186" t="str">
        <f>IFERROR(__xludf.DUMMYFUNCTION("""COMPUTED_VALUE"""),"FALSO")</f>
        <v>FALSO</v>
      </c>
    </row>
    <row r="2129">
      <c r="B2129" s="186" t="str">
        <f>IFERROR(__xludf.DUMMYFUNCTION("""COMPUTED_VALUE"""),"PI5652Y")</f>
        <v>PI5652Y</v>
      </c>
      <c r="C2129" s="186" t="str">
        <f>IFERROR(__xludf.DUMMYFUNCTION("""COMPUTED_VALUE"""),"ALMOFADA CUPIDO BOM DE MIRA")</f>
        <v>ALMOFADA CUPIDO BOM DE MIRA</v>
      </c>
      <c r="D2129" s="186" t="str">
        <f>IFERROR(__xludf.DUMMYFUNCTION("""COMPUTED_VALUE"""),"FALSO")</f>
        <v>FALSO</v>
      </c>
    </row>
    <row r="2130">
      <c r="B2130" s="186" t="str">
        <f>IFERROR(__xludf.DUMMYFUNCTION("""COMPUTED_VALUE"""),"PI5843Y")</f>
        <v>PI5843Y</v>
      </c>
      <c r="C2130" s="186" t="str">
        <f>IFERROR(__xludf.DUMMYFUNCTION("""COMPUTED_VALUE"""),"ALMOFADA CORACAO SEU ABRACO")</f>
        <v>ALMOFADA CORACAO SEU ABRACO</v>
      </c>
      <c r="D2130" s="186" t="str">
        <f>IFERROR(__xludf.DUMMYFUNCTION("""COMPUTED_VALUE"""),"FALSO")</f>
        <v>FALSO</v>
      </c>
    </row>
    <row r="2131">
      <c r="B2131" s="186" t="str">
        <f>IFERROR(__xludf.DUMMYFUNCTION("""COMPUTED_VALUE"""),"PI5762Y")</f>
        <v>PI5762Y</v>
      </c>
      <c r="C2131" s="186" t="str">
        <f>IFERROR(__xludf.DUMMYFUNCTION("""COMPUTED_VALUE"""),"ALMOFADA MISTICO DE OLHO NO FUTURO")</f>
        <v>ALMOFADA MISTICO DE OLHO NO FUTURO</v>
      </c>
      <c r="D2131" s="186" t="str">
        <f>IFERROR(__xludf.DUMMYFUNCTION("""COMPUTED_VALUE"""),"FALSO")</f>
        <v>FALSO</v>
      </c>
    </row>
    <row r="2132">
      <c r="B2132" s="186" t="str">
        <f>IFERROR(__xludf.DUMMYFUNCTION("""COMPUTED_VALUE"""),"PI5787Y")</f>
        <v>PI5787Y</v>
      </c>
      <c r="C2132" s="186" t="str">
        <f>IFERROR(__xludf.DUMMYFUNCTION("""COMPUTED_VALUE"""),"ALMOFADA MISTICO MAGIA DA GATA")</f>
        <v>ALMOFADA MISTICO MAGIA DA GATA</v>
      </c>
      <c r="D2132" s="186" t="str">
        <f>IFERROR(__xludf.DUMMYFUNCTION("""COMPUTED_VALUE"""),"FALSO")</f>
        <v>FALSO</v>
      </c>
    </row>
    <row r="2133">
      <c r="B2133" s="186" t="str">
        <f>IFERROR(__xludf.DUMMYFUNCTION("""COMPUTED_VALUE"""),"PI3064Y")</f>
        <v>PI3064Y</v>
      </c>
      <c r="C2133" s="186" t="str">
        <f>IFERROR(__xludf.DUMMYFUNCTION("""COMPUTED_VALUE"""),"ALMOFADA MASSAGEADORA SPEAKER GATO PRETO")</f>
        <v>ALMOFADA MASSAGEADORA SPEAKER GATO PRETO</v>
      </c>
      <c r="D2133" s="186" t="str">
        <f>IFERROR(__xludf.DUMMYFUNCTION("""COMPUTED_VALUE"""),"FALSO")</f>
        <v>FALSO</v>
      </c>
    </row>
    <row r="2134">
      <c r="B2134" s="186" t="str">
        <f>IFERROR(__xludf.DUMMYFUNCTION("""COMPUTED_VALUE"""),"PI3064Y")</f>
        <v>PI3064Y</v>
      </c>
      <c r="C2134" s="186" t="str">
        <f>IFERROR(__xludf.DUMMYFUNCTION("""COMPUTED_VALUE"""),"ALMOFADA MASSAGEADORA SPEAKER GATO PRETO")</f>
        <v>ALMOFADA MASSAGEADORA SPEAKER GATO PRETO</v>
      </c>
      <c r="D2134" s="186" t="str">
        <f>IFERROR(__xludf.DUMMYFUNCTION("""COMPUTED_VALUE"""),"FALSO")</f>
        <v>FALSO</v>
      </c>
    </row>
    <row r="2135">
      <c r="B2135" s="186" t="str">
        <f>IFERROR(__xludf.DUMMYFUNCTION("""COMPUTED_VALUE"""),"PI3064Y")</f>
        <v>PI3064Y</v>
      </c>
      <c r="C2135" s="186" t="str">
        <f>IFERROR(__xludf.DUMMYFUNCTION("""COMPUTED_VALUE"""),"ALMOFADA MASSAGEADORA SPEAKER GATO PRETO")</f>
        <v>ALMOFADA MASSAGEADORA SPEAKER GATO PRETO</v>
      </c>
      <c r="D2135" s="186" t="str">
        <f>IFERROR(__xludf.DUMMYFUNCTION("""COMPUTED_VALUE"""),"FALSO")</f>
        <v>FALSO</v>
      </c>
    </row>
    <row r="2136">
      <c r="B2136" s="186" t="str">
        <f>IFERROR(__xludf.DUMMYFUNCTION("""COMPUTED_VALUE"""),"AC2186Y")</f>
        <v>AC2186Y</v>
      </c>
      <c r="C2136" s="186" t="str">
        <f>IFERROR(__xludf.DUMMYFUNCTION("""COMPUTED_VALUE"""),"CUSHION TEST 1")</f>
        <v>CUSHION TEST 1</v>
      </c>
      <c r="D2136" s="186" t="str">
        <f>IFERROR(__xludf.DUMMYFUNCTION("""COMPUTED_VALUE"""),"FALSO")</f>
        <v>FALSO</v>
      </c>
    </row>
    <row r="2137">
      <c r="B2137" s="186" t="str">
        <f>IFERROR(__xludf.DUMMYFUNCTION("""COMPUTED_VALUE"""),"AC2187Y")</f>
        <v>AC2187Y</v>
      </c>
      <c r="C2137" s="186" t="str">
        <f>IFERROR(__xludf.DUMMYFUNCTION("""COMPUTED_VALUE"""),"CUSHION TEST 2")</f>
        <v>CUSHION TEST 2</v>
      </c>
      <c r="D2137" s="186" t="str">
        <f>IFERROR(__xludf.DUMMYFUNCTION("""COMPUTED_VALUE"""),"FALSO")</f>
        <v>FALSO</v>
      </c>
    </row>
    <row r="2138">
      <c r="B2138" s="186" t="str">
        <f>IFERROR(__xludf.DUMMYFUNCTION("""COMPUTED_VALUE"""),"PI4926Y")</f>
        <v>PI4926Y</v>
      </c>
      <c r="C2138" s="186" t="str">
        <f>IFERROR(__xludf.DUMMYFUNCTION("""COMPUTED_VALUE"""),"ALMOFADA COM MANTA BEATLES SUBMARINO")</f>
        <v>ALMOFADA COM MANTA BEATLES SUBMARINO</v>
      </c>
      <c r="D2138" s="186" t="str">
        <f>IFERROR(__xludf.DUMMYFUNCTION("""COMPUTED_VALUE"""),"FALSO")</f>
        <v>FALSO</v>
      </c>
    </row>
    <row r="2139">
      <c r="B2139" s="186" t="str">
        <f>IFERROR(__xludf.DUMMYFUNCTION("""COMPUTED_VALUE"""),"PI6138Y")</f>
        <v>PI6138Y</v>
      </c>
      <c r="C2139" s="186" t="str">
        <f>IFERROR(__xludf.DUMMYFUNCTION("""COMPUTED_VALUE"""),"ALMOFADA COM MASCARA DOBRAVEL BORIS")</f>
        <v>ALMOFADA COM MASCARA DOBRAVEL BORIS</v>
      </c>
      <c r="D2139" s="186" t="str">
        <f>IFERROR(__xludf.DUMMYFUNCTION("""COMPUTED_VALUE"""),"INMETRO Toys System 5 - Ordinance 302")</f>
        <v>INMETRO Toys System 5 - Ordinance 302</v>
      </c>
    </row>
    <row r="2140">
      <c r="B2140" s="186" t="str">
        <f>IFERROR(__xludf.DUMMYFUNCTION("""COMPUTED_VALUE"""),"PI5073Y")</f>
        <v>PI5073Y</v>
      </c>
      <c r="C2140" s="186" t="str">
        <f>IFERROR(__xludf.DUMMYFUNCTION("""COMPUTED_VALUE"""),"ALMOFADA E BOLSA DE AGUA QUENTE CAPIVARA")</f>
        <v>ALMOFADA E BOLSA DE AGUA QUENTE CAPIVARA</v>
      </c>
      <c r="D2140" s="186" t="str">
        <f>IFERROR(__xludf.DUMMYFUNCTION("""COMPUTED_VALUE"""),"FALSO")</f>
        <v>FALSO</v>
      </c>
    </row>
    <row r="2141">
      <c r="B2141" s="186" t="str">
        <f>IFERROR(__xludf.DUMMYFUNCTION("""COMPUTED_VALUE"""),"PI5099Y")</f>
        <v>PI5099Y</v>
      </c>
      <c r="C2141" s="186" t="str">
        <f>IFERROR(__xludf.DUMMYFUNCTION("""COMPUTED_VALUE"""),"ALMOFADA SPEAKER BEM NA FITA")</f>
        <v>ALMOFADA SPEAKER BEM NA FITA</v>
      </c>
      <c r="D2141" s="186" t="str">
        <f>IFERROR(__xludf.DUMMYFUNCTION("""COMPUTED_VALUE"""),"FALSO")</f>
        <v>FALSO</v>
      </c>
    </row>
    <row r="2142">
      <c r="B2142" s="186" t="str">
        <f>IFERROR(__xludf.DUMMYFUNCTION("""COMPUTED_VALUE"""),"AC2211")</f>
        <v>AC2211</v>
      </c>
      <c r="C2142" s="186" t="str">
        <f>IFERROR(__xludf.DUMMYFUNCTION("""COMPUTED_VALUE"""),"DADIVA EASY PREMIUM LAGER 473ML")</f>
        <v>DADIVA EASY PREMIUM LAGER 473ML</v>
      </c>
      <c r="D2142" s="186" t="str">
        <f>IFERROR(__xludf.DUMMYFUNCTION("""COMPUTED_VALUE"""),"FALSO")</f>
        <v>FALSO</v>
      </c>
    </row>
    <row r="2143">
      <c r="B2143" s="186" t="str">
        <f>IFERROR(__xludf.DUMMYFUNCTION("""COMPUTED_VALUE"""),"AC2212")</f>
        <v>AC2212</v>
      </c>
      <c r="C2143" s="186" t="str">
        <f>IFERROR(__xludf.DUMMYFUNCTION("""COMPUTED_VALUE"""),"DADIVA EASY SESSION IPA 473ML")</f>
        <v>DADIVA EASY SESSION IPA 473ML</v>
      </c>
      <c r="D2143" s="186" t="str">
        <f>IFERROR(__xludf.DUMMYFUNCTION("""COMPUTED_VALUE"""),"FALSO")</f>
        <v>FALSO</v>
      </c>
    </row>
    <row r="2144">
      <c r="B2144" s="186" t="str">
        <f>IFERROR(__xludf.DUMMYFUNCTION("""COMPUTED_VALUE"""),"US0087")</f>
        <v>US0087</v>
      </c>
      <c r="C2144" s="186" t="str">
        <f>IFERROR(__xludf.DUMMYFUNCTION("""COMPUTED_VALUE"""),"LUMINARIA DADO")</f>
        <v>LUMINARIA DADO</v>
      </c>
      <c r="D2144" s="186" t="str">
        <f>IFERROR(__xludf.DUMMYFUNCTION("""COMPUTED_VALUE"""),"FALSO")</f>
        <v>FALSO</v>
      </c>
    </row>
    <row r="2145">
      <c r="B2145" s="186" t="str">
        <f>IFERROR(__xludf.DUMMYFUNCTION("""COMPUTED_VALUE"""),"PI6757Y")</f>
        <v>PI6757Y</v>
      </c>
      <c r="C2145" s="186" t="str">
        <f>IFERROR(__xludf.DUMMYFUNCTION("""COMPUTED_VALUE"""),"MEIA PAIS NAO PERTURBE")</f>
        <v>MEIA PAIS NAO PERTURBE</v>
      </c>
      <c r="D2145" s="186" t="str">
        <f>IFERROR(__xludf.DUMMYFUNCTION("""COMPUTED_VALUE"""),"FALSO")</f>
        <v>FALSO</v>
      </c>
    </row>
    <row r="2146">
      <c r="B2146" s="186" t="str">
        <f>IFERROR(__xludf.DUMMYFUNCTION("""COMPUTED_VALUE"""),"PI6458Y")</f>
        <v>PI6458Y</v>
      </c>
      <c r="C2146" s="186" t="str">
        <f>IFERROR(__xludf.DUMMYFUNCTION("""COMPUTED_VALUE"""),"CAIXA DE SOM PORTÁTIL AZUL ESCURO")</f>
        <v>CAIXA DE SOM PORTÁTIL AZUL ESCURO</v>
      </c>
      <c r="D2146" s="186" t="str">
        <f>IFERROR(__xludf.DUMMYFUNCTION("""COMPUTED_VALUE"""),"Anatel Category 2 - Bluetooth and Radiofrequency Comms")</f>
        <v>Anatel Category 2 - Bluetooth and Radiofrequency Comms</v>
      </c>
    </row>
    <row r="2147">
      <c r="B2147" s="186"/>
      <c r="C2147" s="186"/>
      <c r="D2147" s="186"/>
    </row>
    <row r="2148">
      <c r="B2148" s="186" t="str">
        <f>IFERROR(__xludf.DUMMYFUNCTION("""COMPUTED_VALUE"""),"PI5547Y")</f>
        <v>PI5547Y</v>
      </c>
      <c r="C2148" s="186" t="str">
        <f>IFERROR(__xludf.DUMMYFUNCTION("""COMPUTED_VALUE"""),"BARALHO DE CARTAS ESTAMPA SE JOGA")</f>
        <v>BARALHO DE CARTAS ESTAMPA SE JOGA</v>
      </c>
      <c r="D2148" s="186" t="str">
        <f>IFERROR(__xludf.DUMMYFUNCTION("""COMPUTED_VALUE"""),"FALSO")</f>
        <v>FALSO</v>
      </c>
    </row>
    <row r="2149">
      <c r="B2149" s="186" t="str">
        <f>IFERROR(__xludf.DUMMYFUNCTION("""COMPUTED_VALUE"""),"PI5800Y")</f>
        <v>PI5800Y</v>
      </c>
      <c r="C2149" s="186" t="str">
        <f>IFERROR(__xludf.DUMMYFUNCTION("""COMPUTED_VALUE"""),"ALBUM DENTAL MEUS DENTINHOS")</f>
        <v>ALBUM DENTAL MEUS DENTINHOS</v>
      </c>
      <c r="D2149" s="186" t="str">
        <f>IFERROR(__xludf.DUMMYFUNCTION("""COMPUTED_VALUE"""),"FALSO")</f>
        <v>FALSO</v>
      </c>
    </row>
    <row r="2150">
      <c r="B2150" s="186" t="str">
        <f>IFERROR(__xludf.DUMMYFUNCTION("""COMPUTED_VALUE"""),"PI7772Y")</f>
        <v>PI7772Y</v>
      </c>
      <c r="C2150" s="186" t="str">
        <f>IFERROR(__xludf.DUMMYFUNCTION("""COMPUTED_VALUE"""),"CALENDARIO DE MESA HP CASTELO HOGWARTS")</f>
        <v>CALENDARIO DE MESA HP CASTELO HOGWARTS</v>
      </c>
      <c r="D2150" s="186" t="str">
        <f>IFERROR(__xludf.DUMMYFUNCTION("""COMPUTED_VALUE"""),"FALSO")</f>
        <v>FALSO</v>
      </c>
    </row>
    <row r="2151">
      <c r="B2151" s="186" t="str">
        <f>IFERROR(__xludf.DUMMYFUNCTION("""COMPUTED_VALUE"""),"PI7887Y")</f>
        <v>PI7887Y</v>
      </c>
      <c r="C2151" s="186" t="str">
        <f>IFERROR(__xludf.DUMMYFUNCTION("""COMPUTED_VALUE"""),"RELOGIO DE MESA RETRO ROSA")</f>
        <v>RELOGIO DE MESA RETRO ROSA</v>
      </c>
      <c r="D2151" s="186" t="str">
        <f>IFERROR(__xludf.DUMMYFUNCTION("""COMPUTED_VALUE"""),"FALSO")</f>
        <v>FALSO</v>
      </c>
    </row>
    <row r="2152">
      <c r="B2152" s="186" t="str">
        <f>IFERROR(__xludf.DUMMYFUNCTION("""COMPUTED_VALUE"""),"PI7888Y")</f>
        <v>PI7888Y</v>
      </c>
      <c r="C2152" s="186" t="str">
        <f>IFERROR(__xludf.DUMMYFUNCTION("""COMPUTED_VALUE"""),"RELOGIO DE MESA RETRO BRANCO")</f>
        <v>RELOGIO DE MESA RETRO BRANCO</v>
      </c>
      <c r="D2152" s="186" t="str">
        <f>IFERROR(__xludf.DUMMYFUNCTION("""COMPUTED_VALUE"""),"FALSO")</f>
        <v>FALSO</v>
      </c>
    </row>
    <row r="2153">
      <c r="B2153" s="186" t="str">
        <f>IFERROR(__xludf.DUMMYFUNCTION("""COMPUTED_VALUE"""),"PI7835Y")</f>
        <v>PI7835Y</v>
      </c>
      <c r="C2153" s="186" t="str">
        <f>IFERROR(__xludf.DUMMYFUNCTION("""COMPUTED_VALUE"""),"ORGANIZADOR DE MESA MODULAR CASINHA")</f>
        <v>ORGANIZADOR DE MESA MODULAR CASINHA</v>
      </c>
      <c r="D2153" s="186" t="str">
        <f>IFERROR(__xludf.DUMMYFUNCTION("""COMPUTED_VALUE"""),"FALSO")</f>
        <v>FALSO</v>
      </c>
    </row>
    <row r="2154">
      <c r="B2154" s="186" t="str">
        <f>IFERROR(__xludf.DUMMYFUNCTION("""COMPUTED_VALUE"""),"PI7834Y")</f>
        <v>PI7834Y</v>
      </c>
      <c r="C2154" s="186" t="str">
        <f>IFERROR(__xludf.DUMMYFUNCTION("""COMPUTED_VALUE"""),"ORGANIZADOR DE MESA COM DIVISORIAS")</f>
        <v>ORGANIZADOR DE MESA COM DIVISORIAS</v>
      </c>
      <c r="D2154" s="186" t="str">
        <f>IFERROR(__xludf.DUMMYFUNCTION("""COMPUTED_VALUE"""),"FALSO")</f>
        <v>FALSO</v>
      </c>
    </row>
    <row r="2155">
      <c r="B2155" s="186" t="str">
        <f>IFERROR(__xludf.DUMMYFUNCTION("""COMPUTED_VALUE"""),"PI7833Y")</f>
        <v>PI7833Y</v>
      </c>
      <c r="C2155" s="186" t="str">
        <f>IFERROR(__xludf.DUMMYFUNCTION("""COMPUTED_VALUE"""),"ORGANIZADOR DE MESA COM GAVETAS NUVEM")</f>
        <v>ORGANIZADOR DE MESA COM GAVETAS NUVEM</v>
      </c>
      <c r="D2155" s="186" t="str">
        <f>IFERROR(__xludf.DUMMYFUNCTION("""COMPUTED_VALUE"""),"FALSO")</f>
        <v>FALSO</v>
      </c>
    </row>
    <row r="2156">
      <c r="B2156" s="186" t="str">
        <f>IFERROR(__xludf.DUMMYFUNCTION("""COMPUTED_VALUE"""),"PI6174Y")</f>
        <v>PI6174Y</v>
      </c>
      <c r="C2156" s="186" t="str">
        <f>IFERROR(__xludf.DUMMYFUNCTION("""COMPUTED_VALUE"""),"AGENDA FUN PARA FICAR TUDO GRAVADO")</f>
        <v>AGENDA FUN PARA FICAR TUDO GRAVADO</v>
      </c>
      <c r="D2156" s="186" t="str">
        <f>IFERROR(__xludf.DUMMYFUNCTION("""COMPUTED_VALUE"""),"FALSO")</f>
        <v>FALSO</v>
      </c>
    </row>
    <row r="2157">
      <c r="B2157" s="186" t="str">
        <f>IFERROR(__xludf.DUMMYFUNCTION("""COMPUTED_VALUE"""),"PI6156Y")</f>
        <v>PI6156Y</v>
      </c>
      <c r="C2157" s="186" t="str">
        <f>IFERROR(__xludf.DUMMYFUNCTION("""COMPUTED_VALUE"""),"AGENDA UM NOVO COMEÇO E24")</f>
        <v>AGENDA UM NOVO COMEÇO E24</v>
      </c>
      <c r="D2157" s="186" t="str">
        <f>IFERROR(__xludf.DUMMYFUNCTION("""COMPUTED_VALUE"""),"FALSO")</f>
        <v>FALSO</v>
      </c>
    </row>
    <row r="2158">
      <c r="B2158" s="186" t="str">
        <f>IFERROR(__xludf.DUMMYFUNCTION("""COMPUTED_VALUE"""),"PI6575Y")</f>
        <v>PI6575Y</v>
      </c>
      <c r="C2158" s="186" t="str">
        <f>IFERROR(__xludf.DUMMYFUNCTION("""COMPUTED_VALUE"""),"JOGO DE DADOS O AMOR E FOGO")</f>
        <v>JOGO DE DADOS O AMOR E FOGO</v>
      </c>
      <c r="D2158" s="186" t="str">
        <f>IFERROR(__xludf.DUMMYFUNCTION("""COMPUTED_VALUE"""),"FALSO")</f>
        <v>FALSO</v>
      </c>
    </row>
    <row r="2159">
      <c r="B2159" s="186" t="str">
        <f>IFERROR(__xludf.DUMMYFUNCTION("""COMPUTED_VALUE"""),"PI7799Y")</f>
        <v>PI7799Y</v>
      </c>
      <c r="C2159" s="186" t="str">
        <f>IFERROR(__xludf.DUMMYFUNCTION("""COMPUTED_VALUE"""),"JOGO DE DADOS DATE PERFEITO")</f>
        <v>JOGO DE DADOS DATE PERFEITO</v>
      </c>
      <c r="D2159" s="186" t="str">
        <f>IFERROR(__xludf.DUMMYFUNCTION("""COMPUTED_VALUE"""),"FALSO")</f>
        <v>FALSO</v>
      </c>
    </row>
    <row r="2160">
      <c r="B2160" s="186" t="str">
        <f>IFERROR(__xludf.DUMMYFUNCTION("""COMPUTED_VALUE"""),"PI2623Y")</f>
        <v>PI2623Y</v>
      </c>
      <c r="C2160" s="186" t="str">
        <f>IFERROR(__xludf.DUMMYFUNCTION("""COMPUTED_VALUE"""),"DADOS MUITO AMOR")</f>
        <v>DADOS MUITO AMOR</v>
      </c>
      <c r="D2160" s="186" t="str">
        <f>IFERROR(__xludf.DUMMYFUNCTION("""COMPUTED_VALUE"""),"FALSO")</f>
        <v>FALSO</v>
      </c>
    </row>
    <row r="2161">
      <c r="B2161" s="186" t="str">
        <f>IFERROR(__xludf.DUMMYFUNCTION("""COMPUTED_VALUE"""),"PI6673Y")</f>
        <v>PI6673Y</v>
      </c>
      <c r="C2161" s="186" t="str">
        <f>IFERROR(__xludf.DUMMYFUNCTION("""COMPUTED_VALUE"""),"RELOGIO DIGITAL COM TEXTURA DE MADEIRA")</f>
        <v>RELOGIO DIGITAL COM TEXTURA DE MADEIRA</v>
      </c>
      <c r="D2161" s="186" t="str">
        <f>IFERROR(__xludf.DUMMYFUNCTION("""COMPUTED_VALUE"""),"FALSO")</f>
        <v>FALSO</v>
      </c>
    </row>
    <row r="2162">
      <c r="B2162" s="186" t="str">
        <f>IFERROR(__xludf.DUMMYFUNCTION("""COMPUTED_VALUE"""),"PI7551Y")</f>
        <v>PI7551Y</v>
      </c>
      <c r="C2162" s="186" t="str">
        <f>IFERROR(__xludf.DUMMYFUNCTION("""COMPUTED_VALUE"""),"CANETA PINGENTE DINO")</f>
        <v>CANETA PINGENTE DINO</v>
      </c>
      <c r="D2162" s="186" t="str">
        <f>IFERROR(__xludf.DUMMYFUNCTION("""COMPUTED_VALUE"""),"INMETRO SCHOOL ARTICLES SYSTEM 5 - ORDINANCE 481")</f>
        <v>INMETRO SCHOOL ARTICLES SYSTEM 5 - ORDINANCE 481</v>
      </c>
    </row>
    <row r="2163">
      <c r="B2163" s="186" t="str">
        <f>IFERROR(__xludf.DUMMYFUNCTION("""COMPUTED_VALUE"""),"PI7708Y")</f>
        <v>PI7708Y</v>
      </c>
      <c r="C2163" s="186" t="str">
        <f>IFERROR(__xludf.DUMMYFUNCTION("""COMPUTED_VALUE"""),"CANETA BRACINHOS DINOSSAURO")</f>
        <v>CANETA BRACINHOS DINOSSAURO</v>
      </c>
      <c r="D2163" s="186" t="str">
        <f>IFERROR(__xludf.DUMMYFUNCTION("""COMPUTED_VALUE"""),"INMETRO SCHOOL ARTICLES SYSTEM 5 - ORDINANCE 481")</f>
        <v>INMETRO SCHOOL ARTICLES SYSTEM 5 - ORDINANCE 481</v>
      </c>
    </row>
    <row r="2164">
      <c r="B2164" s="186" t="str">
        <f>IFERROR(__xludf.DUMMYFUNCTION("""COMPUTED_VALUE"""),"PI7031Y")</f>
        <v>PI7031Y</v>
      </c>
      <c r="C2164" s="186" t="str">
        <f>IFERROR(__xludf.DUMMYFUNCTION("""COMPUTED_VALUE"""),"LUMINARIA DE SILICONE DINOSSAURO")</f>
        <v>LUMINARIA DE SILICONE DINOSSAURO</v>
      </c>
      <c r="D2164" s="186" t="str">
        <f>IFERROR(__xludf.DUMMYFUNCTION("""COMPUTED_VALUE"""),"FALSO")</f>
        <v>FALSO</v>
      </c>
    </row>
    <row r="2165">
      <c r="B2165" s="186" t="str">
        <f>IFERROR(__xludf.DUMMYFUNCTION("""COMPUTED_VALUE"""),"US0088")</f>
        <v>US0088</v>
      </c>
      <c r="C2165" s="186" t="str">
        <f>IFERROR(__xludf.DUMMYFUNCTION("""COMPUTED_VALUE"""),"LUMINARIA DINOSSAURO VERDE")</f>
        <v>LUMINARIA DINOSSAURO VERDE</v>
      </c>
      <c r="D2165" s="186" t="str">
        <f>IFERROR(__xludf.DUMMYFUNCTION("""COMPUTED_VALUE"""),"FALSO")</f>
        <v>FALSO</v>
      </c>
    </row>
    <row r="2166">
      <c r="B2166" s="186" t="str">
        <f>IFERROR(__xludf.DUMMYFUNCTION("""COMPUTED_VALUE"""),"PI6068Y")</f>
        <v>PI6068Y</v>
      </c>
      <c r="C2166" s="186" t="str">
        <f>IFERROR(__xludf.DUMMYFUNCTION("""COMPUTED_VALUE"""),"MEIAS DOBBY HP")</f>
        <v>MEIAS DOBBY HP</v>
      </c>
      <c r="D2166" s="186" t="str">
        <f>IFERROR(__xludf.DUMMYFUNCTION("""COMPUTED_VALUE"""),"FALSO")</f>
        <v>FALSO</v>
      </c>
    </row>
    <row r="2167">
      <c r="B2167" s="186" t="str">
        <f>IFERROR(__xludf.DUMMYFUNCTION("""COMPUTED_VALUE"""),"PI6106Y")</f>
        <v>PI6106Y</v>
      </c>
      <c r="C2167" s="186" t="str">
        <f>IFERROR(__xludf.DUMMYFUNCTION("""COMPUTED_VALUE"""),"JOGO DE DOMINO ARTE DE REUNIR PESSOAS")</f>
        <v>JOGO DE DOMINO ARTE DE REUNIR PESSOAS</v>
      </c>
      <c r="D2167" s="186" t="str">
        <f>IFERROR(__xludf.DUMMYFUNCTION("""COMPUTED_VALUE"""),"FALSO")</f>
        <v>FALSO</v>
      </c>
    </row>
    <row r="2168">
      <c r="B2168" s="186" t="str">
        <f>IFERROR(__xludf.DUMMYFUNCTION("""COMPUTED_VALUE"""),"PI5040Y")</f>
        <v>PI5040Y</v>
      </c>
      <c r="C2168" s="186" t="str">
        <f>IFERROR(__xludf.DUMMYFUNCTION("""COMPUTED_VALUE"""),"MAQUINA DE DONUTS 127V VERDE MENTA")</f>
        <v>MAQUINA DE DONUTS 127V VERDE MENTA</v>
      </c>
      <c r="D2168" s="186" t="str">
        <f>IFERROR(__xludf.DUMMYFUNCTION("""COMPUTED_VALUE"""),"INMETRO Electrical Security System 5 (Factory)")</f>
        <v>INMETRO Electrical Security System 5 (Factory)</v>
      </c>
    </row>
    <row r="2169">
      <c r="B2169" s="186"/>
      <c r="C2169" s="186"/>
      <c r="D2169" s="186"/>
    </row>
    <row r="2170">
      <c r="B2170" s="186" t="str">
        <f>IFERROR(__xludf.DUMMYFUNCTION("""COMPUTED_VALUE"""),"PI5041Y")</f>
        <v>PI5041Y</v>
      </c>
      <c r="C2170" s="186" t="str">
        <f>IFERROR(__xludf.DUMMYFUNCTION("""COMPUTED_VALUE"""),"MAQUINA DE DONUTS 220V VERDE MENTA")</f>
        <v>MAQUINA DE DONUTS 220V VERDE MENTA</v>
      </c>
      <c r="D2170" s="186" t="str">
        <f>IFERROR(__xludf.DUMMYFUNCTION("""COMPUTED_VALUE"""),"INMETRO Electrical Security System 5 (Factory)")</f>
        <v>INMETRO Electrical Security System 5 (Factory)</v>
      </c>
    </row>
    <row r="2171">
      <c r="B2171" s="186"/>
      <c r="C2171" s="186"/>
      <c r="D2171" s="186"/>
    </row>
    <row r="2172">
      <c r="B2172" s="186" t="str">
        <f>IFERROR(__xludf.DUMMYFUNCTION("""COMPUTED_VALUE"""),"PI5846Y")</f>
        <v>PI5846Y</v>
      </c>
      <c r="C2172" s="186" t="str">
        <f>IFERROR(__xludf.DUMMYFUNCTION("""COMPUTED_VALUE"""),"PESO DE PORTA CASCA DE BANANA")</f>
        <v>PESO DE PORTA CASCA DE BANANA</v>
      </c>
      <c r="D2172" s="186" t="str">
        <f>IFERROR(__xludf.DUMMYFUNCTION("""COMPUTED_VALUE"""),"FALSO")</f>
        <v>FALSO</v>
      </c>
    </row>
    <row r="2173">
      <c r="B2173" s="186" t="str">
        <f>IFERROR(__xludf.DUMMYFUNCTION("""COMPUTED_VALUE"""),"PI7889Y")</f>
        <v>PI7889Y</v>
      </c>
      <c r="C2173" s="186" t="str">
        <f>IFERROR(__xludf.DUMMYFUNCTION("""COMPUTED_VALUE"""),"ALMOFADA POA FLOR VERDE CLARO")</f>
        <v>ALMOFADA POA FLOR VERDE CLARO</v>
      </c>
      <c r="D2173" s="186" t="str">
        <f>IFERROR(__xludf.DUMMYFUNCTION("""COMPUTED_VALUE"""),"FALSO")</f>
        <v>FALSO</v>
      </c>
    </row>
    <row r="2174">
      <c r="B2174" s="186" t="str">
        <f>IFERROR(__xludf.DUMMYFUNCTION("""COMPUTED_VALUE"""),"PI7890Y")</f>
        <v>PI7890Y</v>
      </c>
      <c r="C2174" s="186" t="str">
        <f>IFERROR(__xludf.DUMMYFUNCTION("""COMPUTED_VALUE"""),"ALMOFADA POA FLOR LARANJA")</f>
        <v>ALMOFADA POA FLOR LARANJA</v>
      </c>
      <c r="D2174" s="186" t="str">
        <f>IFERROR(__xludf.DUMMYFUNCTION("""COMPUTED_VALUE"""),"FALSO")</f>
        <v>FALSO</v>
      </c>
    </row>
    <row r="2175">
      <c r="B2175" s="186" t="str">
        <f>IFERROR(__xludf.DUMMYFUNCTION("""COMPUTED_VALUE"""),"PI7895Y")</f>
        <v>PI7895Y</v>
      </c>
      <c r="C2175" s="186" t="str">
        <f>IFERROR(__xludf.DUMMYFUNCTION("""COMPUTED_VALUE"""),"ALMOFADA POA ABOBORA ROSINHA")</f>
        <v>ALMOFADA POA ABOBORA ROSINHA</v>
      </c>
      <c r="D2175" s="186" t="str">
        <f>IFERROR(__xludf.DUMMYFUNCTION("""COMPUTED_VALUE"""),"FALSO")</f>
        <v>FALSO</v>
      </c>
    </row>
    <row r="2176">
      <c r="B2176" s="186" t="str">
        <f>IFERROR(__xludf.DUMMYFUNCTION("""COMPUTED_VALUE"""),"PI4999Y")</f>
        <v>PI4999Y</v>
      </c>
      <c r="C2176" s="186" t="str">
        <f>IFERROR(__xludf.DUMMYFUNCTION("""COMPUTED_VALUE"""),"MOCHILA DUPLA FACE FRIENDS ICONES")</f>
        <v>MOCHILA DUPLA FACE FRIENDS ICONES</v>
      </c>
      <c r="D2176" s="186" t="str">
        <f>IFERROR(__xludf.DUMMYFUNCTION("""COMPUTED_VALUE"""),"FALSO")</f>
        <v>FALSO</v>
      </c>
    </row>
    <row r="2177">
      <c r="B2177" s="186" t="str">
        <f>IFERROR(__xludf.DUMMYFUNCTION("""COMPUTED_VALUE"""),"PI6628Y")</f>
        <v>PI6628Y</v>
      </c>
      <c r="C2177" s="186" t="str">
        <f>IFERROR(__xludf.DUMMYFUNCTION("""COMPUTED_VALUE"""),"DUPLA DE COPOS DE VIDRO EQUILIBRIO")</f>
        <v>DUPLA DE COPOS DE VIDRO EQUILIBRIO</v>
      </c>
      <c r="D2177" s="186" t="str">
        <f>IFERROR(__xludf.DUMMYFUNCTION("""COMPUTED_VALUE"""),"FALSO")</f>
        <v>FALSO</v>
      </c>
    </row>
    <row r="2178">
      <c r="B2178" s="186" t="str">
        <f>IFERROR(__xludf.DUMMYFUNCTION("""COMPUTED_VALUE"""),"PI5276Y")</f>
        <v>PI5276Y</v>
      </c>
      <c r="C2178" s="186" t="str">
        <f>IFERROR(__xludf.DUMMYFUNCTION("""COMPUTED_VALUE"""),"PORTA RETRATO DUPLO BEATLES LOVE")</f>
        <v>PORTA RETRATO DUPLO BEATLES LOVE</v>
      </c>
      <c r="D2178" s="186" t="str">
        <f>IFERROR(__xludf.DUMMYFUNCTION("""COMPUTED_VALUE"""),"FALSO")</f>
        <v>FALSO</v>
      </c>
    </row>
    <row r="2179">
      <c r="B2179" s="186" t="str">
        <f>IFERROR(__xludf.DUMMYFUNCTION("""COMPUTED_VALUE"""),"PI7814Y")</f>
        <v>PI7814Y</v>
      </c>
      <c r="C2179" s="186" t="str">
        <f>IFERROR(__xludf.DUMMYFUNCTION("""COMPUTED_VALUE"""),"PORTA RETRATO DUPLO ME COMPLETAR")</f>
        <v>PORTA RETRATO DUPLO ME COMPLETAR</v>
      </c>
      <c r="D2179" s="186" t="str">
        <f>IFERROR(__xludf.DUMMYFUNCTION("""COMPUTED_VALUE"""),"FALSO")</f>
        <v>FALSO</v>
      </c>
    </row>
    <row r="2180">
      <c r="B2180" s="186" t="str">
        <f>IFERROR(__xludf.DUMMYFUNCTION("""COMPUTED_VALUE"""),"PI6566Y")</f>
        <v>PI6566Y</v>
      </c>
      <c r="C2180" s="186" t="str">
        <f>IFERROR(__xludf.DUMMYFUNCTION("""COMPUTED_VALUE"""),"PORTA RETRATO DUPLO AMEI")</f>
        <v>PORTA RETRATO DUPLO AMEI</v>
      </c>
      <c r="D2180" s="186" t="str">
        <f>IFERROR(__xludf.DUMMYFUNCTION("""COMPUTED_VALUE"""),"FALSO")</f>
        <v>FALSO</v>
      </c>
    </row>
    <row r="2181">
      <c r="B2181" s="186" t="str">
        <f>IFERROR(__xludf.DUMMYFUNCTION("""COMPUTED_VALUE"""),"PI5870Y")</f>
        <v>PI5870Y</v>
      </c>
      <c r="C2181" s="186" t="str">
        <f>IFERROR(__xludf.DUMMYFUNCTION("""COMPUTED_VALUE"""),"PORTA RETRATO DUPLO IMA NOSSO SORRISO")</f>
        <v>PORTA RETRATO DUPLO IMA NOSSO SORRISO</v>
      </c>
      <c r="D2181" s="186" t="str">
        <f>IFERROR(__xludf.DUMMYFUNCTION("""COMPUTED_VALUE"""),"FALSO")</f>
        <v>FALSO</v>
      </c>
    </row>
    <row r="2182">
      <c r="B2182" s="186" t="str">
        <f>IFERROR(__xludf.DUMMYFUNCTION("""COMPUTED_VALUE"""),"PI5348Y")</f>
        <v>PI5348Y</v>
      </c>
      <c r="C2182" s="186" t="str">
        <f>IFERROR(__xludf.DUMMYFUNCTION("""COMPUTED_VALUE"""),"PORTA RETRATO DUPLO EU E VC")</f>
        <v>PORTA RETRATO DUPLO EU E VC</v>
      </c>
      <c r="D2182" s="186" t="str">
        <f>IFERROR(__xludf.DUMMYFUNCTION("""COMPUTED_VALUE"""),"FALSO")</f>
        <v>FALSO</v>
      </c>
    </row>
    <row r="2183">
      <c r="B2183" s="186" t="str">
        <f>IFERROR(__xludf.DUMMYFUNCTION("""COMPUTED_VALUE"""),"PI5919Y")</f>
        <v>PI5919Y</v>
      </c>
      <c r="C2183" s="186" t="str">
        <f>IFERROR(__xludf.DUMMYFUNCTION("""COMPUTED_VALUE"""),"PORTA RETRATO DUPLO MEU AMOR E CORACAO")</f>
        <v>PORTA RETRATO DUPLO MEU AMOR E CORACAO</v>
      </c>
      <c r="D2183" s="186" t="str">
        <f>IFERROR(__xludf.DUMMYFUNCTION("""COMPUTED_VALUE"""),"FALSO")</f>
        <v>FALSO</v>
      </c>
    </row>
    <row r="2184">
      <c r="B2184" s="186" t="str">
        <f>IFERROR(__xludf.DUMMYFUNCTION("""COMPUTED_VALUE"""),"PI5780Y")</f>
        <v>PI5780Y</v>
      </c>
      <c r="C2184" s="186" t="str">
        <f>IFERROR(__xludf.DUMMYFUNCTION("""COMPUTED_VALUE"""),"PORTA RETRATO DUPLO MISTICO OLHAR")</f>
        <v>PORTA RETRATO DUPLO MISTICO OLHAR</v>
      </c>
      <c r="D2184" s="186" t="str">
        <f>IFERROR(__xludf.DUMMYFUNCTION("""COMPUTED_VALUE"""),"FALSO")</f>
        <v>FALSO</v>
      </c>
    </row>
    <row r="2185">
      <c r="B2185" s="186" t="str">
        <f>IFERROR(__xludf.DUMMYFUNCTION("""COMPUTED_VALUE"""),"PI5780Y")</f>
        <v>PI5780Y</v>
      </c>
      <c r="C2185" s="186" t="str">
        <f>IFERROR(__xludf.DUMMYFUNCTION("""COMPUTED_VALUE"""),"PORTA RETRATO DUPLO MISTICO OLHAR")</f>
        <v>PORTA RETRATO DUPLO MISTICO OLHAR</v>
      </c>
      <c r="D2185" s="186" t="str">
        <f>IFERROR(__xludf.DUMMYFUNCTION("""COMPUTED_VALUE"""),"FALSO")</f>
        <v>FALSO</v>
      </c>
    </row>
    <row r="2186">
      <c r="B2186" s="186" t="str">
        <f>IFERROR(__xludf.DUMMYFUNCTION("""COMPUTED_VALUE"""),"PI7789Y")</f>
        <v>PI7789Y</v>
      </c>
      <c r="C2186" s="186" t="str">
        <f>IFERROR(__xludf.DUMMYFUNCTION("""COMPUTED_VALUE"""),"PORTA RETRATO DUPLO AMORE MIO")</f>
        <v>PORTA RETRATO DUPLO AMORE MIO</v>
      </c>
      <c r="D2186" s="186" t="str">
        <f>IFERROR(__xludf.DUMMYFUNCTION("""COMPUTED_VALUE"""),"FALSO")</f>
        <v>FALSO</v>
      </c>
    </row>
    <row r="2187">
      <c r="B2187" s="186" t="str">
        <f>IFERROR(__xludf.DUMMYFUNCTION("""COMPUTED_VALUE"""),"PI7791Y")</f>
        <v>PI7791Y</v>
      </c>
      <c r="C2187" s="186" t="str">
        <f>IFERROR(__xludf.DUMMYFUNCTION("""COMPUTED_VALUE"""),"PORTA RETRATO DUPLO DOLCE VITA")</f>
        <v>PORTA RETRATO DUPLO DOLCE VITA</v>
      </c>
      <c r="D2187" s="186" t="str">
        <f>IFERROR(__xludf.DUMMYFUNCTION("""COMPUTED_VALUE"""),"FALSO")</f>
        <v>FALSO</v>
      </c>
    </row>
    <row r="2188">
      <c r="B2188" s="186" t="str">
        <f>IFERROR(__xludf.DUMMYFUNCTION("""COMPUTED_VALUE"""),"PI7790Y")</f>
        <v>PI7790Y</v>
      </c>
      <c r="C2188" s="186" t="str">
        <f>IFERROR(__xludf.DUMMYFUNCTION("""COMPUTED_VALUE"""),"PORTA RETRATO DUPLO ACHEI VOCE")</f>
        <v>PORTA RETRATO DUPLO ACHEI VOCE</v>
      </c>
      <c r="D2188" s="186" t="str">
        <f>IFERROR(__xludf.DUMMYFUNCTION("""COMPUTED_VALUE"""),"FALSO")</f>
        <v>FALSO</v>
      </c>
    </row>
    <row r="2189">
      <c r="B2189" s="186" t="str">
        <f>IFERROR(__xludf.DUMMYFUNCTION("""COMPUTED_VALUE"""),"PI7622Y")</f>
        <v>PI7622Y</v>
      </c>
      <c r="C2189" s="186" t="str">
        <f>IFERROR(__xludf.DUMMYFUNCTION("""COMPUTED_VALUE"""),"PORTA RETRATO DUPLO MOMENTOS MAGICOS")</f>
        <v>PORTA RETRATO DUPLO MOMENTOS MAGICOS</v>
      </c>
      <c r="D2189" s="186" t="str">
        <f>IFERROR(__xludf.DUMMYFUNCTION("""COMPUTED_VALUE"""),"FALSO")</f>
        <v>FALSO</v>
      </c>
    </row>
    <row r="2190">
      <c r="B2190" s="186" t="str">
        <f>IFERROR(__xludf.DUMMYFUNCTION("""COMPUTED_VALUE"""),"PI7762Y")</f>
        <v>PI7762Y</v>
      </c>
      <c r="C2190" s="186" t="str">
        <f>IFERROR(__xludf.DUMMYFUNCTION("""COMPUTED_VALUE"""),"PORTA RETRATO DUPLO MEUS SORRISOS")</f>
        <v>PORTA RETRATO DUPLO MEUS SORRISOS</v>
      </c>
      <c r="D2190" s="186" t="str">
        <f>IFERROR(__xludf.DUMMYFUNCTION("""COMPUTED_VALUE"""),"FALSO")</f>
        <v>FALSO</v>
      </c>
    </row>
    <row r="2191">
      <c r="B2191" s="186" t="str">
        <f>IFERROR(__xludf.DUMMYFUNCTION("""COMPUTED_VALUE"""),"PI7451Y")</f>
        <v>PI7451Y</v>
      </c>
      <c r="C2191" s="186" t="str">
        <f>IFERROR(__xludf.DUMMYFUNCTION("""COMPUTED_VALUE"""),"PORTA RETRATO DUPLO ONDE O AMOR ESTA")</f>
        <v>PORTA RETRATO DUPLO ONDE O AMOR ESTA</v>
      </c>
      <c r="D2191" s="186" t="str">
        <f>IFERROR(__xludf.DUMMYFUNCTION("""COMPUTED_VALUE"""),"FALSO")</f>
        <v>FALSO</v>
      </c>
    </row>
    <row r="2192">
      <c r="B2192" s="186" t="str">
        <f>IFERROR(__xludf.DUMMYFUNCTION("""COMPUTED_VALUE"""),"PI7451Y")</f>
        <v>PI7451Y</v>
      </c>
      <c r="C2192" s="186" t="str">
        <f>IFERROR(__xludf.DUMMYFUNCTION("""COMPUTED_VALUE"""),"PORTA RETRATO DUPLO ONDE O AMOR ESTA")</f>
        <v>PORTA RETRATO DUPLO ONDE O AMOR ESTA</v>
      </c>
      <c r="D2192" s="186" t="str">
        <f>IFERROR(__xludf.DUMMYFUNCTION("""COMPUTED_VALUE"""),"FALSO")</f>
        <v>FALSO</v>
      </c>
    </row>
    <row r="2193">
      <c r="B2193" s="186" t="str">
        <f>IFERROR(__xludf.DUMMYFUNCTION("""COMPUTED_VALUE"""),"PI5497Y")</f>
        <v>PI5497Y</v>
      </c>
      <c r="C2193" s="186" t="str">
        <f>IFERROR(__xludf.DUMMYFUNCTION("""COMPUTED_VALUE"""),"COPO PAREDE DUPLA RELEVO")</f>
        <v>COPO PAREDE DUPLA RELEVO</v>
      </c>
      <c r="D2193" s="186" t="str">
        <f>IFERROR(__xludf.DUMMYFUNCTION("""COMPUTED_VALUE"""),"FALSO")</f>
        <v>FALSO</v>
      </c>
    </row>
    <row r="2194">
      <c r="B2194" s="186" t="str">
        <f>IFERROR(__xludf.DUMMYFUNCTION("""COMPUTED_VALUE"""),"PI7375Y")</f>
        <v>PI7375Y</v>
      </c>
      <c r="C2194" s="186" t="str">
        <f>IFERROR(__xludf.DUMMYFUNCTION("""COMPUTED_VALUE"""),"CHAVEIRO PELUCIA DRAGAO")</f>
        <v>CHAVEIRO PELUCIA DRAGAO</v>
      </c>
      <c r="D2194" s="186" t="str">
        <f>IFERROR(__xludf.DUMMYFUNCTION("""COMPUTED_VALUE"""),"INMETRO Toys System 5 - Ordinance 302")</f>
        <v>INMETRO Toys System 5 - Ordinance 302</v>
      </c>
    </row>
    <row r="2195">
      <c r="B2195" s="186" t="str">
        <f>IFERROR(__xludf.DUMMYFUNCTION("""COMPUTED_VALUE"""),"PI6634Y")</f>
        <v>PI6634Y</v>
      </c>
      <c r="C2195" s="186" t="str">
        <f>IFERROR(__xludf.DUMMYFUNCTION("""COMPUTED_VALUE"""),"PANTUFA DEGRADE POR ONDE FLOR")</f>
        <v>PANTUFA DEGRADE POR ONDE FLOR</v>
      </c>
      <c r="D2195" s="186" t="str">
        <f>IFERROR(__xludf.DUMMYFUNCTION("""COMPUTED_VALUE"""),"FALSO")</f>
        <v>FALSO</v>
      </c>
    </row>
    <row r="2196">
      <c r="B2196" s="186" t="str">
        <f>IFERROR(__xludf.DUMMYFUNCTION("""COMPUTED_VALUE"""),"PI6290")</f>
        <v>PI6290</v>
      </c>
      <c r="C2196" s="186" t="str">
        <f>IFERROR(__xludf.DUMMYFUNCTION("""COMPUTED_VALUE"""),"ESPELHO CAMARIM ILUMINANDO A CADA PASSO")</f>
        <v>ESPELHO CAMARIM ILUMINANDO A CADA PASSO</v>
      </c>
      <c r="D2196" s="186" t="str">
        <f>IFERROR(__xludf.DUMMYFUNCTION("""COMPUTED_VALUE"""),"FALSO")</f>
        <v>FALSO</v>
      </c>
    </row>
    <row r="2197">
      <c r="B2197" s="186" t="str">
        <f>IFERROR(__xludf.DUMMYFUNCTION("""COMPUTED_VALUE"""),"PI6290")</f>
        <v>PI6290</v>
      </c>
      <c r="C2197" s="186" t="str">
        <f>IFERROR(__xludf.DUMMYFUNCTION("""COMPUTED_VALUE"""),"ESPELHO CAMARIM ILUMINANDO A CADA PASSO")</f>
        <v>ESPELHO CAMARIM ILUMINANDO A CADA PASSO</v>
      </c>
      <c r="D2197" s="186" t="str">
        <f>IFERROR(__xludf.DUMMYFUNCTION("""COMPUTED_VALUE"""),"FALSO")</f>
        <v>FALSO</v>
      </c>
    </row>
    <row r="2198">
      <c r="B2198" s="186" t="str">
        <f>IFERROR(__xludf.DUMMYFUNCTION("""COMPUTED_VALUE"""),"PI6290")</f>
        <v>PI6290</v>
      </c>
      <c r="C2198" s="186" t="str">
        <f>IFERROR(__xludf.DUMMYFUNCTION("""COMPUTED_VALUE"""),"ESPELHO CAMARIM ILUMINANDO A CADA PASSO")</f>
        <v>ESPELHO CAMARIM ILUMINANDO A CADA PASSO</v>
      </c>
      <c r="D2198" s="186" t="str">
        <f>IFERROR(__xludf.DUMMYFUNCTION("""COMPUTED_VALUE"""),"FALSO")</f>
        <v>FALSO</v>
      </c>
    </row>
    <row r="2199">
      <c r="B2199" s="186" t="str">
        <f>IFERROR(__xludf.DUMMYFUNCTION("""COMPUTED_VALUE"""),"PI6196Y")</f>
        <v>PI6196Y</v>
      </c>
      <c r="C2199" s="186" t="str">
        <f>IFERROR(__xludf.DUMMYFUNCTION("""COMPUTED_VALUE"""),"CHAVEIRO CANTIL TIRA GOSTO")</f>
        <v>CHAVEIRO CANTIL TIRA GOSTO</v>
      </c>
      <c r="D2199" s="186" t="str">
        <f>IFERROR(__xludf.DUMMYFUNCTION("""COMPUTED_VALUE"""),"FALSO")</f>
        <v>FALSO</v>
      </c>
    </row>
    <row r="2200">
      <c r="B2200" s="186" t="str">
        <f>IFERROR(__xludf.DUMMYFUNCTION("""COMPUTED_VALUE"""),"PI5877Y")</f>
        <v>PI5877Y</v>
      </c>
      <c r="C2200" s="186" t="str">
        <f>IFERROR(__xludf.DUMMYFUNCTION("""COMPUTED_VALUE"""),"COPO COM RECEITAS DE DRINKS")</f>
        <v>COPO COM RECEITAS DE DRINKS</v>
      </c>
      <c r="D2200" s="186" t="str">
        <f>IFERROR(__xludf.DUMMYFUNCTION("""COMPUTED_VALUE"""),"FALSO")</f>
        <v>FALSO</v>
      </c>
    </row>
    <row r="2201">
      <c r="B2201" s="186" t="str">
        <f>IFERROR(__xludf.DUMMYFUNCTION("""COMPUTED_VALUE"""),"PI5886Y")</f>
        <v>PI5886Y</v>
      </c>
      <c r="C2201" s="186" t="str">
        <f>IFERROR(__xludf.DUMMYFUNCTION("""COMPUTED_VALUE"""),"COPO COM RECEITAS DE DRINKS")</f>
        <v>COPO COM RECEITAS DE DRINKS</v>
      </c>
      <c r="D2201" s="186" t="str">
        <f>IFERROR(__xludf.DUMMYFUNCTION("""COMPUTED_VALUE"""),"FALSO")</f>
        <v>FALSO</v>
      </c>
    </row>
    <row r="2202">
      <c r="B2202" s="186" t="str">
        <f>IFERROR(__xludf.DUMMYFUNCTION("""COMPUTED_VALUE"""),"PI5882Y")</f>
        <v>PI5882Y</v>
      </c>
      <c r="C2202" s="186" t="str">
        <f>IFERROR(__xludf.DUMMYFUNCTION("""COMPUTED_VALUE"""),"KIT PARA DRINKS MITOLOGIA GREGA")</f>
        <v>KIT PARA DRINKS MITOLOGIA GREGA</v>
      </c>
      <c r="D2202" s="186" t="str">
        <f>IFERROR(__xludf.DUMMYFUNCTION("""COMPUTED_VALUE"""),"FALSO")</f>
        <v>FALSO</v>
      </c>
    </row>
    <row r="2203">
      <c r="B2203" s="186" t="str">
        <f>IFERROR(__xludf.DUMMYFUNCTION("""COMPUTED_VALUE"""),"PI7550Y")</f>
        <v>PI7550Y</v>
      </c>
      <c r="C2203" s="186" t="str">
        <f>IFERROR(__xludf.DUMMYFUNCTION("""COMPUTED_VALUE"""),"CANETA PINGENTE PATO")</f>
        <v>CANETA PINGENTE PATO</v>
      </c>
      <c r="D2203" s="186" t="str">
        <f>IFERROR(__xludf.DUMMYFUNCTION("""COMPUTED_VALUE"""),"INMETRO SCHOOL ARTICLES SYSTEM 5 - ORDINANCE 481")</f>
        <v>INMETRO SCHOOL ARTICLES SYSTEM 5 - ORDINANCE 481</v>
      </c>
    </row>
    <row r="2204">
      <c r="B2204" s="186" t="str">
        <f>IFERROR(__xludf.DUMMYFUNCTION("""COMPUTED_VALUE"""),"PI7165Y")</f>
        <v>PI7165Y</v>
      </c>
      <c r="C2204" s="186" t="str">
        <f>IFERROR(__xludf.DUMMYFUNCTION("""COMPUTED_VALUE"""),"LUMINARIA DE SILICONE PATO")</f>
        <v>LUMINARIA DE SILICONE PATO</v>
      </c>
      <c r="D2204" s="186" t="str">
        <f>IFERROR(__xludf.DUMMYFUNCTION("""COMPUTED_VALUE"""),"FALSO")</f>
        <v>FALSO</v>
      </c>
    </row>
    <row r="2205">
      <c r="B2205" s="186" t="str">
        <f>IFERROR(__xludf.DUMMYFUNCTION("""COMPUTED_VALUE"""),"CS2507")</f>
        <v>CS2507</v>
      </c>
      <c r="C2205" s="186"/>
      <c r="D2205" s="186" t="str">
        <f>IFERROR(__xludf.DUMMYFUNCTION("""COMPUTED_VALUE"""),"FALSO")</f>
        <v>FALSO</v>
      </c>
    </row>
    <row r="2206">
      <c r="B2206" s="186" t="str">
        <f>IFERROR(__xludf.DUMMYFUNCTION("""COMPUTED_VALUE"""),"CS2508")</f>
        <v>CS2508</v>
      </c>
      <c r="C2206" s="186"/>
      <c r="D2206" s="186" t="str">
        <f>IFERROR(__xludf.DUMMYFUNCTION("""COMPUTED_VALUE"""),"FALSO")</f>
        <v>FALSO</v>
      </c>
    </row>
    <row r="2207">
      <c r="B2207" s="186" t="str">
        <f>IFERROR(__xludf.DUMMYFUNCTION("""COMPUTED_VALUE"""),"CS2509")</f>
        <v>CS2509</v>
      </c>
      <c r="C2207" s="186"/>
      <c r="D2207" s="186" t="str">
        <f>IFERROR(__xludf.DUMMYFUNCTION("""COMPUTED_VALUE"""),"FALSO")</f>
        <v>FALSO</v>
      </c>
    </row>
    <row r="2208">
      <c r="B2208" s="186" t="str">
        <f>IFERROR(__xludf.DUMMYFUNCTION("""COMPUTED_VALUE"""),"CS2510")</f>
        <v>CS2510</v>
      </c>
      <c r="C2208" s="186"/>
      <c r="D2208" s="186" t="str">
        <f>IFERROR(__xludf.DUMMYFUNCTION("""COMPUTED_VALUE"""),"FALSO")</f>
        <v>FALSO</v>
      </c>
    </row>
    <row r="2209">
      <c r="B2209" s="186" t="str">
        <f>IFERROR(__xludf.DUMMYFUNCTION("""COMPUTED_VALUE"""),"CS2187")</f>
        <v>CS2187</v>
      </c>
      <c r="C2209" s="358" t="str">
        <f>IFERROR(__xludf.DUMMYFUNCTION("""COMPUTED_VALUE"""),"DUPLA DE BOWLS MISTICO QUEM E DE LUA")</f>
        <v>DUPLA DE BOWLS MISTICO QUEM E DE LUA</v>
      </c>
      <c r="D2209" s="186" t="str">
        <f>IFERROR(__xludf.DUMMYFUNCTION("""COMPUTED_VALUE"""),"FALSO")</f>
        <v>FALSO</v>
      </c>
    </row>
    <row r="2210">
      <c r="B2210" s="186" t="str">
        <f>IFERROR(__xludf.DUMMYFUNCTION("""COMPUTED_VALUE"""),"CS2435")</f>
        <v>CS2435</v>
      </c>
      <c r="C2210" s="358" t="str">
        <f>IFERROR(__xludf.DUMMYFUNCTION("""COMPUTED_VALUE"""),"DUPLA DE CANECAS COM ALCA CORACAO")</f>
        <v>DUPLA DE CANECAS COM ALCA CORACAO</v>
      </c>
      <c r="D2210" s="186" t="str">
        <f>IFERROR(__xludf.DUMMYFUNCTION("""COMPUTED_VALUE"""),"FALSO")</f>
        <v>FALSO</v>
      </c>
    </row>
    <row r="2211">
      <c r="B2211" s="186" t="str">
        <f>IFERROR(__xludf.DUMMYFUNCTION("""COMPUTED_VALUE"""),"CS2389")</f>
        <v>CS2389</v>
      </c>
      <c r="C2211" s="186" t="str">
        <f>IFERROR(__xludf.DUMMYFUNCTION("""COMPUTED_VALUE"""),"DUPLA DE CANECAS DICIONARIO DO CAFE")</f>
        <v>DUPLA DE CANECAS DICIONARIO DO CAFE</v>
      </c>
      <c r="D2211" s="186" t="str">
        <f>IFERROR(__xludf.DUMMYFUNCTION("""COMPUTED_VALUE"""),"FALSO")</f>
        <v>FALSO</v>
      </c>
    </row>
    <row r="2212">
      <c r="B2212" s="186" t="str">
        <f>IFERROR(__xludf.DUMMYFUNCTION("""COMPUTED_VALUE"""),"CS2269")</f>
        <v>CS2269</v>
      </c>
      <c r="C2212" s="186" t="str">
        <f>IFERROR(__xludf.DUMMYFUNCTION("""COMPUTED_VALUE"""),"DUPLA DE CANECAS GALAXIA")</f>
        <v>DUPLA DE CANECAS GALAXIA</v>
      </c>
      <c r="D2212" s="186" t="str">
        <f>IFERROR(__xludf.DUMMYFUNCTION("""COMPUTED_VALUE"""),"FALSO")</f>
        <v>FALSO</v>
      </c>
    </row>
    <row r="2213">
      <c r="B2213" s="186" t="str">
        <f>IFERROR(__xludf.DUMMYFUNCTION("""COMPUTED_VALUE"""),"CS2256")</f>
        <v>CS2256</v>
      </c>
      <c r="C2213" s="186" t="str">
        <f>IFERROR(__xludf.DUMMYFUNCTION("""COMPUTED_VALUE"""),"DUPLA DE CERVEJA PAIS")</f>
        <v>DUPLA DE CERVEJA PAIS</v>
      </c>
      <c r="D2213" s="186" t="str">
        <f>IFERROR(__xludf.DUMMYFUNCTION("""COMPUTED_VALUE"""),"FALSO")</f>
        <v>FALSO</v>
      </c>
    </row>
    <row r="2214">
      <c r="B2214" s="186" t="str">
        <f>IFERROR(__xludf.DUMMYFUNCTION("""COMPUTED_VALUE"""),"CS2050")</f>
        <v>CS2050</v>
      </c>
      <c r="C2214" s="186" t="str">
        <f>IFERROR(__xludf.DUMMYFUNCTION("""COMPUTED_VALUE"""),"DUPLA DE COPOS BOROGODO E BORA GORO")</f>
        <v>DUPLA DE COPOS BOROGODO E BORA GORO</v>
      </c>
      <c r="D2214" s="186" t="str">
        <f>IFERROR(__xludf.DUMMYFUNCTION("""COMPUTED_VALUE"""),"FALSO")</f>
        <v>FALSO</v>
      </c>
    </row>
    <row r="2215">
      <c r="B2215" s="186" t="str">
        <f>IFERROR(__xludf.DUMMYFUNCTION("""COMPUTED_VALUE"""),"CS2134")</f>
        <v>CS2134</v>
      </c>
      <c r="C2215" s="186" t="str">
        <f>IFERROR(__xludf.DUMMYFUNCTION("""COMPUTED_VALUE"""),"DUPLA DE COPOS CASA X VISITANTE")</f>
        <v>DUPLA DE COPOS CASA X VISITANTE</v>
      </c>
      <c r="D2215" s="186" t="str">
        <f>IFERROR(__xludf.DUMMYFUNCTION("""COMPUTED_VALUE"""),"FALSO")</f>
        <v>FALSO</v>
      </c>
    </row>
    <row r="2216">
      <c r="B2216" s="186" t="str">
        <f>IFERROR(__xludf.DUMMYFUNCTION("""COMPUTED_VALUE"""),"CS2221")</f>
        <v>CS2221</v>
      </c>
      <c r="C2216" s="186" t="str">
        <f>IFERROR(__xludf.DUMMYFUNCTION("""COMPUTED_VALUE"""),"DUPLA DE COPOS EU SABIA FELIPE MOROZINI")</f>
        <v>DUPLA DE COPOS EU SABIA FELIPE MOROZINI</v>
      </c>
      <c r="D2216" s="186" t="str">
        <f>IFERROR(__xludf.DUMMYFUNCTION("""COMPUTED_VALUE"""),"FALSO")</f>
        <v>FALSO</v>
      </c>
    </row>
    <row r="2217">
      <c r="B2217" s="186" t="str">
        <f>IFERROR(__xludf.DUMMYFUNCTION("""COMPUTED_VALUE"""),"CS2133")</f>
        <v>CS2133</v>
      </c>
      <c r="C2217" s="186" t="str">
        <f>IFERROR(__xludf.DUMMYFUNCTION("""COMPUTED_VALUE"""),"DUPLA DE COPOS FILOSOFIAS DE BOTECO")</f>
        <v>DUPLA DE COPOS FILOSOFIAS DE BOTECO</v>
      </c>
      <c r="D2217" s="186" t="str">
        <f>IFERROR(__xludf.DUMMYFUNCTION("""COMPUTED_VALUE"""),"FALSO")</f>
        <v>FALSO</v>
      </c>
    </row>
    <row r="2218">
      <c r="B2218" s="186" t="str">
        <f>IFERROR(__xludf.DUMMYFUNCTION("""COMPUTED_VALUE"""),"CS2031")</f>
        <v>CS2031</v>
      </c>
      <c r="C2218" s="186" t="str">
        <f>IFERROR(__xludf.DUMMYFUNCTION("""COMPUTED_VALUE"""),"DUPLA DE COPOS ZECA VIDA LEVA EU")</f>
        <v>DUPLA DE COPOS ZECA VIDA LEVA EU</v>
      </c>
      <c r="D2218" s="186" t="str">
        <f>IFERROR(__xludf.DUMMYFUNCTION("""COMPUTED_VALUE"""),"FALSO")</f>
        <v>FALSO</v>
      </c>
    </row>
    <row r="2219">
      <c r="B2219" s="186" t="str">
        <f>IFERROR(__xludf.DUMMYFUNCTION("""COMPUTED_VALUE"""),"CS2114")</f>
        <v>CS2114</v>
      </c>
      <c r="C2219" s="186" t="str">
        <f>IFERROR(__xludf.DUMMYFUNCTION("""COMPUTED_VALUE"""),"DUPLA DE TACAS CERVEJA MALTE E LUPULO")</f>
        <v>DUPLA DE TACAS CERVEJA MALTE E LUPULO</v>
      </c>
      <c r="D2219" s="186" t="str">
        <f>IFERROR(__xludf.DUMMYFUNCTION("""COMPUTED_VALUE"""),"FALSO")</f>
        <v>FALSO</v>
      </c>
    </row>
    <row r="2220">
      <c r="B2220" s="186" t="str">
        <f>IFERROR(__xludf.DUMMYFUNCTION("""COMPUTED_VALUE"""),"CS2114")</f>
        <v>CS2114</v>
      </c>
      <c r="C2220" s="186" t="str">
        <f>IFERROR(__xludf.DUMMYFUNCTION("""COMPUTED_VALUE"""),"DUPLA DE TACAS CERVEJA MALTE E LUPULO")</f>
        <v>DUPLA DE TACAS CERVEJA MALTE E LUPULO</v>
      </c>
      <c r="D2220" s="186" t="str">
        <f>IFERROR(__xludf.DUMMYFUNCTION("""COMPUTED_VALUE"""),"FALSO")</f>
        <v>FALSO</v>
      </c>
    </row>
    <row r="2221">
      <c r="B2221" s="186" t="str">
        <f>IFERROR(__xludf.DUMMYFUNCTION("""COMPUTED_VALUE"""),"CS2189")</f>
        <v>CS2189</v>
      </c>
      <c r="C2221" s="186" t="str">
        <f>IFERROR(__xludf.DUMMYFUNCTION("""COMPUTED_VALUE"""),"DUPLA DE TACAS DE VINHO SOMMELIER")</f>
        <v>DUPLA DE TACAS DE VINHO SOMMELIER</v>
      </c>
      <c r="D2221" s="186" t="str">
        <f>IFERROR(__xludf.DUMMYFUNCTION("""COMPUTED_VALUE"""),"FALSO")</f>
        <v>FALSO</v>
      </c>
    </row>
    <row r="2222">
      <c r="B2222" s="186" t="str">
        <f>IFERROR(__xludf.DUMMYFUNCTION("""COMPUTED_VALUE"""),"CS2291")</f>
        <v>CS2291</v>
      </c>
      <c r="C2222" s="186" t="str">
        <f>IFERROR(__xludf.DUMMYFUNCTION("""COMPUTED_VALUE"""),"DUPLA DE XICARAS EMPILHAVEIS MAIS UM")</f>
        <v>DUPLA DE XICARAS EMPILHAVEIS MAIS UM</v>
      </c>
      <c r="D2222" s="186" t="str">
        <f>IFERROR(__xludf.DUMMYFUNCTION("""COMPUTED_VALUE"""),"FALSO")</f>
        <v>FALSO</v>
      </c>
    </row>
    <row r="2223">
      <c r="B2223" s="186" t="str">
        <f>IFERROR(__xludf.DUMMYFUNCTION("""COMPUTED_VALUE"""),"PI5139Y")</f>
        <v>PI5139Y</v>
      </c>
      <c r="C2223" s="186" t="str">
        <f>IFERROR(__xludf.DUMMYFUNCTION("""COMPUTED_VALUE"""),"FONE DE OUVIDO SEM FIO BORA")</f>
        <v>FONE DE OUVIDO SEM FIO BORA</v>
      </c>
      <c r="D2223" s="186" t="str">
        <f>IFERROR(__xludf.DUMMYFUNCTION("""COMPUTED_VALUE"""),"Anatel Category 2 - Bluetooth Module")</f>
        <v>Anatel Category 2 - Bluetooth Module</v>
      </c>
    </row>
    <row r="2224">
      <c r="B2224" s="186"/>
      <c r="C2224" s="186"/>
      <c r="D2224" s="186"/>
    </row>
    <row r="2225">
      <c r="B2225" s="186" t="str">
        <f>IFERROR(__xludf.DUMMYFUNCTION("""COMPUTED_VALUE"""),"PI7709Y")</f>
        <v>PI7709Y</v>
      </c>
      <c r="C2225" s="186" t="str">
        <f>IFERROR(__xludf.DUMMYFUNCTION("""COMPUTED_VALUE"""),"CANETA EJETAVEL PATO")</f>
        <v>CANETA EJETAVEL PATO</v>
      </c>
      <c r="D2225" s="186" t="str">
        <f>IFERROR(__xludf.DUMMYFUNCTION("""COMPUTED_VALUE"""),"INMETRO SCHOOL ARTICLES SYSTEM 5 - ORDINANCE 481")</f>
        <v>INMETRO SCHOOL ARTICLES SYSTEM 5 - ORDINANCE 481</v>
      </c>
    </row>
    <row r="2226">
      <c r="B2226" s="186" t="str">
        <f>IFERROR(__xludf.DUMMYFUNCTION("""COMPUTED_VALUE"""),"PI6157Y")</f>
        <v>PI6157Y</v>
      </c>
      <c r="C2226" s="186" t="str">
        <f>IFERROR(__xludf.DUMMYFUNCTION("""COMPUTED_VALUE"""),"CANETA EJETAVEL EU QUE LUTE")</f>
        <v>CANETA EJETAVEL EU QUE LUTE</v>
      </c>
      <c r="D2226" s="186" t="str">
        <f>IFERROR(__xludf.DUMMYFUNCTION("""COMPUTED_VALUE"""),"INMETRO SCHOOL ARTICLES SYSTEM 5 - ORDINANCE 481")</f>
        <v>INMETRO SCHOOL ARTICLES SYSTEM 5 - ORDINANCE 481</v>
      </c>
    </row>
    <row r="2227">
      <c r="B2227" s="186" t="str">
        <f>IFERROR(__xludf.DUMMYFUNCTION("""COMPUTED_VALUE"""),"PI6157Y")</f>
        <v>PI6157Y</v>
      </c>
      <c r="C2227" s="186" t="str">
        <f>IFERROR(__xludf.DUMMYFUNCTION("""COMPUTED_VALUE"""),"CANETA EJETAVEL EU QUE LUTE")</f>
        <v>CANETA EJETAVEL EU QUE LUTE</v>
      </c>
      <c r="D2227" s="186" t="str">
        <f>IFERROR(__xludf.DUMMYFUNCTION("""COMPUTED_VALUE"""),"INMETRO SCHOOL ARTICLES SYSTEM 5 - ORDINANCE 481")</f>
        <v>INMETRO SCHOOL ARTICLES SYSTEM 5 - ORDINANCE 481</v>
      </c>
    </row>
    <row r="2228">
      <c r="B2228" s="186" t="str">
        <f>IFERROR(__xludf.DUMMYFUNCTION("""COMPUTED_VALUE"""),"PI6158Y")</f>
        <v>PI6158Y</v>
      </c>
      <c r="C2228" s="186" t="str">
        <f>IFERROR(__xludf.DUMMYFUNCTION("""COMPUTED_VALUE"""),"CANETA EJETAVEL GOL DE LETRA")</f>
        <v>CANETA EJETAVEL GOL DE LETRA</v>
      </c>
      <c r="D2228" s="186" t="str">
        <f>IFERROR(__xludf.DUMMYFUNCTION("""COMPUTED_VALUE"""),"INMETRO SCHOOL ARTICLES SYSTEM 5 - ORDINANCE 481")</f>
        <v>INMETRO SCHOOL ARTICLES SYSTEM 5 - ORDINANCE 481</v>
      </c>
    </row>
    <row r="2229">
      <c r="B2229" s="186" t="str">
        <f>IFERROR(__xludf.DUMMYFUNCTION("""COMPUTED_VALUE"""),"PI6158Y")</f>
        <v>PI6158Y</v>
      </c>
      <c r="C2229" s="186" t="str">
        <f>IFERROR(__xludf.DUMMYFUNCTION("""COMPUTED_VALUE"""),"CANETA EJETAVEL GOL DE LETRA")</f>
        <v>CANETA EJETAVEL GOL DE LETRA</v>
      </c>
      <c r="D2229" s="186" t="str">
        <f>IFERROR(__xludf.DUMMYFUNCTION("""COMPUTED_VALUE"""),"INMETRO SCHOOL ARTICLES SYSTEM 5 - ORDINANCE 481")</f>
        <v>INMETRO SCHOOL ARTICLES SYSTEM 5 - ORDINANCE 481</v>
      </c>
    </row>
    <row r="2230">
      <c r="B2230" s="186" t="str">
        <f>IFERROR(__xludf.DUMMYFUNCTION("""COMPUTED_VALUE"""),"PI7710Y")</f>
        <v>PI7710Y</v>
      </c>
      <c r="C2230" s="186" t="str">
        <f>IFERROR(__xludf.DUMMYFUNCTION("""COMPUTED_VALUE"""),"CANETA EJETAVEL BOLA DE FUTEBOL")</f>
        <v>CANETA EJETAVEL BOLA DE FUTEBOL</v>
      </c>
      <c r="D2230" s="186" t="str">
        <f>IFERROR(__xludf.DUMMYFUNCTION("""COMPUTED_VALUE"""),"INMETRO SCHOOL ARTICLES SYSTEM 5 - ORDINANCE 481")</f>
        <v>INMETRO SCHOOL ARTICLES SYSTEM 5 - ORDINANCE 481</v>
      </c>
    </row>
    <row r="2231">
      <c r="B2231" s="186" t="str">
        <f>IFERROR(__xludf.DUMMYFUNCTION("""COMPUTED_VALUE"""),"PI4533Y")</f>
        <v>PI4533Y</v>
      </c>
      <c r="C2231" s="186" t="str">
        <f>IFERROR(__xludf.DUMMYFUNCTION("""COMPUTED_VALUE"""),"REMOVEDOR DE CRAVOS ELETRICO RENOVA")</f>
        <v>REMOVEDOR DE CRAVOS ELETRICO RENOVA</v>
      </c>
      <c r="D2231" s="186" t="str">
        <f>IFERROR(__xludf.DUMMYFUNCTION("""COMPUTED_VALUE"""),"FALSO")</f>
        <v>FALSO</v>
      </c>
    </row>
    <row r="2232">
      <c r="B2232" s="186" t="str">
        <f>IFERROR(__xludf.DUMMYFUNCTION("""COMPUTED_VALUE"""),"PI6699Y")</f>
        <v>PI6699Y</v>
      </c>
      <c r="C2232" s="186" t="str">
        <f>IFERROR(__xludf.DUMMYFUNCTION("""COMPUTED_VALUE"""),"COPO ELETRICO CAFE BEM QUENTE")</f>
        <v>COPO ELETRICO CAFE BEM QUENTE</v>
      </c>
      <c r="D2232" s="186" t="str">
        <f>IFERROR(__xludf.DUMMYFUNCTION("""COMPUTED_VALUE"""),"FALSO")</f>
        <v>FALSO</v>
      </c>
    </row>
    <row r="2233">
      <c r="B2233" s="186" t="str">
        <f>IFERROR(__xludf.DUMMYFUNCTION("""COMPUTED_VALUE"""),"PI6699Y")</f>
        <v>PI6699Y</v>
      </c>
      <c r="C2233" s="186" t="str">
        <f>IFERROR(__xludf.DUMMYFUNCTION("""COMPUTED_VALUE"""),"COPO ELETRICO CAFE BEM QUENTE")</f>
        <v>COPO ELETRICO CAFE BEM QUENTE</v>
      </c>
      <c r="D2233" s="186" t="str">
        <f>IFERROR(__xludf.DUMMYFUNCTION("""COMPUTED_VALUE"""),"FALSO")</f>
        <v>FALSO</v>
      </c>
    </row>
    <row r="2234">
      <c r="B2234" s="186" t="str">
        <f>IFERROR(__xludf.DUMMYFUNCTION("""COMPUTED_VALUE"""),"PI6699Y")</f>
        <v>PI6699Y</v>
      </c>
      <c r="C2234" s="186" t="str">
        <f>IFERROR(__xludf.DUMMYFUNCTION("""COMPUTED_VALUE"""),"COPO ELETRICO CAFE BEM QUENTE")</f>
        <v>COPO ELETRICO CAFE BEM QUENTE</v>
      </c>
      <c r="D2234" s="186" t="str">
        <f>IFERROR(__xludf.DUMMYFUNCTION("""COMPUTED_VALUE"""),"FALSO")</f>
        <v>FALSO</v>
      </c>
    </row>
    <row r="2235">
      <c r="B2235" s="186" t="str">
        <f>IFERROR(__xludf.DUMMYFUNCTION("""COMPUTED_VALUE"""),"PI7119Y")</f>
        <v>PI7119Y</v>
      </c>
      <c r="C2235" s="186" t="str">
        <f>IFERROR(__xludf.DUMMYFUNCTION("""COMPUTED_VALUE"""),"UMIDIFICADOR FACIAL ELETRICO GOTA")</f>
        <v>UMIDIFICADOR FACIAL ELETRICO GOTA</v>
      </c>
      <c r="D2235" s="186" t="str">
        <f>IFERROR(__xludf.DUMMYFUNCTION("""COMPUTED_VALUE"""),"FALSO")</f>
        <v>FALSO</v>
      </c>
    </row>
    <row r="2236">
      <c r="B2236" s="186" t="str">
        <f>IFERROR(__xludf.DUMMYFUNCTION("""COMPUTED_VALUE"""),"PI5580Y")</f>
        <v>PI5580Y</v>
      </c>
      <c r="C2236" s="186" t="str">
        <f>IFERROR(__xludf.DUMMYFUNCTION("""COMPUTED_VALUE"""),"UMIDIFICADOR FACIAL ELETRICO PEROLADO")</f>
        <v>UMIDIFICADOR FACIAL ELETRICO PEROLADO</v>
      </c>
      <c r="D2236" s="186" t="str">
        <f>IFERROR(__xludf.DUMMYFUNCTION("""COMPUTED_VALUE"""),"FALSO")</f>
        <v>FALSO</v>
      </c>
    </row>
    <row r="2237">
      <c r="B2237" s="186" t="str">
        <f>IFERROR(__xludf.DUMMYFUNCTION("""COMPUTED_VALUE"""),"PI5231Y")</f>
        <v>PI5231Y</v>
      </c>
      <c r="C2237" s="186" t="str">
        <f>IFERROR(__xludf.DUMMYFUNCTION("""COMPUTED_VALUE"""),"FONDUE ELETRICO COM JOGO SE JOGA")</f>
        <v>FONDUE ELETRICO COM JOGO SE JOGA</v>
      </c>
      <c r="D2237" s="186" t="str">
        <f>IFERROR(__xludf.DUMMYFUNCTION("""COMPUTED_VALUE"""),"INMETRO Electrical Security System 5 (Factory) - Ordinance 371")</f>
        <v>INMETRO Electrical Security System 5 (Factory) - Ordinance 371</v>
      </c>
    </row>
    <row r="2238">
      <c r="B2238" s="186" t="str">
        <f>IFERROR(__xludf.DUMMYFUNCTION("""COMPUTED_VALUE"""),"PI4944Y")</f>
        <v>PI4944Y</v>
      </c>
      <c r="C2238" s="186" t="str">
        <f>IFERROR(__xludf.DUMMYFUNCTION("""COMPUTED_VALUE"""),"MOEDOR ELETRICO BEATLES SGT PEPPERS")</f>
        <v>MOEDOR ELETRICO BEATLES SGT PEPPERS</v>
      </c>
      <c r="D2238" s="186" t="str">
        <f>IFERROR(__xludf.DUMMYFUNCTION("""COMPUTED_VALUE"""),"INMETRO Electrical Security (Home Appliances)")</f>
        <v>INMETRO Electrical Security (Home Appliances)</v>
      </c>
    </row>
    <row r="2239">
      <c r="B2239" s="186" t="str">
        <f>IFERROR(__xludf.DUMMYFUNCTION("""COMPUTED_VALUE"""),"PI6691Y")</f>
        <v>PI6691Y</v>
      </c>
      <c r="C2239" s="186" t="str">
        <f>IFERROR(__xludf.DUMMYFUNCTION("""COMPUTED_VALUE"""),"MASSAGEADOR ELETRICO NA MIRA DA MASSAGEM")</f>
        <v>MASSAGEADOR ELETRICO NA MIRA DA MASSAGEM</v>
      </c>
      <c r="D2239" s="186" t="str">
        <f>IFERROR(__xludf.DUMMYFUNCTION("""COMPUTED_VALUE"""),"FALSO")</f>
        <v>FALSO</v>
      </c>
    </row>
    <row r="2240">
      <c r="B2240" s="186" t="str">
        <f>IFERROR(__xludf.DUMMYFUNCTION("""COMPUTED_VALUE"""),"PI6691Y")</f>
        <v>PI6691Y</v>
      </c>
      <c r="C2240" s="186" t="str">
        <f>IFERROR(__xludf.DUMMYFUNCTION("""COMPUTED_VALUE"""),"MASSAGEADOR ELETRICO NA MIRA DA MASSAGEM")</f>
        <v>MASSAGEADOR ELETRICO NA MIRA DA MASSAGEM</v>
      </c>
      <c r="D2240" s="186" t="str">
        <f>IFERROR(__xludf.DUMMYFUNCTION("""COMPUTED_VALUE"""),"FALSO")</f>
        <v>FALSO</v>
      </c>
    </row>
    <row r="2241">
      <c r="B2241" s="186" t="str">
        <f>IFERROR(__xludf.DUMMYFUNCTION("""COMPUTED_VALUE"""),"PI6489Y")</f>
        <v>PI6489Y</v>
      </c>
      <c r="C2241" s="186" t="str">
        <f>IFERROR(__xludf.DUMMYFUNCTION("""COMPUTED_VALUE"""),"KIT SALEIRO E PIMENTEIRO ELETRICOS")</f>
        <v>KIT SALEIRO E PIMENTEIRO ELETRICOS</v>
      </c>
      <c r="D2241" s="186" t="str">
        <f>IFERROR(__xludf.DUMMYFUNCTION("""COMPUTED_VALUE"""),"FALSO")</f>
        <v>FALSO</v>
      </c>
    </row>
    <row r="2242">
      <c r="B2242" s="186" t="str">
        <f>IFERROR(__xludf.DUMMYFUNCTION("""COMPUTED_VALUE"""),"PI5195Y")</f>
        <v>PI5195Y</v>
      </c>
      <c r="C2242" s="186" t="str">
        <f>IFERROR(__xludf.DUMMYFUNCTION("""COMPUTED_VALUE"""),"ABRIDOR DE VINHO ELETRICO EU QUE LUTE")</f>
        <v>ABRIDOR DE VINHO ELETRICO EU QUE LUTE</v>
      </c>
      <c r="D2242" s="186" t="str">
        <f>IFERROR(__xludf.DUMMYFUNCTION("""COMPUTED_VALUE"""),"FALSO")</f>
        <v>FALSO</v>
      </c>
    </row>
    <row r="2243">
      <c r="B2243" s="186" t="str">
        <f>IFERROR(__xludf.DUMMYFUNCTION("""COMPUTED_VALUE"""),"PI5195Y")</f>
        <v>PI5195Y</v>
      </c>
      <c r="C2243" s="186" t="str">
        <f>IFERROR(__xludf.DUMMYFUNCTION("""COMPUTED_VALUE"""),"ABRIDOR DE VINHO ELETRICO EU QUE LUTE")</f>
        <v>ABRIDOR DE VINHO ELETRICO EU QUE LUTE</v>
      </c>
      <c r="D2243" s="186" t="str">
        <f>IFERROR(__xludf.DUMMYFUNCTION("""COMPUTED_VALUE"""),"FALSO")</f>
        <v>FALSO</v>
      </c>
    </row>
    <row r="2244">
      <c r="B2244" s="186" t="str">
        <f>IFERROR(__xludf.DUMMYFUNCTION("""COMPUTED_VALUE"""),"PI5814Y")</f>
        <v>PI5814Y</v>
      </c>
      <c r="C2244" s="186" t="str">
        <f>IFERROR(__xludf.DUMMYFUNCTION("""COMPUTED_VALUE"""),"ABRIDOR DE VINHO ELETRICO SOL")</f>
        <v>ABRIDOR DE VINHO ELETRICO SOL</v>
      </c>
      <c r="D2244" s="186" t="str">
        <f>IFERROR(__xludf.DUMMYFUNCTION("""COMPUTED_VALUE"""),"FALSO")</f>
        <v>FALSO</v>
      </c>
    </row>
    <row r="2245">
      <c r="B2245" s="186" t="str">
        <f>IFERROR(__xludf.DUMMYFUNCTION("""COMPUTED_VALUE"""),"PI5814Y")</f>
        <v>PI5814Y</v>
      </c>
      <c r="C2245" s="186" t="str">
        <f>IFERROR(__xludf.DUMMYFUNCTION("""COMPUTED_VALUE"""),"ABRIDOR DE VINHO ELETRICO SOL")</f>
        <v>ABRIDOR DE VINHO ELETRICO SOL</v>
      </c>
      <c r="D2245" s="186" t="str">
        <f>IFERROR(__xludf.DUMMYFUNCTION("""COMPUTED_VALUE"""),"FALSO")</f>
        <v>FALSO</v>
      </c>
    </row>
    <row r="2246">
      <c r="B2246" s="186" t="str">
        <f>IFERROR(__xludf.DUMMYFUNCTION("""COMPUTED_VALUE"""),"US0089")</f>
        <v>US0089</v>
      </c>
      <c r="C2246" s="186" t="str">
        <f>IFERROR(__xludf.DUMMYFUNCTION("""COMPUTED_VALUE"""),"LUMINARIA ELEFANTE NATURAL")</f>
        <v>LUMINARIA ELEFANTE NATURAL</v>
      </c>
      <c r="D2246" s="186" t="str">
        <f>IFERROR(__xludf.DUMMYFUNCTION("""COMPUTED_VALUE"""),"FALSO")</f>
        <v>FALSO</v>
      </c>
    </row>
    <row r="2247">
      <c r="B2247" s="186" t="str">
        <f>IFERROR(__xludf.DUMMYFUNCTION("""COMPUTED_VALUE"""),"PI5048Y")</f>
        <v>PI5048Y</v>
      </c>
      <c r="C2247" s="186" t="str">
        <f>IFERROR(__xludf.DUMMYFUNCTION("""COMPUTED_VALUE"""),"CAFETEIRA ELETRICA COM COPO 127V FRIENDS")</f>
        <v>CAFETEIRA ELETRICA COM COPO 127V FRIENDS</v>
      </c>
      <c r="D2247" s="186" t="str">
        <f>IFERROR(__xludf.DUMMYFUNCTION("""COMPUTED_VALUE"""),"INMETRO Electrical Security System 5 (Factory)")</f>
        <v>INMETRO Electrical Security System 5 (Factory)</v>
      </c>
    </row>
    <row r="2248">
      <c r="B2248" s="186" t="str">
        <f>IFERROR(__xludf.DUMMYFUNCTION("""COMPUTED_VALUE"""),"PI5049Y")</f>
        <v>PI5049Y</v>
      </c>
      <c r="C2248" s="186" t="str">
        <f>IFERROR(__xludf.DUMMYFUNCTION("""COMPUTED_VALUE"""),"CAFETEIRA ELETRICA COM COPO 220V FRIENDS")</f>
        <v>CAFETEIRA ELETRICA COM COPO 220V FRIENDS</v>
      </c>
      <c r="D2248" s="186" t="str">
        <f>IFERROR(__xludf.DUMMYFUNCTION("""COMPUTED_VALUE"""),"INMETRO Electrical Security System 5 (Factory)")</f>
        <v>INMETRO Electrical Security System 5 (Factory)</v>
      </c>
    </row>
    <row r="2249">
      <c r="B2249" s="186" t="str">
        <f>IFERROR(__xludf.DUMMYFUNCTION("""COMPUTED_VALUE"""),"PI5116Y")</f>
        <v>PI5116Y</v>
      </c>
      <c r="C2249" s="186" t="str">
        <f>IFERROR(__xludf.DUMMYFUNCTION("""COMPUTED_VALUE"""),"ROLO MASSAGEADOR ELETRICO QUARTZO ROSE")</f>
        <v>ROLO MASSAGEADOR ELETRICO QUARTZO ROSE</v>
      </c>
      <c r="D2249" s="186" t="str">
        <f>IFERROR(__xludf.DUMMYFUNCTION("""COMPUTED_VALUE"""),"FALSO")</f>
        <v>FALSO</v>
      </c>
    </row>
    <row r="2250">
      <c r="B2250" s="186" t="str">
        <f>IFERROR(__xludf.DUMMYFUNCTION("""COMPUTED_VALUE"""),"PI5116Y")</f>
        <v>PI5116Y</v>
      </c>
      <c r="C2250" s="186" t="str">
        <f>IFERROR(__xludf.DUMMYFUNCTION("""COMPUTED_VALUE"""),"ROLO MASSAGEADOR ELETRICO QUARTZO ROSE")</f>
        <v>ROLO MASSAGEADOR ELETRICO QUARTZO ROSE</v>
      </c>
      <c r="D2250" s="186" t="str">
        <f>IFERROR(__xludf.DUMMYFUNCTION("""COMPUTED_VALUE"""),"FALSO")</f>
        <v>FALSO</v>
      </c>
    </row>
    <row r="2251">
      <c r="B2251" s="186" t="str">
        <f>IFERROR(__xludf.DUMMYFUNCTION("""COMPUTED_VALUE"""),"PI4898Y")</f>
        <v>PI4898Y</v>
      </c>
      <c r="C2251" s="186" t="str">
        <f>IFERROR(__xludf.DUMMYFUNCTION("""COMPUTED_VALUE"""),"ABRIDOR DE VINHO ELETRICO APRECIADOR")</f>
        <v>ABRIDOR DE VINHO ELETRICO APRECIADOR</v>
      </c>
      <c r="D2251" s="186" t="str">
        <f>IFERROR(__xludf.DUMMYFUNCTION("""COMPUTED_VALUE"""),"FALSO")</f>
        <v>FALSO</v>
      </c>
    </row>
    <row r="2252">
      <c r="B2252" s="186" t="str">
        <f>IFERROR(__xludf.DUMMYFUNCTION("""COMPUTED_VALUE"""),"PI4898Y")</f>
        <v>PI4898Y</v>
      </c>
      <c r="C2252" s="186" t="str">
        <f>IFERROR(__xludf.DUMMYFUNCTION("""COMPUTED_VALUE"""),"ABRIDOR DE VINHO ELETRICO APRECIADOR")</f>
        <v>ABRIDOR DE VINHO ELETRICO APRECIADOR</v>
      </c>
      <c r="D2252" s="186" t="str">
        <f>IFERROR(__xludf.DUMMYFUNCTION("""COMPUTED_VALUE"""),"FALSO")</f>
        <v>FALSO</v>
      </c>
    </row>
    <row r="2253">
      <c r="B2253" s="186" t="str">
        <f>IFERROR(__xludf.DUMMYFUNCTION("""COMPUTED_VALUE"""),"PI4898Y")</f>
        <v>PI4898Y</v>
      </c>
      <c r="C2253" s="186" t="str">
        <f>IFERROR(__xludf.DUMMYFUNCTION("""COMPUTED_VALUE"""),"ABRIDOR DE VINHO ELETRICO APRECIADOR")</f>
        <v>ABRIDOR DE VINHO ELETRICO APRECIADOR</v>
      </c>
      <c r="D2253" s="186" t="str">
        <f>IFERROR(__xludf.DUMMYFUNCTION("""COMPUTED_VALUE"""),"FALSO")</f>
        <v>FALSO</v>
      </c>
    </row>
    <row r="2254">
      <c r="B2254" s="186" t="str">
        <f>IFERROR(__xludf.DUMMYFUNCTION("""COMPUTED_VALUE"""),"PI4898Y")</f>
        <v>PI4898Y</v>
      </c>
      <c r="C2254" s="186" t="str">
        <f>IFERROR(__xludf.DUMMYFUNCTION("""COMPUTED_VALUE"""),"ABRIDOR DE VINHO ELETRICO APRECIADOR")</f>
        <v>ABRIDOR DE VINHO ELETRICO APRECIADOR</v>
      </c>
      <c r="D2254" s="186" t="str">
        <f>IFERROR(__xludf.DUMMYFUNCTION("""COMPUTED_VALUE"""),"FALSO")</f>
        <v>FALSO</v>
      </c>
    </row>
    <row r="2255">
      <c r="B2255" s="186" t="str">
        <f>IFERROR(__xludf.DUMMYFUNCTION("""COMPUTED_VALUE"""),"PI4898Y")</f>
        <v>PI4898Y</v>
      </c>
      <c r="C2255" s="186" t="str">
        <f>IFERROR(__xludf.DUMMYFUNCTION("""COMPUTED_VALUE"""),"ABRIDOR DE VINHO ELETRICO APRECIADOR")</f>
        <v>ABRIDOR DE VINHO ELETRICO APRECIADOR</v>
      </c>
      <c r="D2255" s="186" t="str">
        <f>IFERROR(__xludf.DUMMYFUNCTION("""COMPUTED_VALUE"""),"FALSO")</f>
        <v>FALSO</v>
      </c>
    </row>
    <row r="2256">
      <c r="B2256" s="186" t="str">
        <f>IFERROR(__xludf.DUMMYFUNCTION("""COMPUTED_VALUE"""),"PI4898Y")</f>
        <v>PI4898Y</v>
      </c>
      <c r="C2256" s="186" t="str">
        <f>IFERROR(__xludf.DUMMYFUNCTION("""COMPUTED_VALUE"""),"ABRIDOR DE VINHO ELETRICO APRECIADOR")</f>
        <v>ABRIDOR DE VINHO ELETRICO APRECIADOR</v>
      </c>
      <c r="D2256" s="186" t="str">
        <f>IFERROR(__xludf.DUMMYFUNCTION("""COMPUTED_VALUE"""),"FALSO")</f>
        <v>FALSO</v>
      </c>
    </row>
    <row r="2257">
      <c r="B2257" s="186" t="str">
        <f>IFERROR(__xludf.DUMMYFUNCTION("""COMPUTED_VALUE"""),"PI4898Y")</f>
        <v>PI4898Y</v>
      </c>
      <c r="C2257" s="186" t="str">
        <f>IFERROR(__xludf.DUMMYFUNCTION("""COMPUTED_VALUE"""),"ABRIDOR DE VINHO ELETRICO APRECIADOR")</f>
        <v>ABRIDOR DE VINHO ELETRICO APRECIADOR</v>
      </c>
      <c r="D2257" s="186" t="str">
        <f>IFERROR(__xludf.DUMMYFUNCTION("""COMPUTED_VALUE"""),"FALSO")</f>
        <v>FALSO</v>
      </c>
    </row>
    <row r="2258">
      <c r="B2258" s="186" t="str">
        <f>IFERROR(__xludf.DUMMYFUNCTION("""COMPUTED_VALUE"""),"AC2224")</f>
        <v>AC2224</v>
      </c>
      <c r="C2258" s="186" t="str">
        <f>IFERROR(__xludf.DUMMYFUNCTION("""COMPUTED_VALUE"""),"Embalagens Canecas Personalizadas")</f>
        <v>Embalagens Canecas Personalizadas</v>
      </c>
      <c r="D2258" s="186" t="str">
        <f>IFERROR(__xludf.DUMMYFUNCTION("""COMPUTED_VALUE"""),"FALSO")</f>
        <v>FALSO</v>
      </c>
    </row>
    <row r="2259">
      <c r="B2259" s="186" t="str">
        <f>IFERROR(__xludf.DUMMYFUNCTION("""COMPUTED_VALUE"""),"PI7327Y")</f>
        <v>PI7327Y</v>
      </c>
      <c r="C2259" s="186" t="str">
        <f>IFERROR(__xludf.DUMMYFUNCTION("""COMPUTED_VALUE"""),"CANECA ESMALTADA HP OCULOS")</f>
        <v>CANECA ESMALTADA HP OCULOS</v>
      </c>
      <c r="D2259" s="186" t="str">
        <f>IFERROR(__xludf.DUMMYFUNCTION("""COMPUTED_VALUE"""),"FALSO")</f>
        <v>FALSO</v>
      </c>
    </row>
    <row r="2260">
      <c r="B2260" s="186" t="str">
        <f>IFERROR(__xludf.DUMMYFUNCTION("""COMPUTED_VALUE"""),"PI7327Y")</f>
        <v>PI7327Y</v>
      </c>
      <c r="C2260" s="186" t="str">
        <f>IFERROR(__xludf.DUMMYFUNCTION("""COMPUTED_VALUE"""),"CANECA ESMALTADA HP OCULOS")</f>
        <v>CANECA ESMALTADA HP OCULOS</v>
      </c>
      <c r="D2260" s="186" t="str">
        <f>IFERROR(__xludf.DUMMYFUNCTION("""COMPUTED_VALUE"""),"FALSO")</f>
        <v>FALSO</v>
      </c>
    </row>
    <row r="2261">
      <c r="B2261" s="186" t="str">
        <f>IFERROR(__xludf.DUMMYFUNCTION("""COMPUTED_VALUE"""),"PI7328Y")</f>
        <v>PI7328Y</v>
      </c>
      <c r="C2261" s="186" t="str">
        <f>IFERROR(__xludf.DUMMYFUNCTION("""COMPUTED_VALUE"""),"CANECA ESMALTADA HP BRASAO HOGWARTS")</f>
        <v>CANECA ESMALTADA HP BRASAO HOGWARTS</v>
      </c>
      <c r="D2261" s="186" t="str">
        <f>IFERROR(__xludf.DUMMYFUNCTION("""COMPUTED_VALUE"""),"FALSO")</f>
        <v>FALSO</v>
      </c>
    </row>
    <row r="2262">
      <c r="B2262" s="186" t="str">
        <f>IFERROR(__xludf.DUMMYFUNCTION("""COMPUTED_VALUE"""),"PI7678Y")</f>
        <v>PI7678Y</v>
      </c>
      <c r="C2262" s="186" t="str">
        <f>IFERROR(__xludf.DUMMYFUNCTION("""COMPUTED_VALUE"""),"CANECA ESMALTADA HP MAPA DO MAROTO")</f>
        <v>CANECA ESMALTADA HP MAPA DO MAROTO</v>
      </c>
      <c r="D2262" s="186" t="str">
        <f>IFERROR(__xludf.DUMMYFUNCTION("""COMPUTED_VALUE"""),"FALSO")</f>
        <v>FALSO</v>
      </c>
    </row>
    <row r="2263">
      <c r="B2263" s="186" t="str">
        <f>IFERROR(__xludf.DUMMYFUNCTION("""COMPUTED_VALUE"""),"CS2059")</f>
        <v>CS2059</v>
      </c>
      <c r="C2263" s="186" t="str">
        <f>IFERROR(__xludf.DUMMYFUNCTION("""COMPUTED_VALUE"""),"ESSENCIA FLOR DE FIGO")</f>
        <v>ESSENCIA FLOR DE FIGO</v>
      </c>
      <c r="D2263" s="186" t="str">
        <f>IFERROR(__xludf.DUMMYFUNCTION("""COMPUTED_VALUE"""),"FALSO")</f>
        <v>FALSO</v>
      </c>
    </row>
    <row r="2264">
      <c r="B2264" s="186" t="str">
        <f>IFERROR(__xludf.DUMMYFUNCTION("""COMPUTED_VALUE"""),"CS2058")</f>
        <v>CS2058</v>
      </c>
      <c r="C2264" s="186" t="str">
        <f>IFERROR(__xludf.DUMMYFUNCTION("""COMPUTED_VALUE"""),"ESSENCIA LIVRE LEVE E LAVANDA")</f>
        <v>ESSENCIA LIVRE LEVE E LAVANDA</v>
      </c>
      <c r="D2264" s="186" t="str">
        <f>IFERROR(__xludf.DUMMYFUNCTION("""COMPUTED_VALUE"""),"FALSO")</f>
        <v>FALSO</v>
      </c>
    </row>
    <row r="2265">
      <c r="B2265" s="186" t="str">
        <f>IFERROR(__xludf.DUMMYFUNCTION("""COMPUTED_VALUE"""),"US0090")</f>
        <v>US0090</v>
      </c>
      <c r="C2265" s="186" t="str">
        <f>IFERROR(__xludf.DUMMYFUNCTION("""COMPUTED_VALUE"""),"LUMINARIA ESTRELA KAWAII")</f>
        <v>LUMINARIA ESTRELA KAWAII</v>
      </c>
      <c r="D2265" s="186" t="str">
        <f>IFERROR(__xludf.DUMMYFUNCTION("""COMPUTED_VALUE"""),"FALSO")</f>
        <v>FALSO</v>
      </c>
    </row>
    <row r="2266">
      <c r="B2266" s="186" t="str">
        <f>IFERROR(__xludf.DUMMYFUNCTION("""COMPUTED_VALUE"""),"PI5420Y")</f>
        <v>PI5420Y</v>
      </c>
      <c r="C2266" s="186" t="str">
        <f>IFERROR(__xludf.DUMMYFUNCTION("""COMPUTED_VALUE"""),"LAPIS EVERLAST LA VEM TEXTAO")</f>
        <v>LAPIS EVERLAST LA VEM TEXTAO</v>
      </c>
      <c r="D2266" s="186" t="str">
        <f>IFERROR(__xludf.DUMMYFUNCTION("""COMPUTED_VALUE"""),"INMETRO SCHOOL ARTICLES SYSTEM 5 - ORDINANCE 481")</f>
        <v>INMETRO SCHOOL ARTICLES SYSTEM 5 - ORDINANCE 481</v>
      </c>
    </row>
    <row r="2267">
      <c r="B2267" s="186" t="str">
        <f>IFERROR(__xludf.DUMMYFUNCTION("""COMPUTED_VALUE"""),"AC2183Y")</f>
        <v>AC2183Y</v>
      </c>
      <c r="C2267" s="186" t="str">
        <f>IFERROR(__xludf.DUMMYFUNCTION("""COMPUTED_VALUE"""),"TAMPA EXTRA PARA PI5197Y")</f>
        <v>TAMPA EXTRA PARA PI5197Y</v>
      </c>
      <c r="D2267" s="186" t="str">
        <f>IFERROR(__xludf.DUMMYFUNCTION("""COMPUTED_VALUE"""),"FALSO")</f>
        <v>FALSO</v>
      </c>
    </row>
    <row r="2268">
      <c r="B2268" s="186" t="str">
        <f>IFERROR(__xludf.DUMMYFUNCTION("""COMPUTED_VALUE"""),"AC2184Y")</f>
        <v>AC2184Y</v>
      </c>
      <c r="C2268" s="186" t="str">
        <f>IFERROR(__xludf.DUMMYFUNCTION("""COMPUTED_VALUE"""),"MICROFONE EXTRA PARA PI4882Y")</f>
        <v>MICROFONE EXTRA PARA PI4882Y</v>
      </c>
      <c r="D2268" s="186" t="str">
        <f>IFERROR(__xludf.DUMMYFUNCTION("""COMPUTED_VALUE"""),"FALSO")</f>
        <v>FALSO</v>
      </c>
    </row>
    <row r="2269">
      <c r="B2269" s="186" t="str">
        <f>IFERROR(__xludf.DUMMYFUNCTION("""COMPUTED_VALUE"""),"PI6210Y")</f>
        <v>PI6210Y</v>
      </c>
      <c r="C2269" s="186" t="str">
        <f>IFERROR(__xludf.DUMMYFUNCTION("""COMPUTED_VALUE"""),"MASCARA DE DORMIR BONS SONHOS")</f>
        <v>MASCARA DE DORMIR BONS SONHOS</v>
      </c>
      <c r="D2269" s="186" t="str">
        <f>IFERROR(__xludf.DUMMYFUNCTION("""COMPUTED_VALUE"""),"FALSO")</f>
        <v>FALSO</v>
      </c>
    </row>
    <row r="2270">
      <c r="B2270" s="186" t="str">
        <f>IFERROR(__xludf.DUMMYFUNCTION("""COMPUTED_VALUE"""),"PI5056Y")</f>
        <v>PI5056Y</v>
      </c>
      <c r="C2270" s="186" t="str">
        <f>IFERROR(__xludf.DUMMYFUNCTION("""COMPUTED_VALUE"""),"UMIDIFICADOR FACIAL ELETRICO ROSA")</f>
        <v>UMIDIFICADOR FACIAL ELETRICO ROSA</v>
      </c>
      <c r="D2270" s="186" t="str">
        <f>IFERROR(__xludf.DUMMYFUNCTION("""COMPUTED_VALUE"""),"FALSO")</f>
        <v>FALSO</v>
      </c>
    </row>
    <row r="2271">
      <c r="B2271" s="186" t="str">
        <f>IFERROR(__xludf.DUMMYFUNCTION("""COMPUTED_VALUE"""),"PI6144Y")</f>
        <v>PI6144Y</v>
      </c>
      <c r="C2271" s="186" t="str">
        <f>IFERROR(__xludf.DUMMYFUNCTION("""COMPUTED_VALUE"""),"LIMPADOR FACIAL ALGO NOVO")</f>
        <v>LIMPADOR FACIAL ALGO NOVO</v>
      </c>
      <c r="D2271" s="186" t="str">
        <f>IFERROR(__xludf.DUMMYFUNCTION("""COMPUTED_VALUE"""),"FALSO")</f>
        <v>FALSO</v>
      </c>
    </row>
    <row r="2272">
      <c r="B2272" s="186" t="str">
        <f>IFERROR(__xludf.DUMMYFUNCTION("""COMPUTED_VALUE"""),"PI5066Y")</f>
        <v>PI5066Y</v>
      </c>
      <c r="C2272" s="186" t="str">
        <f>IFERROR(__xludf.DUMMYFUNCTION("""COMPUTED_VALUE"""),"KIT LIMPEZA FACIAL ONCA FAZ CARAW")</f>
        <v>KIT LIMPEZA FACIAL ONCA FAZ CARAW</v>
      </c>
      <c r="D2272" s="186" t="str">
        <f>IFERROR(__xludf.DUMMYFUNCTION("""COMPUTED_VALUE"""),"FALSO")</f>
        <v>FALSO</v>
      </c>
    </row>
    <row r="2273">
      <c r="B2273" s="186" t="str">
        <f>IFERROR(__xludf.DUMMYFUNCTION("""COMPUTED_VALUE"""),"PI7119Y")</f>
        <v>PI7119Y</v>
      </c>
      <c r="C2273" s="186" t="str">
        <f>IFERROR(__xludf.DUMMYFUNCTION("""COMPUTED_VALUE"""),"UMIDIFICADOR FACIAL ELETRICO GOTA")</f>
        <v>UMIDIFICADOR FACIAL ELETRICO GOTA</v>
      </c>
      <c r="D2273" s="186" t="str">
        <f>IFERROR(__xludf.DUMMYFUNCTION("""COMPUTED_VALUE"""),"FALSO")</f>
        <v>FALSO</v>
      </c>
    </row>
    <row r="2274">
      <c r="B2274" s="186" t="str">
        <f>IFERROR(__xludf.DUMMYFUNCTION("""COMPUTED_VALUE"""),"PI7293Y")</f>
        <v>PI7293Y</v>
      </c>
      <c r="C2274" s="186" t="str">
        <f>IFERROR(__xludf.DUMMYFUNCTION("""COMPUTED_VALUE"""),"KIT MASSAGEADORES FACIAIS AQUELE GLOW")</f>
        <v>KIT MASSAGEADORES FACIAIS AQUELE GLOW</v>
      </c>
      <c r="D2274" s="186" t="str">
        <f>IFERROR(__xludf.DUMMYFUNCTION("""COMPUTED_VALUE"""),"FALSO")</f>
        <v>FALSO</v>
      </c>
    </row>
    <row r="2275">
      <c r="B2275" s="186" t="str">
        <f>IFERROR(__xludf.DUMMYFUNCTION("""COMPUTED_VALUE"""),"PI7102Y")</f>
        <v>PI7102Y</v>
      </c>
      <c r="C2275" s="186" t="str">
        <f>IFERROR(__xludf.DUMMYFUNCTION("""COMPUTED_VALUE"""),"MASSAGEADOR FACIAL ESCRITO NAS ESTRELAS")</f>
        <v>MASSAGEADOR FACIAL ESCRITO NAS ESTRELAS</v>
      </c>
      <c r="D2275" s="186" t="str">
        <f>IFERROR(__xludf.DUMMYFUNCTION("""COMPUTED_VALUE"""),"FALSO")</f>
        <v>FALSO</v>
      </c>
    </row>
    <row r="2276">
      <c r="B2276" s="186" t="str">
        <f>IFERROR(__xludf.DUMMYFUNCTION("""COMPUTED_VALUE"""),"PI6143Y")</f>
        <v>PI6143Y</v>
      </c>
      <c r="C2276" s="186" t="str">
        <f>IFERROR(__xludf.DUMMYFUNCTION("""COMPUTED_VALUE"""),"UMIDIFICADOR FACIAL RESPIRA")</f>
        <v>UMIDIFICADOR FACIAL RESPIRA</v>
      </c>
      <c r="D2276" s="186" t="str">
        <f>IFERROR(__xludf.DUMMYFUNCTION("""COMPUTED_VALUE"""),"FALSO")</f>
        <v>FALSO</v>
      </c>
    </row>
    <row r="2277">
      <c r="B2277" s="186" t="str">
        <f>IFERROR(__xludf.DUMMYFUNCTION("""COMPUTED_VALUE"""),"PI6053Y")</f>
        <v>PI6053Y</v>
      </c>
      <c r="C2277" s="186" t="str">
        <f>IFERROR(__xludf.DUMMYFUNCTION("""COMPUTED_VALUE"""),"CANETA PENA HOGWARTS HP")</f>
        <v>CANETA PENA HOGWARTS HP</v>
      </c>
      <c r="D2277" s="186" t="str">
        <f>IFERROR(__xludf.DUMMYFUNCTION("""COMPUTED_VALUE"""),"INMETRO SCHOOL ARTICLES SYSTEM 5 - ORDINANCE 481")</f>
        <v>INMETRO SCHOOL ARTICLES SYSTEM 5 - ORDINANCE 481</v>
      </c>
    </row>
    <row r="2278">
      <c r="B2278" s="186" t="str">
        <f>IFERROR(__xludf.DUMMYFUNCTION("""COMPUTED_VALUE"""),"PI6053Y")</f>
        <v>PI6053Y</v>
      </c>
      <c r="C2278" s="186" t="str">
        <f>IFERROR(__xludf.DUMMYFUNCTION("""COMPUTED_VALUE"""),"CANETA PENA HOGWARTS HP")</f>
        <v>CANETA PENA HOGWARTS HP</v>
      </c>
      <c r="D2278" s="186" t="str">
        <f>IFERROR(__xludf.DUMMYFUNCTION("""COMPUTED_VALUE"""),"INMETRO SCHOOL ARTICLES SYSTEM 5 - ORDINANCE 481")</f>
        <v>INMETRO SCHOOL ARTICLES SYSTEM 5 - ORDINANCE 481</v>
      </c>
    </row>
    <row r="2279">
      <c r="B2279" s="186" t="str">
        <f>IFERROR(__xludf.DUMMYFUNCTION("""COMPUTED_VALUE"""),"PI6053Y")</f>
        <v>PI6053Y</v>
      </c>
      <c r="C2279" s="186" t="str">
        <f>IFERROR(__xludf.DUMMYFUNCTION("""COMPUTED_VALUE"""),"CANETA PENA HOGWARTS HP")</f>
        <v>CANETA PENA HOGWARTS HP</v>
      </c>
      <c r="D2279" s="186" t="str">
        <f>IFERROR(__xludf.DUMMYFUNCTION("""COMPUTED_VALUE"""),"	INMETRO SCHOOL ARTICLES SYSTEM 5 - ORDINANCE 481")</f>
        <v>	INMETRO SCHOOL ARTICLES SYSTEM 5 - ORDINANCE 481</v>
      </c>
    </row>
    <row r="2280">
      <c r="B2280" s="186" t="str">
        <f>IFERROR(__xludf.DUMMYFUNCTION("""COMPUTED_VALUE"""),"PI5044Y")</f>
        <v>PI5044Y</v>
      </c>
      <c r="C2280" s="186" t="str">
        <f>IFERROR(__xludf.DUMMYFUNCTION("""COMPUTED_VALUE"""),"ALMOFADA MASSAGEADORA PARA PES FLOR")</f>
        <v>ALMOFADA MASSAGEADORA PARA PES FLOR</v>
      </c>
      <c r="D2280" s="186" t="str">
        <f>IFERROR(__xludf.DUMMYFUNCTION("""COMPUTED_VALUE"""),"FALSO")</f>
        <v>FALSO</v>
      </c>
    </row>
    <row r="2281">
      <c r="B2281" s="186" t="str">
        <f>IFERROR(__xludf.DUMMYFUNCTION("""COMPUTED_VALUE"""),"PI5124Y")</f>
        <v>PI5124Y</v>
      </c>
      <c r="C2281" s="186" t="str">
        <f>IFERROR(__xludf.DUMMYFUNCTION("""COMPUTED_VALUE"""),"ALMOFADA MASSAGEADOR PES STRANGER THINGS")</f>
        <v>ALMOFADA MASSAGEADOR PES STRANGER THINGS</v>
      </c>
      <c r="D2281" s="186" t="str">
        <f>IFERROR(__xludf.DUMMYFUNCTION("""COMPUTED_VALUE"""),"FALSO")</f>
        <v>FALSO</v>
      </c>
    </row>
    <row r="2282">
      <c r="B2282" s="186" t="str">
        <f>IFERROR(__xludf.DUMMYFUNCTION("""COMPUTED_VALUE"""),"PI6095Y")</f>
        <v>PI6095Y</v>
      </c>
      <c r="C2282" s="186" t="str">
        <f>IFERROR(__xludf.DUMMYFUNCTION("""COMPUTED_VALUE"""),"PORTA RETRATO ESPELHO FELIPE MOROZINI")</f>
        <v>PORTA RETRATO ESPELHO FELIPE MOROZINI</v>
      </c>
      <c r="D2282" s="186" t="str">
        <f>IFERROR(__xludf.DUMMYFUNCTION("""COMPUTED_VALUE"""),"FALSO")</f>
        <v>FALSO</v>
      </c>
    </row>
    <row r="2283">
      <c r="B2283" s="186" t="str">
        <f>IFERROR(__xludf.DUMMYFUNCTION("""COMPUTED_VALUE"""),"PI7747Y")</f>
        <v>PI7747Y</v>
      </c>
      <c r="C2283" s="186" t="str">
        <f>IFERROR(__xludf.DUMMYFUNCTION("""COMPUTED_VALUE"""),"PANTUFA FEMININA HP POMO DE OURO")</f>
        <v>PANTUFA FEMININA HP POMO DE OURO</v>
      </c>
      <c r="D2283" s="186" t="str">
        <f>IFERROR(__xludf.DUMMYFUNCTION("""COMPUTED_VALUE"""),"FALSO")</f>
        <v>FALSO</v>
      </c>
    </row>
    <row r="2284">
      <c r="B2284" s="186" t="str">
        <f>IFERROR(__xludf.DUMMYFUNCTION("""COMPUTED_VALUE"""),"PI6238Y")</f>
        <v>PI6238Y</v>
      </c>
      <c r="C2284" s="186" t="str">
        <f>IFERROR(__xludf.DUMMYFUNCTION("""COMPUTED_VALUE"""),"JOGO DE TABULEIRO FESTA DA FIRMA")</f>
        <v>JOGO DE TABULEIRO FESTA DA FIRMA</v>
      </c>
      <c r="D2284" s="186" t="str">
        <f>IFERROR(__xludf.DUMMYFUNCTION("""COMPUTED_VALUE"""),"FALSO")</f>
        <v>FALSO</v>
      </c>
    </row>
    <row r="2285">
      <c r="B2285" s="186" t="str">
        <f>IFERROR(__xludf.DUMMYFUNCTION("""COMPUTED_VALUE"""),"PI6620Y")</f>
        <v>PI6620Y</v>
      </c>
      <c r="C2285" s="186" t="str">
        <f>IFERROR(__xludf.DUMMYFUNCTION("""COMPUTED_VALUE"""),"LUMINARIA LAMPADA DE FILAMENTO DREAM")</f>
        <v>LUMINARIA LAMPADA DE FILAMENTO DREAM</v>
      </c>
      <c r="D2285" s="186" t="str">
        <f>IFERROR(__xludf.DUMMYFUNCTION("""COMPUTED_VALUE"""),"FALSO")</f>
        <v>FALSO</v>
      </c>
    </row>
    <row r="2286">
      <c r="B2286" s="186" t="str">
        <f>IFERROR(__xludf.DUMMYFUNCTION("""COMPUTED_VALUE"""),"PI6626Y")</f>
        <v>PI6626Y</v>
      </c>
      <c r="C2286" s="186" t="str">
        <f>IFERROR(__xludf.DUMMYFUNCTION("""COMPUTED_VALUE"""),"LUMINARIA LAMPADA DE FILAMENTO FUCK")</f>
        <v>LUMINARIA LAMPADA DE FILAMENTO FUCK</v>
      </c>
      <c r="D2286" s="186" t="str">
        <f>IFERROR(__xludf.DUMMYFUNCTION("""COMPUTED_VALUE"""),"FALSO")</f>
        <v>FALSO</v>
      </c>
    </row>
    <row r="2287">
      <c r="B2287" s="186" t="str">
        <f>IFERROR(__xludf.DUMMYFUNCTION("""COMPUTED_VALUE"""),"PI6598Y")</f>
        <v>PI6598Y</v>
      </c>
      <c r="C2287" s="186" t="str">
        <f>IFERROR(__xludf.DUMMYFUNCTION("""COMPUTED_VALUE"""),"LUMINARIA LAMPADA DE FILAMENTO HELLO")</f>
        <v>LUMINARIA LAMPADA DE FILAMENTO HELLO</v>
      </c>
      <c r="D2287" s="186" t="str">
        <f>IFERROR(__xludf.DUMMYFUNCTION("""COMPUTED_VALUE"""),"FALSO")</f>
        <v>FALSO</v>
      </c>
    </row>
    <row r="2288">
      <c r="B2288" s="186" t="str">
        <f>IFERROR(__xludf.DUMMYFUNCTION("""COMPUTED_VALUE"""),"PI6597Y")</f>
        <v>PI6597Y</v>
      </c>
      <c r="C2288" s="186" t="str">
        <f>IFERROR(__xludf.DUMMYFUNCTION("""COMPUTED_VALUE"""),"LUMINARIA LAMPADA DE FILAMENTO LOVE")</f>
        <v>LUMINARIA LAMPADA DE FILAMENTO LOVE</v>
      </c>
      <c r="D2288" s="186" t="str">
        <f>IFERROR(__xludf.DUMMYFUNCTION("""COMPUTED_VALUE"""),"FALSO")</f>
        <v>FALSO</v>
      </c>
    </row>
    <row r="2289">
      <c r="B2289" s="186" t="str">
        <f>IFERROR(__xludf.DUMMYFUNCTION("""COMPUTED_VALUE"""),"PI6621Y")</f>
        <v>PI6621Y</v>
      </c>
      <c r="C2289" s="186" t="str">
        <f>IFERROR(__xludf.DUMMYFUNCTION("""COMPUTED_VALUE"""),"LUMINARIA LAMPADA DE FILAMENTO SMILE")</f>
        <v>LUMINARIA LAMPADA DE FILAMENTO SMILE</v>
      </c>
      <c r="D2289" s="186" t="str">
        <f>IFERROR(__xludf.DUMMYFUNCTION("""COMPUTED_VALUE"""),"FALSO")</f>
        <v>FALSO</v>
      </c>
    </row>
    <row r="2290">
      <c r="B2290" s="186" t="str">
        <f>IFERROR(__xludf.DUMMYFUNCTION("""COMPUTED_VALUE"""),"AC2143Y")</f>
        <v>AC2143Y</v>
      </c>
      <c r="C2290" s="186" t="str">
        <f>IFERROR(__xludf.DUMMYFUNCTION("""COMPUTED_VALUE"""),"FILTRO PARA PI5048Y E PI5049Y")</f>
        <v>FILTRO PARA PI5048Y E PI5049Y</v>
      </c>
      <c r="D2290" s="186" t="str">
        <f>IFERROR(__xludf.DUMMYFUNCTION("""COMPUTED_VALUE"""),"FALSO")</f>
        <v>FALSO</v>
      </c>
    </row>
    <row r="2291">
      <c r="B2291" s="186" t="str">
        <f>IFERROR(__xludf.DUMMYFUNCTION("""COMPUTED_VALUE"""),"AC2225")</f>
        <v>AC2225</v>
      </c>
      <c r="C2291" s="186" t="str">
        <f>IFERROR(__xludf.DUMMYFUNCTION("""COMPUTED_VALUE"""),"Fita termica canecas")</f>
        <v>Fita termica canecas</v>
      </c>
      <c r="D2291" s="186" t="str">
        <f>IFERROR(__xludf.DUMMYFUNCTION("""COMPUTED_VALUE"""),"FALSO")</f>
        <v>FALSO</v>
      </c>
    </row>
    <row r="2292">
      <c r="B2292" s="186" t="str">
        <f>IFERROR(__xludf.DUMMYFUNCTION("""COMPUTED_VALUE"""),"PI5461Y")</f>
        <v>PI5461Y</v>
      </c>
      <c r="C2292" s="186" t="str">
        <f>IFERROR(__xludf.DUMMYFUNCTION("""COMPUTED_VALUE"""),"GARRAFA CANTIL CORACAO")</f>
        <v>GARRAFA CANTIL CORACAO</v>
      </c>
      <c r="D2292" s="186" t="str">
        <f>IFERROR(__xludf.DUMMYFUNCTION("""COMPUTED_VALUE"""),"FALSO")</f>
        <v>FALSO</v>
      </c>
    </row>
    <row r="2293">
      <c r="B2293" s="186" t="str">
        <f>IFERROR(__xludf.DUMMYFUNCTION("""COMPUTED_VALUE"""),"PI5452Y")</f>
        <v>PI5452Y</v>
      </c>
      <c r="C2293" s="186" t="str">
        <f>IFERROR(__xludf.DUMMYFUNCTION("""COMPUTED_VALUE"""),"GARRAFA CANTIL BOCA")</f>
        <v>GARRAFA CANTIL BOCA</v>
      </c>
      <c r="D2293" s="186" t="str">
        <f>IFERROR(__xludf.DUMMYFUNCTION("""COMPUTED_VALUE"""),"FALSO")</f>
        <v>FALSO</v>
      </c>
    </row>
    <row r="2294">
      <c r="B2294" s="186" t="str">
        <f>IFERROR(__xludf.DUMMYFUNCTION("""COMPUTED_VALUE"""),"PI6269Y")</f>
        <v>PI6269Y</v>
      </c>
      <c r="C2294" s="186" t="str">
        <f>IFERROR(__xludf.DUMMYFUNCTION("""COMPUTED_VALUE"""),"RELOGIO FLIP SO MAIS 5 MINUTINHOS")</f>
        <v>RELOGIO FLIP SO MAIS 5 MINUTINHOS</v>
      </c>
      <c r="D2294" s="186" t="str">
        <f>IFERROR(__xludf.DUMMYFUNCTION("""COMPUTED_VALUE"""),"FALSO")</f>
        <v>FALSO</v>
      </c>
    </row>
    <row r="2295">
      <c r="B2295" s="186" t="str">
        <f>IFERROR(__xludf.DUMMYFUNCTION("""COMPUTED_VALUE"""),"PI7903Y")</f>
        <v>PI7903Y</v>
      </c>
      <c r="C2295" s="186" t="str">
        <f>IFERROR(__xludf.DUMMYFUNCTION("""COMPUTED_VALUE"""),"RELOGIO FLIP PEDESTAL PRETO")</f>
        <v>RELOGIO FLIP PEDESTAL PRETO</v>
      </c>
      <c r="D2295" s="186" t="str">
        <f>IFERROR(__xludf.DUMMYFUNCTION("""COMPUTED_VALUE"""),"FALSO")</f>
        <v>FALSO</v>
      </c>
    </row>
    <row r="2296">
      <c r="B2296" s="186" t="str">
        <f>IFERROR(__xludf.DUMMYFUNCTION("""COMPUTED_VALUE"""),"US0091")</f>
        <v>US0091</v>
      </c>
      <c r="C2296" s="186" t="str">
        <f>IFERROR(__xludf.DUMMYFUNCTION("""COMPUTED_VALUE"""),"LUMINARIA FOGUETE AZUL")</f>
        <v>LUMINARIA FOGUETE AZUL</v>
      </c>
      <c r="D2296" s="186" t="str">
        <f>IFERROR(__xludf.DUMMYFUNCTION("""COMPUTED_VALUE"""),"FALSO")</f>
        <v>FALSO</v>
      </c>
    </row>
    <row r="2297">
      <c r="B2297" s="186" t="str">
        <f>IFERROR(__xludf.DUMMYFUNCTION("""COMPUTED_VALUE"""),"PI6533Y")</f>
        <v>PI6533Y</v>
      </c>
      <c r="C2297" s="186" t="str">
        <f>IFERROR(__xludf.DUMMYFUNCTION("""COMPUTED_VALUE"""),"LUMINARIA LIVRO MAIOR")</f>
        <v>LUMINARIA LIVRO MAIOR</v>
      </c>
      <c r="D2297" s="186" t="str">
        <f>IFERROR(__xludf.DUMMYFUNCTION("""COMPUTED_VALUE"""),"FALSO")</f>
        <v>FALSO</v>
      </c>
    </row>
    <row r="2298">
      <c r="B2298" s="186" t="str">
        <f>IFERROR(__xludf.DUMMYFUNCTION("""COMPUTED_VALUE"""),"PI7316Y")</f>
        <v>PI7316Y</v>
      </c>
      <c r="C2298" s="186" t="str">
        <f>IFERROR(__xludf.DUMMYFUNCTION("""COMPUTED_VALUE"""),"BANDEJA LAPTOP DOBRAVEL CORTICA PRETA")</f>
        <v>BANDEJA LAPTOP DOBRAVEL CORTICA PRETA</v>
      </c>
      <c r="D2298" s="186" t="str">
        <f>IFERROR(__xludf.DUMMYFUNCTION("""COMPUTED_VALUE"""),"FALSO")</f>
        <v>FALSO</v>
      </c>
    </row>
    <row r="2299">
      <c r="B2299" s="186" t="str">
        <f>IFERROR(__xludf.DUMMYFUNCTION("""COMPUTED_VALUE"""),"PI7286Y")</f>
        <v>PI7286Y</v>
      </c>
      <c r="C2299" s="186" t="str">
        <f>IFERROR(__xludf.DUMMYFUNCTION("""COMPUTED_VALUE"""),"BANDEJA LAPTOP DOBRAVEL CORTICA LISTA")</f>
        <v>BANDEJA LAPTOP DOBRAVEL CORTICA LISTA</v>
      </c>
      <c r="D2299" s="186" t="str">
        <f>IFERROR(__xludf.DUMMYFUNCTION("""COMPUTED_VALUE"""),"FALSO")</f>
        <v>FALSO</v>
      </c>
    </row>
    <row r="2300">
      <c r="B2300" s="186" t="str">
        <f>IFERROR(__xludf.DUMMYFUNCTION("""COMPUTED_VALUE"""),"PI7315Y")</f>
        <v>PI7315Y</v>
      </c>
      <c r="C2300" s="186" t="str">
        <f>IFERROR(__xludf.DUMMYFUNCTION("""COMPUTED_VALUE"""),"BANDEJA LAPTOP DOBRAVEL LISTA HOGWARTS")</f>
        <v>BANDEJA LAPTOP DOBRAVEL LISTA HOGWARTS</v>
      </c>
      <c r="D2300" s="186" t="str">
        <f>IFERROR(__xludf.DUMMYFUNCTION("""COMPUTED_VALUE"""),"FALSO")</f>
        <v>FALSO</v>
      </c>
    </row>
    <row r="2301">
      <c r="B2301" s="186" t="str">
        <f>IFERROR(__xludf.DUMMYFUNCTION("""COMPUTED_VALUE"""),"PI5246Y")</f>
        <v>PI5246Y</v>
      </c>
      <c r="C2301" s="186" t="str">
        <f>IFERROR(__xludf.DUMMYFUNCTION("""COMPUTED_VALUE"""),"BANDEJA LAPTOP DOBRAVEL HP HOGWARTS")</f>
        <v>BANDEJA LAPTOP DOBRAVEL HP HOGWARTS</v>
      </c>
      <c r="D2301" s="186" t="str">
        <f>IFERROR(__xludf.DUMMYFUNCTION("""COMPUTED_VALUE"""),"FALSO")</f>
        <v>FALSO</v>
      </c>
    </row>
    <row r="2302">
      <c r="B2302" s="186" t="str">
        <f>IFERROR(__xludf.DUMMYFUNCTION("""COMPUTED_VALUE"""),"PI7305Y")</f>
        <v>PI7305Y</v>
      </c>
      <c r="C2302" s="186" t="str">
        <f>IFERROR(__xludf.DUMMYFUNCTION("""COMPUTED_VALUE"""),"PORTA RETRATO DOBRAVEL CANETA E LOUSA")</f>
        <v>PORTA RETRATO DOBRAVEL CANETA E LOUSA</v>
      </c>
      <c r="D2302" s="186" t="str">
        <f>IFERROR(__xludf.DUMMYFUNCTION("""COMPUTED_VALUE"""),"FALSO")</f>
        <v>FALSO</v>
      </c>
    </row>
    <row r="2303">
      <c r="B2303" s="186" t="str">
        <f>IFERROR(__xludf.DUMMYFUNCTION("""COMPUTED_VALUE"""),"PI7305Y")</f>
        <v>PI7305Y</v>
      </c>
      <c r="C2303" s="186" t="str">
        <f>IFERROR(__xludf.DUMMYFUNCTION("""COMPUTED_VALUE"""),"PORTA RETRATO DOBRAVEL CANETA E LOUSA")</f>
        <v>PORTA RETRATO DOBRAVEL CANETA E LOUSA</v>
      </c>
      <c r="D2303" s="186" t="str">
        <f>IFERROR(__xludf.DUMMYFUNCTION("""COMPUTED_VALUE"""),"FALSO")</f>
        <v>FALSO</v>
      </c>
    </row>
    <row r="2304">
      <c r="B2304" s="186" t="str">
        <f>IFERROR(__xludf.DUMMYFUNCTION("""COMPUTED_VALUE"""),"PI7305Y")</f>
        <v>PI7305Y</v>
      </c>
      <c r="C2304" s="186" t="str">
        <f>IFERROR(__xludf.DUMMYFUNCTION("""COMPUTED_VALUE"""),"PORTA RETRATO DOBRAVEL CANETA E LOUSA")</f>
        <v>PORTA RETRATO DOBRAVEL CANETA E LOUSA</v>
      </c>
      <c r="D2304" s="186" t="str">
        <f>IFERROR(__xludf.DUMMYFUNCTION("""COMPUTED_VALUE"""),"FALSO")</f>
        <v>FALSO</v>
      </c>
    </row>
    <row r="2305">
      <c r="B2305" s="186" t="str">
        <f>IFERROR(__xludf.DUMMYFUNCTION("""COMPUTED_VALUE"""),"PI6284Y")</f>
        <v>PI6284Y</v>
      </c>
      <c r="C2305" s="186" t="str">
        <f>IFERROR(__xludf.DUMMYFUNCTION("""COMPUTED_VALUE"""),"CARRINHO COOLER COM PEBOLIM COPO GELADO")</f>
        <v>CARRINHO COOLER COM PEBOLIM COPO GELADO</v>
      </c>
      <c r="D2305" s="186" t="str">
        <f>IFERROR(__xludf.DUMMYFUNCTION("""COMPUTED_VALUE"""),"FALSO")</f>
        <v>FALSO</v>
      </c>
    </row>
    <row r="2306">
      <c r="B2306" s="186" t="str">
        <f>IFERROR(__xludf.DUMMYFUNCTION("""COMPUTED_VALUE"""),"PI5505Y")</f>
        <v>PI5505Y</v>
      </c>
      <c r="C2306" s="186" t="str">
        <f>IFERROR(__xludf.DUMMYFUNCTION("""COMPUTED_VALUE"""),"COOLER CARRINHO PEBOLIM JUIZO")</f>
        <v>COOLER CARRINHO PEBOLIM JUIZO</v>
      </c>
      <c r="D2306" s="186" t="str">
        <f>IFERROR(__xludf.DUMMYFUNCTION("""COMPUTED_VALUE"""),"FALSO")</f>
        <v>FALSO</v>
      </c>
    </row>
    <row r="2307">
      <c r="B2307" s="186" t="str">
        <f>IFERROR(__xludf.DUMMYFUNCTION("""COMPUTED_VALUE"""),"PI7064Y")</f>
        <v>PI7064Y</v>
      </c>
      <c r="C2307" s="186" t="str">
        <f>IFERROR(__xludf.DUMMYFUNCTION("""COMPUTED_VALUE"""),"CARRINHO COOLER COM PEBOLIM SELECAO")</f>
        <v>CARRINHO COOLER COM PEBOLIM SELECAO</v>
      </c>
      <c r="D2307" s="186" t="str">
        <f>IFERROR(__xludf.DUMMYFUNCTION("""COMPUTED_VALUE"""),"FALSO")</f>
        <v>FALSO</v>
      </c>
    </row>
    <row r="2308">
      <c r="B2308" s="186" t="str">
        <f>IFERROR(__xludf.DUMMYFUNCTION("""COMPUTED_VALUE"""),"PI5804Y")</f>
        <v>PI5804Y</v>
      </c>
      <c r="C2308" s="186" t="str">
        <f>IFERROR(__xludf.DUMMYFUNCTION("""COMPUTED_VALUE"""),"ALMOFADA MASSAGEADORA PARA PES MAE SOL")</f>
        <v>ALMOFADA MASSAGEADORA PARA PES MAE SOL</v>
      </c>
      <c r="D2308" s="186" t="str">
        <f>IFERROR(__xludf.DUMMYFUNCTION("""COMPUTED_VALUE"""),"FALSO")</f>
        <v>FALSO</v>
      </c>
    </row>
    <row r="2309">
      <c r="B2309" s="186" t="str">
        <f>IFERROR(__xludf.DUMMYFUNCTION("""COMPUTED_VALUE"""),"PI6262Y")</f>
        <v>PI6262Y</v>
      </c>
      <c r="C2309" s="186" t="str">
        <f>IFERROR(__xludf.DUMMYFUNCTION("""COMPUTED_VALUE"""),"MASSAGEADOR DE PÉS FAZENDO MASSAGEM")</f>
        <v>MASSAGEADOR DE PÉS FAZENDO MASSAGEM</v>
      </c>
      <c r="D2309" s="186" t="str">
        <f>IFERROR(__xludf.DUMMYFUNCTION("""COMPUTED_VALUE"""),"FALSO")</f>
        <v>FALSO</v>
      </c>
    </row>
    <row r="2310">
      <c r="B2310" s="186" t="str">
        <f>IFERROR(__xludf.DUMMYFUNCTION("""COMPUTED_VALUE"""),"PI6474Y")</f>
        <v>PI6474Y</v>
      </c>
      <c r="C2310" s="186" t="str">
        <f>IFERROR(__xludf.DUMMYFUNCTION("""COMPUTED_VALUE"""),"MASSAGEADOR DE PES SE CUIDAR")</f>
        <v>MASSAGEADOR DE PES SE CUIDAR</v>
      </c>
      <c r="D2310" s="186" t="str">
        <f>IFERROR(__xludf.DUMMYFUNCTION("""COMPUTED_VALUE"""),"FALSO")</f>
        <v>FALSO</v>
      </c>
    </row>
    <row r="2311">
      <c r="B2311" s="186" t="str">
        <f>IFERROR(__xludf.DUMMYFUNCTION("""COMPUTED_VALUE"""),"PI7259Y")</f>
        <v>PI7259Y</v>
      </c>
      <c r="C2311" s="186" t="str">
        <f>IFERROR(__xludf.DUMMYFUNCTION("""COMPUTED_VALUE"""),"ALMOFADA MASSAGEADORA PARA PES NA BATIDA")</f>
        <v>ALMOFADA MASSAGEADORA PARA PES NA BATIDA</v>
      </c>
      <c r="D2311" s="186" t="str">
        <f>IFERROR(__xludf.DUMMYFUNCTION("""COMPUTED_VALUE"""),"FALSO")</f>
        <v>FALSO</v>
      </c>
    </row>
    <row r="2312">
      <c r="B2312" s="186" t="str">
        <f>IFERROR(__xludf.DUMMYFUNCTION("""COMPUTED_VALUE"""),"PI7003Y")</f>
        <v>PI7003Y</v>
      </c>
      <c r="C2312" s="186" t="str">
        <f>IFERROR(__xludf.DUMMYFUNCTION("""COMPUTED_VALUE"""),"ALMOFADA MASSAGEADORA PARA PES HOJE")</f>
        <v>ALMOFADA MASSAGEADORA PARA PES HOJE</v>
      </c>
      <c r="D2312" s="186" t="str">
        <f>IFERROR(__xludf.DUMMYFUNCTION("""COMPUTED_VALUE"""),"FALSO")</f>
        <v>FALSO</v>
      </c>
    </row>
    <row r="2313">
      <c r="B2313" s="186" t="str">
        <f>IFERROR(__xludf.DUMMYFUNCTION("""COMPUTED_VALUE"""),"CS2159")</f>
        <v>CS2159</v>
      </c>
      <c r="C2313" s="186" t="str">
        <f>IFERROR(__xludf.DUMMYFUNCTION("""COMPUTED_VALUE"""),"FOTO FUJIFILM")</f>
        <v>FOTO FUJIFILM</v>
      </c>
      <c r="D2313" s="186" t="str">
        <f>IFERROR(__xludf.DUMMYFUNCTION("""COMPUTED_VALUE"""),"FALSO")</f>
        <v>FALSO</v>
      </c>
    </row>
    <row r="2314">
      <c r="B2314" s="186" t="str">
        <f>IFERROR(__xludf.DUMMYFUNCTION("""COMPUTED_VALUE"""),"PI6062Y")</f>
        <v>PI6062Y</v>
      </c>
      <c r="C2314" s="186" t="str">
        <f>IFERROR(__xludf.DUMMYFUNCTION("""COMPUTED_VALUE"""),"PORTA RETRATO PAIS BOAS LEMBRANCAS")</f>
        <v>PORTA RETRATO PAIS BOAS LEMBRANCAS</v>
      </c>
      <c r="D2314" s="186" t="str">
        <f>IFERROR(__xludf.DUMMYFUNCTION("""COMPUTED_VALUE"""),"FALSO")</f>
        <v>FALSO</v>
      </c>
    </row>
    <row r="2315">
      <c r="B2315" s="186" t="str">
        <f>IFERROR(__xludf.DUMMYFUNCTION("""COMPUTED_VALUE"""),"PI6063Y")</f>
        <v>PI6063Y</v>
      </c>
      <c r="C2315" s="186" t="str">
        <f>IFERROR(__xludf.DUMMYFUNCTION("""COMPUTED_VALUE"""),"PORTA RETRATO AVOS MELHORES HISTORIAS")</f>
        <v>PORTA RETRATO AVOS MELHORES HISTORIAS</v>
      </c>
      <c r="D2315" s="186" t="str">
        <f>IFERROR(__xludf.DUMMYFUNCTION("""COMPUTED_VALUE"""),"FALSO")</f>
        <v>FALSO</v>
      </c>
    </row>
    <row r="2316">
      <c r="B2316" s="186" t="str">
        <f>IFERROR(__xludf.DUMMYFUNCTION("""COMPUTED_VALUE"""),"PI6061Y")</f>
        <v>PI6061Y</v>
      </c>
      <c r="C2316" s="186" t="str">
        <f>IFERROR(__xludf.DUMMYFUNCTION("""COMPUTED_VALUE"""),"PORTA RETRATO COM DOBRADICA AVENTURA")</f>
        <v>PORTA RETRATO COM DOBRADICA AVENTURA</v>
      </c>
      <c r="D2316" s="186" t="str">
        <f>IFERROR(__xludf.DUMMYFUNCTION("""COMPUTED_VALUE"""),"FALSO")</f>
        <v>FALSO</v>
      </c>
    </row>
    <row r="2317">
      <c r="B2317" s="186" t="str">
        <f>IFERROR(__xludf.DUMMYFUNCTION("""COMPUTED_VALUE"""),"PI6491Y")</f>
        <v>PI6491Y</v>
      </c>
      <c r="C2317" s="186" t="str">
        <f>IFERROR(__xludf.DUMMYFUNCTION("""COMPUTED_VALUE"""),"MOLDURA PARA GUARDAR DESENHOS ARTISTAS")</f>
        <v>MOLDURA PARA GUARDAR DESENHOS ARTISTAS</v>
      </c>
      <c r="D2317" s="186" t="str">
        <f>IFERROR(__xludf.DUMMYFUNCTION("""COMPUTED_VALUE"""),"FALSO")</f>
        <v>FALSO</v>
      </c>
    </row>
    <row r="2318">
      <c r="B2318" s="186" t="str">
        <f>IFERROR(__xludf.DUMMYFUNCTION("""COMPUTED_VALUE"""),"PI5077Y")</f>
        <v>PI5077Y</v>
      </c>
      <c r="C2318" s="186" t="str">
        <f>IFERROR(__xludf.DUMMYFUNCTION("""COMPUTED_VALUE"""),"COPO CONGELAVEL GLITTER PODE SER AGUA")</f>
        <v>COPO CONGELAVEL GLITTER PODE SER AGUA</v>
      </c>
      <c r="D2318" s="186" t="str">
        <f>IFERROR(__xludf.DUMMYFUNCTION("""COMPUTED_VALUE"""),"FALSO")</f>
        <v>FALSO</v>
      </c>
    </row>
    <row r="2319">
      <c r="B2319" s="186" t="str">
        <f>IFERROR(__xludf.DUMMYFUNCTION("""COMPUTED_VALUE"""),"PI5341Y")</f>
        <v>PI5341Y</v>
      </c>
      <c r="C2319" s="186" t="str">
        <f>IFERROR(__xludf.DUMMYFUNCTION("""COMPUTED_VALUE"""),"COPO CONGELAVEL COM CANUDO CALCULISTA")</f>
        <v>COPO CONGELAVEL COM CANUDO CALCULISTA</v>
      </c>
      <c r="D2319" s="186" t="str">
        <f>IFERROR(__xludf.DUMMYFUNCTION("""COMPUTED_VALUE"""),"FALSO")</f>
        <v>FALSO</v>
      </c>
    </row>
    <row r="2320">
      <c r="B2320" s="186" t="str">
        <f>IFERROR(__xludf.DUMMYFUNCTION("""COMPUTED_VALUE"""),"PI4543Y")</f>
        <v>PI4543Y</v>
      </c>
      <c r="C2320" s="186" t="str">
        <f>IFERROR(__xludf.DUMMYFUNCTION("""COMPUTED_VALUE"""),"TULIPA CONGELAVEL PREVISAO DE GELADA")</f>
        <v>TULIPA CONGELAVEL PREVISAO DE GELADA</v>
      </c>
      <c r="D2320" s="186" t="str">
        <f>IFERROR(__xludf.DUMMYFUNCTION("""COMPUTED_VALUE"""),"FALSO")</f>
        <v>FALSO</v>
      </c>
    </row>
    <row r="2321">
      <c r="B2321" s="186" t="str">
        <f>IFERROR(__xludf.DUMMYFUNCTION("""COMPUTED_VALUE"""),"PI4543Y")</f>
        <v>PI4543Y</v>
      </c>
      <c r="C2321" s="186" t="str">
        <f>IFERROR(__xludf.DUMMYFUNCTION("""COMPUTED_VALUE"""),"TULIPA CONGELAVEL PREVISAO DE GELADA")</f>
        <v>TULIPA CONGELAVEL PREVISAO DE GELADA</v>
      </c>
      <c r="D2321" s="186" t="str">
        <f>IFERROR(__xludf.DUMMYFUNCTION("""COMPUTED_VALUE"""),"FALSO")</f>
        <v>FALSO</v>
      </c>
    </row>
    <row r="2322">
      <c r="B2322" s="186" t="str">
        <f>IFERROR(__xludf.DUMMYFUNCTION("""COMPUTED_VALUE"""),"PI4543Y")</f>
        <v>PI4543Y</v>
      </c>
      <c r="C2322" s="186" t="str">
        <f>IFERROR(__xludf.DUMMYFUNCTION("""COMPUTED_VALUE"""),"TULIPA CONGELAVEL PREVISAO DE GELADA")</f>
        <v>TULIPA CONGELAVEL PREVISAO DE GELADA</v>
      </c>
      <c r="D2322" s="186" t="str">
        <f>IFERROR(__xludf.DUMMYFUNCTION("""COMPUTED_VALUE"""),"FALSO")</f>
        <v>FALSO</v>
      </c>
    </row>
    <row r="2323">
      <c r="B2323" s="186" t="str">
        <f>IFERROR(__xludf.DUMMYFUNCTION("""COMPUTED_VALUE"""),"PI5495Y")</f>
        <v>PI5495Y</v>
      </c>
      <c r="C2323" s="186" t="str">
        <f>IFERROR(__xludf.DUMMYFUNCTION("""COMPUTED_VALUE"""),"COPO CONGELAVEL LATA CERVEJA GELADA")</f>
        <v>COPO CONGELAVEL LATA CERVEJA GELADA</v>
      </c>
      <c r="D2323" s="186" t="str">
        <f>IFERROR(__xludf.DUMMYFUNCTION("""COMPUTED_VALUE"""),"FALSO")</f>
        <v>FALSO</v>
      </c>
    </row>
    <row r="2324">
      <c r="B2324" s="186" t="str">
        <f>IFERROR(__xludf.DUMMYFUNCTION("""COMPUTED_VALUE"""),"PI7347Y")</f>
        <v>PI7347Y</v>
      </c>
      <c r="C2324" s="186" t="str">
        <f>IFERROR(__xludf.DUMMYFUNCTION("""COMPUTED_VALUE"""),"PRENSA FRANCESA CAFE E CHA PODE SIM")</f>
        <v>PRENSA FRANCESA CAFE E CHA PODE SIM</v>
      </c>
      <c r="D2324" s="186" t="str">
        <f>IFERROR(__xludf.DUMMYFUNCTION("""COMPUTED_VALUE"""),"FALSO")</f>
        <v>FALSO</v>
      </c>
    </row>
    <row r="2325">
      <c r="B2325" s="186" t="str">
        <f>IFERROR(__xludf.DUMMYFUNCTION("""COMPUTED_VALUE"""),"PI4199Y")</f>
        <v>PI4199Y</v>
      </c>
      <c r="C2325" s="186" t="str">
        <f>IFERROR(__xludf.DUMMYFUNCTION("""COMPUTED_VALUE"""),"COPO PRENSA FRANCESA CORTICA")</f>
        <v>COPO PRENSA FRANCESA CORTICA</v>
      </c>
      <c r="D2325" s="186" t="str">
        <f>IFERROR(__xludf.DUMMYFUNCTION("""COMPUTED_VALUE"""),"FALSO")</f>
        <v>FALSO</v>
      </c>
    </row>
    <row r="2326">
      <c r="B2326" s="186" t="str">
        <f>IFERROR(__xludf.DUMMYFUNCTION("""COMPUTED_VALUE"""),"PI4199Y")</f>
        <v>PI4199Y</v>
      </c>
      <c r="C2326" s="186" t="str">
        <f>IFERROR(__xludf.DUMMYFUNCTION("""COMPUTED_VALUE"""),"COPO PRENSA FRANCESA CORTICA")</f>
        <v>COPO PRENSA FRANCESA CORTICA</v>
      </c>
      <c r="D2326" s="186" t="str">
        <f>IFERROR(__xludf.DUMMYFUNCTION("""COMPUTED_VALUE"""),"FALSO")</f>
        <v>FALSO</v>
      </c>
    </row>
    <row r="2327">
      <c r="B2327" s="186" t="str">
        <f>IFERROR(__xludf.DUMMYFUNCTION("""COMPUTED_VALUE"""),"PI4199Y")</f>
        <v>PI4199Y</v>
      </c>
      <c r="C2327" s="186" t="str">
        <f>IFERROR(__xludf.DUMMYFUNCTION("""COMPUTED_VALUE"""),"COPO PRENSA FRANCESA CORTICA")</f>
        <v>COPO PRENSA FRANCESA CORTICA</v>
      </c>
      <c r="D2327" s="186" t="str">
        <f>IFERROR(__xludf.DUMMYFUNCTION("""COMPUTED_VALUE"""),"FALSO")</f>
        <v>FALSO</v>
      </c>
    </row>
    <row r="2328">
      <c r="B2328" s="186" t="str">
        <f>IFERROR(__xludf.DUMMYFUNCTION("""COMPUTED_VALUE"""),"PI4199Y")</f>
        <v>PI4199Y</v>
      </c>
      <c r="C2328" s="186" t="str">
        <f>IFERROR(__xludf.DUMMYFUNCTION("""COMPUTED_VALUE"""),"COPO PRENSA FRANCESA CORTICA")</f>
        <v>COPO PRENSA FRANCESA CORTICA</v>
      </c>
      <c r="D2328" s="186" t="str">
        <f>IFERROR(__xludf.DUMMYFUNCTION("""COMPUTED_VALUE"""),"FALSO")</f>
        <v>FALSO</v>
      </c>
    </row>
    <row r="2329">
      <c r="B2329" s="186" t="str">
        <f>IFERROR(__xludf.DUMMYFUNCTION("""COMPUTED_VALUE"""),"PI4199Y")</f>
        <v>PI4199Y</v>
      </c>
      <c r="C2329" s="186" t="str">
        <f>IFERROR(__xludf.DUMMYFUNCTION("""COMPUTED_VALUE"""),"COPO PRENSA FRANCESA CORTICA")</f>
        <v>COPO PRENSA FRANCESA CORTICA</v>
      </c>
      <c r="D2329" s="186" t="str">
        <f>IFERROR(__xludf.DUMMYFUNCTION("""COMPUTED_VALUE"""),"FALSO")</f>
        <v>FALSO</v>
      </c>
    </row>
    <row r="2330">
      <c r="B2330" s="186" t="str">
        <f>IFERROR(__xludf.DUMMYFUNCTION("""COMPUTED_VALUE"""),"PI4131Y")</f>
        <v>PI4131Y</v>
      </c>
      <c r="C2330" s="186" t="str">
        <f>IFERROR(__xludf.DUMMYFUNCTION("""COMPUTED_VALUE"""),"COPO PRENSA FRANCESA COMECAR O DIA")</f>
        <v>COPO PRENSA FRANCESA COMECAR O DIA</v>
      </c>
      <c r="D2330" s="186" t="str">
        <f>IFERROR(__xludf.DUMMYFUNCTION("""COMPUTED_VALUE"""),"FALSO")</f>
        <v>FALSO</v>
      </c>
    </row>
    <row r="2331">
      <c r="B2331" s="186" t="str">
        <f>IFERROR(__xludf.DUMMYFUNCTION("""COMPUTED_VALUE"""),"PI4131Y")</f>
        <v>PI4131Y</v>
      </c>
      <c r="C2331" s="186" t="str">
        <f>IFERROR(__xludf.DUMMYFUNCTION("""COMPUTED_VALUE"""),"COPO PRENSA FRANCESA COMECAR O DIA")</f>
        <v>COPO PRENSA FRANCESA COMECAR O DIA</v>
      </c>
      <c r="D2331" s="186" t="str">
        <f>IFERROR(__xludf.DUMMYFUNCTION("""COMPUTED_VALUE"""),"FALSO")</f>
        <v>FALSO</v>
      </c>
    </row>
    <row r="2332">
      <c r="B2332" s="186" t="str">
        <f>IFERROR(__xludf.DUMMYFUNCTION("""COMPUTED_VALUE"""),"PI5196Y")</f>
        <v>PI5196Y</v>
      </c>
      <c r="C2332" s="186" t="str">
        <f>IFERROR(__xludf.DUMMYFUNCTION("""COMPUTED_VALUE"""),"PRENSA FRANCESA CORACAO PASSAR BEM")</f>
        <v>PRENSA FRANCESA CORACAO PASSAR BEM</v>
      </c>
      <c r="D2332" s="186" t="str">
        <f>IFERROR(__xludf.DUMMYFUNCTION("""COMPUTED_VALUE"""),"FALSO")</f>
        <v>FALSO</v>
      </c>
    </row>
    <row r="2333">
      <c r="B2333" s="186" t="str">
        <f>IFERROR(__xludf.DUMMYFUNCTION("""COMPUTED_VALUE"""),"PI5457Y")</f>
        <v>PI5457Y</v>
      </c>
      <c r="C2333" s="186" t="str">
        <f>IFERROR(__xludf.DUMMYFUNCTION("""COMPUTED_VALUE"""),"PRENSA FRANCESA O MELHOR CAFE")</f>
        <v>PRENSA FRANCESA O MELHOR CAFE</v>
      </c>
      <c r="D2333" s="186" t="str">
        <f>IFERROR(__xludf.DUMMYFUNCTION("""COMPUTED_VALUE"""),"FALSO")</f>
        <v>FALSO</v>
      </c>
    </row>
    <row r="2334">
      <c r="B2334" s="186" t="str">
        <f>IFERROR(__xludf.DUMMYFUNCTION("""COMPUTED_VALUE"""),"PI5413Y")</f>
        <v>PI5413Y</v>
      </c>
      <c r="C2334" s="186" t="str">
        <f>IFERROR(__xludf.DUMMYFUNCTION("""COMPUTED_VALUE"""),"COPO PRENSA FRANCESA FAZER UM BOM CAFE")</f>
        <v>COPO PRENSA FRANCESA FAZER UM BOM CAFE</v>
      </c>
      <c r="D2334" s="186" t="str">
        <f>IFERROR(__xludf.DUMMYFUNCTION("""COMPUTED_VALUE"""),"FALSO")</f>
        <v>FALSO</v>
      </c>
    </row>
    <row r="2335">
      <c r="B2335" s="186" t="str">
        <f>IFERROR(__xludf.DUMMYFUNCTION("""COMPUTED_VALUE"""),"PI5413Y")</f>
        <v>PI5413Y</v>
      </c>
      <c r="C2335" s="186" t="str">
        <f>IFERROR(__xludf.DUMMYFUNCTION("""COMPUTED_VALUE"""),"COPO PRENSA FRANCESA FAZER UM BOM CAFE")</f>
        <v>COPO PRENSA FRANCESA FAZER UM BOM CAFE</v>
      </c>
      <c r="D2335" s="186" t="str">
        <f>IFERROR(__xludf.DUMMYFUNCTION("""COMPUTED_VALUE"""),"FALSO")</f>
        <v>FALSO</v>
      </c>
    </row>
    <row r="2336">
      <c r="B2336" s="186" t="str">
        <f>IFERROR(__xludf.DUMMYFUNCTION("""COMPUTED_VALUE"""),"PI5413Y")</f>
        <v>PI5413Y</v>
      </c>
      <c r="C2336" s="186" t="str">
        <f>IFERROR(__xludf.DUMMYFUNCTION("""COMPUTED_VALUE"""),"COPO PRENSA FRANCESA FAZER UM BOM CAFE")</f>
        <v>COPO PRENSA FRANCESA FAZER UM BOM CAFE</v>
      </c>
      <c r="D2336" s="186" t="str">
        <f>IFERROR(__xludf.DUMMYFUNCTION("""COMPUTED_VALUE"""),"FALSO")</f>
        <v>FALSO</v>
      </c>
    </row>
    <row r="2337">
      <c r="B2337" s="186" t="str">
        <f>IFERROR(__xludf.DUMMYFUNCTION("""COMPUTED_VALUE"""),"PI4718Y")</f>
        <v>PI4718Y</v>
      </c>
      <c r="C2337" s="186" t="str">
        <f>IFERROR(__xludf.DUMMYFUNCTION("""COMPUTED_VALUE"""),"PRENSA FRANCESA PO DE SIM")</f>
        <v>PRENSA FRANCESA PO DE SIM</v>
      </c>
      <c r="D2337" s="186" t="str">
        <f>IFERROR(__xludf.DUMMYFUNCTION("""COMPUTED_VALUE"""),"FALSO")</f>
        <v>FALSO</v>
      </c>
    </row>
    <row r="2338">
      <c r="B2338" s="186" t="str">
        <f>IFERROR(__xludf.DUMMYFUNCTION("""COMPUTED_VALUE"""),"PI4902Y")</f>
        <v>PI4902Y</v>
      </c>
      <c r="C2338" s="186" t="str">
        <f>IFERROR(__xludf.DUMMYFUNCTION("""COMPUTED_VALUE"""),"CARTAO AMIZADE ESCRITA NAS ESTRELAS")</f>
        <v>CARTAO AMIZADE ESCRITA NAS ESTRELAS</v>
      </c>
      <c r="D2338" s="186" t="str">
        <f>IFERROR(__xludf.DUMMYFUNCTION("""COMPUTED_VALUE"""),"FALSO")</f>
        <v>FALSO</v>
      </c>
    </row>
    <row r="2339">
      <c r="B2339" s="186" t="str">
        <f>IFERROR(__xludf.DUMMYFUNCTION("""COMPUTED_VALUE"""),"PI7558Y")</f>
        <v>PI7558Y</v>
      </c>
      <c r="C2339" s="186" t="str">
        <f>IFERROR(__xludf.DUMMYFUNCTION("""COMPUTED_VALUE"""),"CANETA BATATA FRITA")</f>
        <v>CANETA BATATA FRITA</v>
      </c>
      <c r="D2339" s="186" t="str">
        <f>IFERROR(__xludf.DUMMYFUNCTION("""COMPUTED_VALUE"""),"INMETRO SCHOOL ARTICLES SYSTEM 5 - ORDINANCE 481")</f>
        <v>INMETRO SCHOOL ARTICLES SYSTEM 5 - ORDINANCE 481</v>
      </c>
    </row>
    <row r="2340">
      <c r="B2340" s="186" t="str">
        <f>IFERROR(__xludf.DUMMYFUNCTION("""COMPUTED_VALUE"""),"CS2153")</f>
        <v>CS2153</v>
      </c>
      <c r="C2340" s="186" t="str">
        <f>IFERROR(__xludf.DUMMYFUNCTION("""COMPUTED_VALUE"""),"FRONHA CONTANDO CARNEIRINHOS")</f>
        <v>FRONHA CONTANDO CARNEIRINHOS</v>
      </c>
      <c r="D2340" s="186" t="str">
        <f>IFERROR(__xludf.DUMMYFUNCTION("""COMPUTED_VALUE"""),"FALSO")</f>
        <v>FALSO</v>
      </c>
    </row>
    <row r="2341">
      <c r="B2341" s="186" t="str">
        <f>IFERROR(__xludf.DUMMYFUNCTION("""COMPUTED_VALUE"""),"CS2152")</f>
        <v>CS2152</v>
      </c>
      <c r="C2341" s="186" t="str">
        <f>IFERROR(__xludf.DUMMYFUNCTION("""COMPUTED_VALUE"""),"FRONHA DUPLA NOSSO MELHOR LADO")</f>
        <v>FRONHA DUPLA NOSSO MELHOR LADO</v>
      </c>
      <c r="D2341" s="186" t="str">
        <f>IFERROR(__xludf.DUMMYFUNCTION("""COMPUTED_VALUE"""),"FALSO")</f>
        <v>FALSO</v>
      </c>
    </row>
    <row r="2342">
      <c r="B2342" s="186" t="str">
        <f>IFERROR(__xludf.DUMMYFUNCTION("""COMPUTED_VALUE"""),"CS2154")</f>
        <v>CS2154</v>
      </c>
      <c r="C2342" s="186" t="str">
        <f>IFERROR(__xludf.DUMMYFUNCTION("""COMPUTED_VALUE"""),"FRONHA HP MALA DE HOGWARTS")</f>
        <v>FRONHA HP MALA DE HOGWARTS</v>
      </c>
      <c r="D2342" s="186" t="str">
        <f>IFERROR(__xludf.DUMMYFUNCTION("""COMPUTED_VALUE"""),"FALSO")</f>
        <v>FALSO</v>
      </c>
    </row>
    <row r="2343">
      <c r="B2343" s="186" t="str">
        <f>IFERROR(__xludf.DUMMYFUNCTION("""COMPUTED_VALUE"""),"PI7549Y")</f>
        <v>PI7549Y</v>
      </c>
      <c r="C2343" s="186" t="str">
        <f>IFERROR(__xludf.DUMMYFUNCTION("""COMPUTED_VALUE"""),"AGENDA FUN PASSAPORTE")</f>
        <v>AGENDA FUN PASSAPORTE</v>
      </c>
      <c r="D2343" s="186" t="str">
        <f>IFERROR(__xludf.DUMMYFUNCTION("""COMPUTED_VALUE"""),"FALSO")</f>
        <v>FALSO</v>
      </c>
    </row>
    <row r="2344">
      <c r="B2344" s="186"/>
      <c r="C2344" s="186"/>
      <c r="D2344" s="186"/>
    </row>
    <row r="2345">
      <c r="B2345" s="186" t="str">
        <f>IFERROR(__xludf.DUMMYFUNCTION("""COMPUTED_VALUE"""),"PI6576Y")</f>
        <v>PI6576Y</v>
      </c>
      <c r="C2345" s="186" t="str">
        <f>IFERROR(__xludf.DUMMYFUNCTION("""COMPUTED_VALUE"""),"JOGO 1 2 3 E JA VOLTE A FITA")</f>
        <v>JOGO 1 2 3 E JA VOLTE A FITA</v>
      </c>
      <c r="D2345" s="186" t="str">
        <f>IFERROR(__xludf.DUMMYFUNCTION("""COMPUTED_VALUE"""),"FALSO")</f>
        <v>FALSO</v>
      </c>
    </row>
    <row r="2346">
      <c r="B2346" s="186" t="str">
        <f>IFERROR(__xludf.DUMMYFUNCTION("""COMPUTED_VALUE"""),"PI6576Y")</f>
        <v>PI6576Y</v>
      </c>
      <c r="C2346" s="186" t="str">
        <f>IFERROR(__xludf.DUMMYFUNCTION("""COMPUTED_VALUE"""),"JOGO 1 2 3 E JA VOLTE A FITA")</f>
        <v>JOGO 1 2 3 E JA VOLTE A FITA</v>
      </c>
      <c r="D2346" s="186" t="str">
        <f>IFERROR(__xludf.DUMMYFUNCTION("""COMPUTED_VALUE"""),"FALSO")</f>
        <v>FALSO</v>
      </c>
    </row>
    <row r="2347">
      <c r="B2347" s="186" t="str">
        <f>IFERROR(__xludf.DUMMYFUNCTION("""COMPUTED_VALUE"""),"PI7611Y")</f>
        <v>PI7611Y</v>
      </c>
      <c r="C2347" s="186" t="str">
        <f>IFERROR(__xludf.DUMMYFUNCTION("""COMPUTED_VALUE"""),"JOGO MORDEU BEBEU")</f>
        <v>JOGO MORDEU BEBEU</v>
      </c>
      <c r="D2347" s="186" t="str">
        <f>IFERROR(__xludf.DUMMYFUNCTION("""COMPUTED_VALUE"""),"FALSO")</f>
        <v>FALSO</v>
      </c>
    </row>
    <row r="2348">
      <c r="B2348" s="186" t="str">
        <f>IFERROR(__xludf.DUMMYFUNCTION("""COMPUTED_VALUE"""),"PI6573Y")</f>
        <v>PI6573Y</v>
      </c>
      <c r="C2348" s="186" t="str">
        <f>IFERROR(__xludf.DUMMYFUNCTION("""COMPUTED_VALUE"""),"JOGO E DOSE COM BLOCOS COLORIDOS")</f>
        <v>JOGO E DOSE COM BLOCOS COLORIDOS</v>
      </c>
      <c r="D2348" s="186" t="str">
        <f>IFERROR(__xludf.DUMMYFUNCTION("""COMPUTED_VALUE"""),"FALSO")</f>
        <v>FALSO</v>
      </c>
    </row>
    <row r="2349">
      <c r="B2349" s="186" t="str">
        <f>IFERROR(__xludf.DUMMYFUNCTION("""COMPUTED_VALUE"""),"PI5535Y")</f>
        <v>PI5535Y</v>
      </c>
      <c r="C2349" s="186" t="str">
        <f>IFERROR(__xludf.DUMMYFUNCTION("""COMPUTED_VALUE"""),"JOGO E DOSE COM COPOS DE SHOT")</f>
        <v>JOGO E DOSE COM COPOS DE SHOT</v>
      </c>
      <c r="D2349" s="186" t="str">
        <f>IFERROR(__xludf.DUMMYFUNCTION("""COMPUTED_VALUE"""),"FALSO")</f>
        <v>FALSO</v>
      </c>
    </row>
    <row r="2350">
      <c r="B2350" s="186" t="str">
        <f>IFERROR(__xludf.DUMMYFUNCTION("""COMPUTED_VALUE"""),"PI5868Y")</f>
        <v>PI5868Y</v>
      </c>
      <c r="C2350" s="186" t="str">
        <f>IFERROR(__xludf.DUMMYFUNCTION("""COMPUTED_VALUE"""),"JOGO CONEXAO DO AMOR")</f>
        <v>JOGO CONEXAO DO AMOR</v>
      </c>
      <c r="D2350" s="186" t="str">
        <f>IFERROR(__xludf.DUMMYFUNCTION("""COMPUTED_VALUE"""),"FALSO")</f>
        <v>FALSO</v>
      </c>
    </row>
    <row r="2351">
      <c r="B2351" s="186" t="str">
        <f>IFERROR(__xludf.DUMMYFUNCTION("""COMPUTED_VALUE"""),"PI5894Y")</f>
        <v>PI5894Y</v>
      </c>
      <c r="C2351" s="186" t="str">
        <f>IFERROR(__xludf.DUMMYFUNCTION("""COMPUTED_VALUE"""),"JOGO ROLETA DO AMOR")</f>
        <v>JOGO ROLETA DO AMOR</v>
      </c>
      <c r="D2351" s="186" t="str">
        <f>IFERROR(__xludf.DUMMYFUNCTION("""COMPUTED_VALUE"""),"FALSO")</f>
        <v>FALSO</v>
      </c>
    </row>
    <row r="2352">
      <c r="B2352" s="186" t="str">
        <f>IFERROR(__xludf.DUMMYFUNCTION("""COMPUTED_VALUE"""),"PI6165Y")</f>
        <v>PI6165Y</v>
      </c>
      <c r="C2352" s="186" t="str">
        <f>IFERROR(__xludf.DUMMYFUNCTION("""COMPUTED_VALUE"""),"JOGO DOSES DE EQUILÍBRIO")</f>
        <v>JOGO DOSES DE EQUILÍBRIO</v>
      </c>
      <c r="D2352" s="186" t="str">
        <f>IFERROR(__xludf.DUMMYFUNCTION("""COMPUTED_VALUE"""),"FALSO")</f>
        <v>FALSO</v>
      </c>
    </row>
    <row r="2353">
      <c r="B2353" s="186" t="str">
        <f>IFERROR(__xludf.DUMMYFUNCTION("""COMPUTED_VALUE"""),"PI5536Y")</f>
        <v>PI5536Y</v>
      </c>
      <c r="C2353" s="186" t="str">
        <f>IFERROR(__xludf.DUMMYFUNCTION("""COMPUTED_VALUE"""),"JOGO SHOT NA VERDADE EU TE DESAFIO")</f>
        <v>JOGO SHOT NA VERDADE EU TE DESAFIO</v>
      </c>
      <c r="D2353" s="186" t="str">
        <f>IFERROR(__xludf.DUMMYFUNCTION("""COMPUTED_VALUE"""),"FALSO")</f>
        <v>FALSO</v>
      </c>
    </row>
    <row r="2354">
      <c r="B2354" s="186" t="str">
        <f>IFERROR(__xludf.DUMMYFUNCTION("""COMPUTED_VALUE"""),"PI5869Y")</f>
        <v>PI5869Y</v>
      </c>
      <c r="C2354" s="186" t="str">
        <f>IFERROR(__xludf.DUMMYFUNCTION("""COMPUTED_VALUE"""),"JOGO VERDADE OU CONSEQUENCIA AMO VC")</f>
        <v>JOGO VERDADE OU CONSEQUENCIA AMO VC</v>
      </c>
      <c r="D2354" s="186" t="str">
        <f>IFERROR(__xludf.DUMMYFUNCTION("""COMPUTED_VALUE"""),"FALSO")</f>
        <v>FALSO</v>
      </c>
    </row>
    <row r="2355">
      <c r="B2355" s="186" t="str">
        <f>IFERROR(__xludf.DUMMYFUNCTION("""COMPUTED_VALUE"""),"GE0093")</f>
        <v>GE0093</v>
      </c>
      <c r="C2355" s="186" t="str">
        <f>IFERROR(__xludf.DUMMYFUNCTION("""COMPUTED_VALUE"""),"GANCHO DE PORTA SMILE")</f>
        <v>GANCHO DE PORTA SMILE</v>
      </c>
      <c r="D2355" s="186" t="str">
        <f>IFERROR(__xludf.DUMMYFUNCTION("""COMPUTED_VALUE"""),"FALSO")</f>
        <v>FALSO</v>
      </c>
    </row>
    <row r="2356">
      <c r="B2356" s="186" t="str">
        <f>IFERROR(__xludf.DUMMYFUNCTION("""COMPUTED_VALUE"""),"PI4616Y")</f>
        <v>PI4616Y</v>
      </c>
      <c r="C2356" s="186" t="str">
        <f>IFERROR(__xludf.DUMMYFUNCTION("""COMPUTED_VALUE"""),"BANCO E KIT JARDINAGEM ESPERA PLANTADA")</f>
        <v>BANCO E KIT JARDINAGEM ESPERA PLANTADA</v>
      </c>
      <c r="D2356" s="186" t="str">
        <f>IFERROR(__xludf.DUMMYFUNCTION("""COMPUTED_VALUE"""),"FALSO")</f>
        <v>FALSO</v>
      </c>
    </row>
    <row r="2357">
      <c r="B2357" s="186" t="str">
        <f>IFERROR(__xludf.DUMMYFUNCTION("""COMPUTED_VALUE"""),"PI4130Y")</f>
        <v>PI4130Y</v>
      </c>
      <c r="C2357" s="186" t="str">
        <f>IFERROR(__xludf.DUMMYFUNCTION("""COMPUTED_VALUE"""),"KIT JARDINAGEM MALETA PLANOS E PLANTAS")</f>
        <v>KIT JARDINAGEM MALETA PLANOS E PLANTAS</v>
      </c>
      <c r="D2357" s="186" t="str">
        <f>IFERROR(__xludf.DUMMYFUNCTION("""COMPUTED_VALUE"""),"FALSO")</f>
        <v>FALSO</v>
      </c>
    </row>
    <row r="2358">
      <c r="B2358" s="186" t="str">
        <f>IFERROR(__xludf.DUMMYFUNCTION("""COMPUTED_VALUE"""),"PI4130Y")</f>
        <v>PI4130Y</v>
      </c>
      <c r="C2358" s="186" t="str">
        <f>IFERROR(__xludf.DUMMYFUNCTION("""COMPUTED_VALUE"""),"KIT JARDINAGEM MALETA PLANOS E PLANTAS")</f>
        <v>KIT JARDINAGEM MALETA PLANOS E PLANTAS</v>
      </c>
      <c r="D2358" s="186" t="str">
        <f>IFERROR(__xludf.DUMMYFUNCTION("""COMPUTED_VALUE"""),"FALSO")</f>
        <v>FALSO</v>
      </c>
    </row>
    <row r="2359">
      <c r="B2359" s="186" t="str">
        <f>IFERROR(__xludf.DUMMYFUNCTION("""COMPUTED_VALUE"""),"PI5161Y")</f>
        <v>PI5161Y</v>
      </c>
      <c r="C2359" s="186" t="str">
        <f>IFERROR(__xludf.DUMMYFUNCTION("""COMPUTED_VALUE"""),"KIT JARDINAGEM COM BLOCO POR ONDE FLORES")</f>
        <v>KIT JARDINAGEM COM BLOCO POR ONDE FLORES</v>
      </c>
      <c r="D2359" s="186" t="str">
        <f>IFERROR(__xludf.DUMMYFUNCTION("""COMPUTED_VALUE"""),"FALSO")</f>
        <v>FALSO</v>
      </c>
    </row>
    <row r="2360">
      <c r="B2360" s="186" t="str">
        <f>IFERROR(__xludf.DUMMYFUNCTION("""COMPUTED_VALUE"""),"PI6265Y")</f>
        <v>PI6265Y</v>
      </c>
      <c r="C2360" s="186" t="str">
        <f>IFERROR(__xludf.DUMMYFUNCTION("""COMPUTED_VALUE"""),"KIT JARDINAGEM PLANTINHA")</f>
        <v>KIT JARDINAGEM PLANTINHA</v>
      </c>
      <c r="D2360" s="186" t="str">
        <f>IFERROR(__xludf.DUMMYFUNCTION("""COMPUTED_VALUE"""),"FALSO")</f>
        <v>FALSO</v>
      </c>
    </row>
    <row r="2361">
      <c r="B2361" s="186" t="str">
        <f>IFERROR(__xludf.DUMMYFUNCTION("""COMPUTED_VALUE"""),"US0092")</f>
        <v>US0092</v>
      </c>
      <c r="C2361" s="186" t="str">
        <f>IFERROR(__xludf.DUMMYFUNCTION("""COMPUTED_VALUE"""),"LUMINARIA GATINHA NATURAL")</f>
        <v>LUMINARIA GATINHA NATURAL</v>
      </c>
      <c r="D2361" s="186" t="str">
        <f>IFERROR(__xludf.DUMMYFUNCTION("""COMPUTED_VALUE"""),"FALSO")</f>
        <v>FALSO</v>
      </c>
    </row>
    <row r="2362">
      <c r="B2362" s="186" t="str">
        <f>IFERROR(__xludf.DUMMYFUNCTION("""COMPUTED_VALUE"""),"US0093")</f>
        <v>US0093</v>
      </c>
      <c r="C2362" s="186" t="str">
        <f>IFERROR(__xludf.DUMMYFUNCTION("""COMPUTED_VALUE"""),"LUMINARIA GATINHA NOVELO PORTA RETRATO")</f>
        <v>LUMINARIA GATINHA NOVELO PORTA RETRATO</v>
      </c>
      <c r="D2362" s="186" t="str">
        <f>IFERROR(__xludf.DUMMYFUNCTION("""COMPUTED_VALUE"""),"FALSO")</f>
        <v>FALSO</v>
      </c>
    </row>
    <row r="2363">
      <c r="B2363" s="186" t="str">
        <f>IFERROR(__xludf.DUMMYFUNCTION("""COMPUTED_VALUE"""),"PI6312Y")</f>
        <v>PI6312Y</v>
      </c>
      <c r="C2363" s="186" t="str">
        <f>IFERROR(__xludf.DUMMYFUNCTION("""COMPUTED_VALUE"""),"GARRAFA TÉRMICA GEOMÉTRICA PRETA")</f>
        <v>GARRAFA TÉRMICA GEOMÉTRICA PRETA</v>
      </c>
      <c r="D2363" s="186" t="str">
        <f>IFERROR(__xludf.DUMMYFUNCTION("""COMPUTED_VALUE"""),"FALSO")</f>
        <v>FALSO</v>
      </c>
    </row>
    <row r="2364">
      <c r="B2364" s="186" t="str">
        <f>IFERROR(__xludf.DUMMYFUNCTION("""COMPUTED_VALUE"""),"PI6312Y")</f>
        <v>PI6312Y</v>
      </c>
      <c r="C2364" s="186" t="str">
        <f>IFERROR(__xludf.DUMMYFUNCTION("""COMPUTED_VALUE"""),"GARRAFA TÉRMICA GEOMÉTRICA PRETA")</f>
        <v>GARRAFA TÉRMICA GEOMÉTRICA PRETA</v>
      </c>
      <c r="D2364" s="186" t="str">
        <f>IFERROR(__xludf.DUMMYFUNCTION("""COMPUTED_VALUE"""),"FALSO")</f>
        <v>FALSO</v>
      </c>
    </row>
    <row r="2365">
      <c r="B2365" s="186" t="str">
        <f>IFERROR(__xludf.DUMMYFUNCTION("""COMPUTED_VALUE"""),"PI7314Y")</f>
        <v>PI7314Y</v>
      </c>
      <c r="C2365" s="186" t="str">
        <f>IFERROR(__xludf.DUMMYFUNCTION("""COMPUTED_VALUE"""),"CANECA MIXER GEOMETRICA")</f>
        <v>CANECA MIXER GEOMETRICA</v>
      </c>
      <c r="D2365" s="186" t="str">
        <f>IFERROR(__xludf.DUMMYFUNCTION("""COMPUTED_VALUE"""),"FALSO")</f>
        <v>FALSO</v>
      </c>
    </row>
    <row r="2366">
      <c r="B2366" s="186" t="str">
        <f>IFERROR(__xludf.DUMMYFUNCTION("""COMPUTED_VALUE"""),"PI7067Y")</f>
        <v>PI7067Y</v>
      </c>
      <c r="C2366" s="186" t="str">
        <f>IFERROR(__xludf.DUMMYFUNCTION("""COMPUTED_VALUE"""),"CALENDARIO DE PAREDE GEOMETRICO 2025")</f>
        <v>CALENDARIO DE PAREDE GEOMETRICO 2025</v>
      </c>
      <c r="D2366" s="186" t="str">
        <f>IFERROR(__xludf.DUMMYFUNCTION("""COMPUTED_VALUE"""),"FALSO")</f>
        <v>FALSO</v>
      </c>
    </row>
    <row r="2367">
      <c r="B2367" s="186" t="str">
        <f>IFERROR(__xludf.DUMMYFUNCTION("""COMPUTED_VALUE"""),"PI5499Y")</f>
        <v>PI5499Y</v>
      </c>
      <c r="C2367" s="186" t="str">
        <f>IFERROR(__xludf.DUMMYFUNCTION("""COMPUTED_VALUE"""),"COPO DE CERVEJA LONG NECK")</f>
        <v>COPO DE CERVEJA LONG NECK</v>
      </c>
      <c r="D2367" s="186" t="str">
        <f>IFERROR(__xludf.DUMMYFUNCTION("""COMPUTED_VALUE"""),"FALSO")</f>
        <v>FALSO</v>
      </c>
    </row>
    <row r="2368">
      <c r="B2368" s="186" t="str">
        <f>IFERROR(__xludf.DUMMYFUNCTION("""COMPUTED_VALUE"""),"PI7011Y")</f>
        <v>PI7011Y</v>
      </c>
      <c r="C2368" s="186" t="str">
        <f>IFERROR(__xludf.DUMMYFUNCTION("""COMPUTED_VALUE"""),"MORINGA ESTRELAS")</f>
        <v>MORINGA ESTRELAS</v>
      </c>
      <c r="D2368" s="186" t="str">
        <f>IFERROR(__xludf.DUMMYFUNCTION("""COMPUTED_VALUE"""),"FALSO")</f>
        <v>FALSO</v>
      </c>
    </row>
    <row r="2369">
      <c r="B2369" s="186" t="str">
        <f>IFERROR(__xludf.DUMMYFUNCTION("""COMPUTED_VALUE"""),"PI7950")</f>
        <v>PI7950</v>
      </c>
      <c r="C2369" s="186" t="str">
        <f>IFERROR(__xludf.DUMMYFUNCTION("""COMPUTED_VALUE"""),"TACA DE VIDRO COM CANUDO 2 EM 1")</f>
        <v>TACA DE VIDRO COM CANUDO 2 EM 1</v>
      </c>
      <c r="D2369" s="186" t="str">
        <f>IFERROR(__xludf.DUMMYFUNCTION("""COMPUTED_VALUE"""),"FALSO")</f>
        <v>FALSO</v>
      </c>
    </row>
    <row r="2370">
      <c r="B2370" s="186" t="str">
        <f>IFERROR(__xludf.DUMMYFUNCTION("""COMPUTED_VALUE"""),"PI7948Y")</f>
        <v>PI7948Y</v>
      </c>
      <c r="C2370" s="186" t="str">
        <f>IFERROR(__xludf.DUMMYFUNCTION("""COMPUTED_VALUE"""),"COPO DE VIDRO COM TAMPA E CANUDO LILAS")</f>
        <v>COPO DE VIDRO COM TAMPA E CANUDO LILAS</v>
      </c>
      <c r="D2370" s="186" t="str">
        <f>IFERROR(__xludf.DUMMYFUNCTION("""COMPUTED_VALUE"""),"FALSO")</f>
        <v>FALSO</v>
      </c>
    </row>
    <row r="2371">
      <c r="B2371" s="186" t="str">
        <f>IFERROR(__xludf.DUMMYFUNCTION("""COMPUTED_VALUE"""),"PI7947Y")</f>
        <v>PI7947Y</v>
      </c>
      <c r="C2371" s="186" t="str">
        <f>IFERROR(__xludf.DUMMYFUNCTION("""COMPUTED_VALUE"""),"COPO DE VIDRO COM TAMPA E CANUDO ROSA")</f>
        <v>COPO DE VIDRO COM TAMPA E CANUDO ROSA</v>
      </c>
      <c r="D2371" s="186" t="str">
        <f>IFERROR(__xludf.DUMMYFUNCTION("""COMPUTED_VALUE"""),"FALSO")</f>
        <v>FALSO</v>
      </c>
    </row>
    <row r="2372">
      <c r="B2372" s="186" t="str">
        <f>IFERROR(__xludf.DUMMYFUNCTION("""COMPUTED_VALUE"""),"PI7946Y")</f>
        <v>PI7946Y</v>
      </c>
      <c r="C2372" s="186" t="str">
        <f>IFERROR(__xludf.DUMMYFUNCTION("""COMPUTED_VALUE"""),"COPO DE VIDRO COM TAMPA E CANUDO AMARELO")</f>
        <v>COPO DE VIDRO COM TAMPA E CANUDO AMARELO</v>
      </c>
      <c r="D2372" s="186" t="str">
        <f>IFERROR(__xludf.DUMMYFUNCTION("""COMPUTED_VALUE"""),"FALSO")</f>
        <v>FALSO</v>
      </c>
    </row>
    <row r="2373">
      <c r="B2373" s="186" t="str">
        <f>IFERROR(__xludf.DUMMYFUNCTION("""COMPUTED_VALUE"""),"PI6512Y")</f>
        <v>PI6512Y</v>
      </c>
      <c r="C2373" s="186" t="str">
        <f>IFERROR(__xludf.DUMMYFUNCTION("""COMPUTED_VALUE"""),"PRENSA FRANCESA DE VIDRO PASSANDO BEM")</f>
        <v>PRENSA FRANCESA DE VIDRO PASSANDO BEM</v>
      </c>
      <c r="D2373" s="186" t="str">
        <f>IFERROR(__xludf.DUMMYFUNCTION("""COMPUTED_VALUE"""),"FALSO")</f>
        <v>FALSO</v>
      </c>
    </row>
    <row r="2374">
      <c r="B2374" s="186" t="str">
        <f>IFERROR(__xludf.DUMMYFUNCTION("""COMPUTED_VALUE"""),"PI7949Y")</f>
        <v>PI7949Y</v>
      </c>
      <c r="C2374" s="186" t="str">
        <f>IFERROR(__xludf.DUMMYFUNCTION("""COMPUTED_VALUE"""),"MORINGA DE VIDRO VAQUINHA")</f>
        <v>MORINGA DE VIDRO VAQUINHA</v>
      </c>
      <c r="D2374" s="186" t="str">
        <f>IFERROR(__xludf.DUMMYFUNCTION("""COMPUTED_VALUE"""),"FALSO")</f>
        <v>FALSO</v>
      </c>
    </row>
    <row r="2375">
      <c r="B2375" s="186" t="str">
        <f>IFERROR(__xludf.DUMMYFUNCTION("""COMPUTED_VALUE"""),"PI6371Y")</f>
        <v>PI6371Y</v>
      </c>
      <c r="C2375" s="186" t="str">
        <f>IFERROR(__xludf.DUMMYFUNCTION("""COMPUTED_VALUE"""),"CANECA DE VIDRO URSO")</f>
        <v>CANECA DE VIDRO URSO</v>
      </c>
      <c r="D2375" s="186" t="str">
        <f>IFERROR(__xludf.DUMMYFUNCTION("""COMPUTED_VALUE"""),"FALSO")</f>
        <v>FALSO</v>
      </c>
    </row>
    <row r="2376">
      <c r="B2376" s="186" t="str">
        <f>IFERROR(__xludf.DUMMYFUNCTION("""COMPUTED_VALUE"""),"PI6371Y")</f>
        <v>PI6371Y</v>
      </c>
      <c r="C2376" s="186" t="str">
        <f>IFERROR(__xludf.DUMMYFUNCTION("""COMPUTED_VALUE"""),"CANECA DE VIDRO URSO")</f>
        <v>CANECA DE VIDRO URSO</v>
      </c>
      <c r="D2376" s="186" t="str">
        <f>IFERROR(__xludf.DUMMYFUNCTION("""COMPUTED_VALUE"""),"FALSO")</f>
        <v>FALSO</v>
      </c>
    </row>
    <row r="2377">
      <c r="B2377" s="186" t="str">
        <f>IFERROR(__xludf.DUMMYFUNCTION("""COMPUTED_VALUE"""),"PI6370Y")</f>
        <v>PI6370Y</v>
      </c>
      <c r="C2377" s="186" t="str">
        <f>IFERROR(__xludf.DUMMYFUNCTION("""COMPUTED_VALUE"""),"CANECA COM INFUSOR GATO E PEIXE")</f>
        <v>CANECA COM INFUSOR GATO E PEIXE</v>
      </c>
      <c r="D2377" s="186" t="str">
        <f>IFERROR(__xludf.DUMMYFUNCTION("""COMPUTED_VALUE"""),"FALSO")</f>
        <v>FALSO</v>
      </c>
    </row>
    <row r="2378">
      <c r="B2378" s="186" t="str">
        <f>IFERROR(__xludf.DUMMYFUNCTION("""COMPUTED_VALUE"""),"PI6370Y")</f>
        <v>PI6370Y</v>
      </c>
      <c r="C2378" s="186" t="str">
        <f>IFERROR(__xludf.DUMMYFUNCTION("""COMPUTED_VALUE"""),"CANECA COM INFUSOR GATO E PEIXE")</f>
        <v>CANECA COM INFUSOR GATO E PEIXE</v>
      </c>
      <c r="D2378" s="186" t="str">
        <f>IFERROR(__xludf.DUMMYFUNCTION("""COMPUTED_VALUE"""),"FALSO")</f>
        <v>FALSO</v>
      </c>
    </row>
    <row r="2379">
      <c r="B2379" s="186" t="str">
        <f>IFERROR(__xludf.DUMMYFUNCTION("""COMPUTED_VALUE"""),"PI6370Y")</f>
        <v>PI6370Y</v>
      </c>
      <c r="C2379" s="186" t="str">
        <f>IFERROR(__xludf.DUMMYFUNCTION("""COMPUTED_VALUE"""),"CANECA COM INFUSOR GATO E PEIXE")</f>
        <v>CANECA COM INFUSOR GATO E PEIXE</v>
      </c>
      <c r="D2379" s="186" t="str">
        <f>IFERROR(__xludf.DUMMYFUNCTION("""COMPUTED_VALUE"""),"FALSO")</f>
        <v>FALSO</v>
      </c>
    </row>
    <row r="2380">
      <c r="B2380" s="186" t="str">
        <f>IFERROR(__xludf.DUMMYFUNCTION("""COMPUTED_VALUE"""),"PI6625Y")</f>
        <v>PI6625Y</v>
      </c>
      <c r="C2380" s="186" t="str">
        <f>IFERROR(__xludf.DUMMYFUNCTION("""COMPUTED_VALUE"""),"CANECA DE VIDRO FLORES BRILHANDO")</f>
        <v>CANECA DE VIDRO FLORES BRILHANDO</v>
      </c>
      <c r="D2380" s="186" t="str">
        <f>IFERROR(__xludf.DUMMYFUNCTION("""COMPUTED_VALUE"""),"FALSO")</f>
        <v>FALSO</v>
      </c>
    </row>
    <row r="2381">
      <c r="B2381" s="186" t="str">
        <f>IFERROR(__xludf.DUMMYFUNCTION("""COMPUTED_VALUE"""),"PI7757Y")</f>
        <v>PI7757Y</v>
      </c>
      <c r="C2381" s="186" t="str">
        <f>IFERROR(__xludf.DUMMYFUNCTION("""COMPUTED_VALUE"""),"CANECA DE VIDRO PAUSA QUENTINHA")</f>
        <v>CANECA DE VIDRO PAUSA QUENTINHA</v>
      </c>
      <c r="D2381" s="186" t="str">
        <f>IFERROR(__xludf.DUMMYFUNCTION("""COMPUTED_VALUE"""),"FALSO")</f>
        <v>FALSO</v>
      </c>
    </row>
    <row r="2382">
      <c r="B2382" s="186" t="str">
        <f>IFERROR(__xludf.DUMMYFUNCTION("""COMPUTED_VALUE"""),"PI7325Y")</f>
        <v>PI7325Y</v>
      </c>
      <c r="C2382" s="186" t="str">
        <f>IFERROR(__xludf.DUMMYFUNCTION("""COMPUTED_VALUE"""),"CANECA DE VIDRO COM ALCA PANDA")</f>
        <v>CANECA DE VIDRO COM ALCA PANDA</v>
      </c>
      <c r="D2382" s="186" t="str">
        <f>IFERROR(__xludf.DUMMYFUNCTION("""COMPUTED_VALUE"""),"FALSO")</f>
        <v>FALSO</v>
      </c>
    </row>
    <row r="2383">
      <c r="B2383" s="186" t="str">
        <f>IFERROR(__xludf.DUMMYFUNCTION("""COMPUTED_VALUE"""),"PI6903Y")</f>
        <v>PI6903Y</v>
      </c>
      <c r="C2383" s="186" t="str">
        <f>IFERROR(__xludf.DUMMYFUNCTION("""COMPUTED_VALUE"""),"CANECA DE VIDRO COM COLHER ESTRELAS")</f>
        <v>CANECA DE VIDRO COM COLHER ESTRELAS</v>
      </c>
      <c r="D2383" s="186" t="str">
        <f>IFERROR(__xludf.DUMMYFUNCTION("""COMPUTED_VALUE"""),"FALSO")</f>
        <v>FALSO</v>
      </c>
    </row>
    <row r="2384">
      <c r="B2384" s="186" t="str">
        <f>IFERROR(__xludf.DUMMYFUNCTION("""COMPUTED_VALUE"""),"PI3943Y")</f>
        <v>PI3943Y</v>
      </c>
      <c r="C2384" s="186" t="str">
        <f>IFERROR(__xludf.DUMMYFUNCTION("""COMPUTED_VALUE"""),"CANETA GLITTER IDEIAS BRILHANTES")</f>
        <v>CANETA GLITTER IDEIAS BRILHANTES</v>
      </c>
      <c r="D2384" s="186" t="str">
        <f>IFERROR(__xludf.DUMMYFUNCTION("""COMPUTED_VALUE"""),"FALSO")</f>
        <v>FALSO</v>
      </c>
    </row>
    <row r="2385">
      <c r="B2385" s="186" t="str">
        <f>IFERROR(__xludf.DUMMYFUNCTION("""COMPUTED_VALUE"""),"PI3943Y")</f>
        <v>PI3943Y</v>
      </c>
      <c r="C2385" s="186" t="str">
        <f>IFERROR(__xludf.DUMMYFUNCTION("""COMPUTED_VALUE"""),"CANETA GLITTER IDEIAS BRILHANTES")</f>
        <v>CANETA GLITTER IDEIAS BRILHANTES</v>
      </c>
      <c r="D2385" s="186" t="str">
        <f>IFERROR(__xludf.DUMMYFUNCTION("""COMPUTED_VALUE"""),"FALSO")</f>
        <v>FALSO</v>
      </c>
    </row>
    <row r="2386">
      <c r="B2386" s="186" t="str">
        <f>IFERROR(__xludf.DUMMYFUNCTION("""COMPUTED_VALUE"""),"PI6204Y")</f>
        <v>PI6204Y</v>
      </c>
      <c r="C2386" s="186" t="str">
        <f>IFERROR(__xludf.DUMMYFUNCTION("""COMPUTED_VALUE"""),"PORTA-RETRATO GLITTER DIA INCRÍVEL")</f>
        <v>PORTA-RETRATO GLITTER DIA INCRÍVEL</v>
      </c>
      <c r="D2386" s="186" t="str">
        <f>IFERROR(__xludf.DUMMYFUNCTION("""COMPUTED_VALUE"""),"FALSO")</f>
        <v>FALSO</v>
      </c>
    </row>
    <row r="2387">
      <c r="B2387" s="186" t="str">
        <f>IFERROR(__xludf.DUMMYFUNCTION("""COMPUTED_VALUE"""),"PI7797Y")</f>
        <v>PI7797Y</v>
      </c>
      <c r="C2387" s="186" t="str">
        <f>IFERROR(__xludf.DUMMYFUNCTION("""COMPUTED_VALUE"""),"PORTA RETRATO GLITTER AMORE MIO")</f>
        <v>PORTA RETRATO GLITTER AMORE MIO</v>
      </c>
      <c r="D2387" s="186" t="str">
        <f>IFERROR(__xludf.DUMMYFUNCTION("""COMPUTED_VALUE"""),"FALSO")</f>
        <v>FALSO</v>
      </c>
    </row>
    <row r="2388">
      <c r="B2388" s="186" t="str">
        <f>IFERROR(__xludf.DUMMYFUNCTION("""COMPUTED_VALUE"""),"PI6568Y")</f>
        <v>PI6568Y</v>
      </c>
      <c r="C2388" s="186" t="str">
        <f>IFERROR(__xludf.DUMMYFUNCTION("""COMPUTED_VALUE"""),"PORTA RETRATO GLITTER NOSSO MOMENTO")</f>
        <v>PORTA RETRATO GLITTER NOSSO MOMENTO</v>
      </c>
      <c r="D2388" s="186" t="str">
        <f>IFERROR(__xludf.DUMMYFUNCTION("""COMPUTED_VALUE"""),"FALSO")</f>
        <v>FALSO</v>
      </c>
    </row>
    <row r="2389">
      <c r="B2389" s="186" t="str">
        <f>IFERROR(__xludf.DUMMYFUNCTION("""COMPUTED_VALUE"""),"PI6569Y")</f>
        <v>PI6569Y</v>
      </c>
      <c r="C2389" s="186" t="str">
        <f>IFERROR(__xludf.DUMMYFUNCTION("""COMPUTED_VALUE"""),"TRIO PORTA RETRATOS GLITTER")</f>
        <v>TRIO PORTA RETRATOS GLITTER</v>
      </c>
      <c r="D2389" s="186" t="str">
        <f>IFERROR(__xludf.DUMMYFUNCTION("""COMPUTED_VALUE"""),"FALSO")</f>
        <v>FALSO</v>
      </c>
    </row>
    <row r="2390">
      <c r="B2390" s="186" t="str">
        <f>IFERROR(__xludf.DUMMYFUNCTION("""COMPUTED_VALUE"""),"PI6205Y")</f>
        <v>PI6205Y</v>
      </c>
      <c r="C2390" s="186" t="str">
        <f>IFERROR(__xludf.DUMMYFUNCTION("""COMPUTED_VALUE"""),"PORTA-RETRATO GLITTER ESCRITO NAS ESTRELAS")</f>
        <v>PORTA-RETRATO GLITTER ESCRITO NAS ESTRELAS</v>
      </c>
      <c r="D2390" s="186" t="str">
        <f>IFERROR(__xludf.DUMMYFUNCTION("""COMPUTED_VALUE"""),"FALSO")</f>
        <v>FALSO</v>
      </c>
    </row>
    <row r="2391">
      <c r="B2391" s="186" t="str">
        <f>IFERROR(__xludf.DUMMYFUNCTION("""COMPUTED_VALUE"""),"PI7448Y")</f>
        <v>PI7448Y</v>
      </c>
      <c r="C2391" s="186" t="str">
        <f>IFERROR(__xludf.DUMMYFUNCTION("""COMPUTED_VALUE"""),"PORTA RETRATO RETANGULAR GLITTER")</f>
        <v>PORTA RETRATO RETANGULAR GLITTER</v>
      </c>
      <c r="D2391" s="186" t="str">
        <f>IFERROR(__xludf.DUMMYFUNCTION("""COMPUTED_VALUE"""),"FALSO")</f>
        <v>FALSO</v>
      </c>
    </row>
    <row r="2392">
      <c r="B2392" s="186" t="str">
        <f>IFERROR(__xludf.DUMMYFUNCTION("""COMPUTED_VALUE"""),"PI6182Y")</f>
        <v>PI6182Y</v>
      </c>
      <c r="C2392" s="186" t="str">
        <f>IFERROR(__xludf.DUMMYFUNCTION("""COMPUTED_VALUE"""),"LUMINÁRIA GLOBO NEBULOSA")</f>
        <v>LUMINÁRIA GLOBO NEBULOSA</v>
      </c>
      <c r="D2392" s="186" t="str">
        <f>IFERROR(__xludf.DUMMYFUNCTION("""COMPUTED_VALUE"""),"FALSO")</f>
        <v>FALSO</v>
      </c>
    </row>
    <row r="2393">
      <c r="B2393" s="186" t="str">
        <f>IFERROR(__xludf.DUMMYFUNCTION("""COMPUTED_VALUE"""),"PI6182Y")</f>
        <v>PI6182Y</v>
      </c>
      <c r="C2393" s="186" t="str">
        <f>IFERROR(__xludf.DUMMYFUNCTION("""COMPUTED_VALUE"""),"LUMINÁRIA GLOBO NEBULOSA")</f>
        <v>LUMINÁRIA GLOBO NEBULOSA</v>
      </c>
      <c r="D2393" s="186" t="str">
        <f>IFERROR(__xludf.DUMMYFUNCTION("""COMPUTED_VALUE"""),"FALSO")</f>
        <v>FALSO</v>
      </c>
    </row>
    <row r="2394">
      <c r="B2394" s="186" t="str">
        <f>IFERROR(__xludf.DUMMYFUNCTION("""COMPUTED_VALUE"""),"PI6182Y")</f>
        <v>PI6182Y</v>
      </c>
      <c r="C2394" s="186" t="str">
        <f>IFERROR(__xludf.DUMMYFUNCTION("""COMPUTED_VALUE"""),"LUMINÁRIA GLOBO NEBULOSA")</f>
        <v>LUMINÁRIA GLOBO NEBULOSA</v>
      </c>
      <c r="D2394" s="186" t="str">
        <f>IFERROR(__xludf.DUMMYFUNCTION("""COMPUTED_VALUE"""),"FALSO")</f>
        <v>FALSO</v>
      </c>
    </row>
    <row r="2395">
      <c r="B2395" s="186" t="str">
        <f>IFERROR(__xludf.DUMMYFUNCTION("""COMPUTED_VALUE"""),"PI7970Y")</f>
        <v>PI7970Y</v>
      </c>
      <c r="C2395" s="186" t="str">
        <f>IFERROR(__xludf.DUMMYFUNCTION("""COMPUTED_VALUE"""),"GLOBO MAPA PRETO E BRANCO")</f>
        <v>GLOBO MAPA PRETO E BRANCO</v>
      </c>
      <c r="D2395" s="186" t="str">
        <f>IFERROR(__xludf.DUMMYFUNCTION("""COMPUTED_VALUE"""),"FALSO")</f>
        <v>FALSO</v>
      </c>
    </row>
    <row r="2396">
      <c r="B2396" s="186" t="str">
        <f>IFERROR(__xludf.DUMMYFUNCTION("""COMPUTED_VALUE"""),"US0094")</f>
        <v>US0094</v>
      </c>
      <c r="C2396" s="186" t="str">
        <f>IFERROR(__xludf.DUMMYFUNCTION("""COMPUTED_VALUE"""),"LUMINARIA GLOBO PUSH PIN NATURAL")</f>
        <v>LUMINARIA GLOBO PUSH PIN NATURAL</v>
      </c>
      <c r="D2396" s="186" t="str">
        <f>IFERROR(__xludf.DUMMYFUNCTION("""COMPUTED_VALUE"""),"FALSO")</f>
        <v>FALSO</v>
      </c>
    </row>
    <row r="2397">
      <c r="B2397" s="186" t="str">
        <f>IFERROR(__xludf.DUMMYFUNCTION("""COMPUTED_VALUE"""),"PI6239Y")</f>
        <v>PI6239Y</v>
      </c>
      <c r="C2397" s="186" t="str">
        <f>IFERROR(__xludf.DUMMYFUNCTION("""COMPUTED_VALUE"""),"PORTA-BIJOUX DOURADO CURVAS")</f>
        <v>PORTA-BIJOUX DOURADO CURVAS</v>
      </c>
      <c r="D2397" s="186" t="str">
        <f>IFERROR(__xludf.DUMMYFUNCTION("""COMPUTED_VALUE"""),"FALSO")</f>
        <v>FALSO</v>
      </c>
    </row>
    <row r="2398">
      <c r="B2398" s="186" t="str">
        <f>IFERROR(__xludf.DUMMYFUNCTION("""COMPUTED_VALUE"""),"PI6997Y")</f>
        <v>PI6997Y</v>
      </c>
      <c r="C2398" s="186" t="str">
        <f>IFERROR(__xludf.DUMMYFUNCTION("""COMPUTED_VALUE"""),"PORTA RETRATO METAL DOURADO")</f>
        <v>PORTA RETRATO METAL DOURADO</v>
      </c>
      <c r="D2398" s="186" t="str">
        <f>IFERROR(__xludf.DUMMYFUNCTION("""COMPUTED_VALUE"""),"FALSO")</f>
        <v>FALSO</v>
      </c>
    </row>
    <row r="2399">
      <c r="B2399" s="186" t="str">
        <f>IFERROR(__xludf.DUMMYFUNCTION("""COMPUTED_VALUE"""),"PI7258Y")</f>
        <v>PI7258Y</v>
      </c>
      <c r="C2399" s="186" t="str">
        <f>IFERROR(__xludf.DUMMYFUNCTION("""COMPUTED_VALUE"""),"MASSAGEADOR MULTIFUNCIONAL DOURADO")</f>
        <v>MASSAGEADOR MULTIFUNCIONAL DOURADO</v>
      </c>
      <c r="D2399" s="186" t="str">
        <f>IFERROR(__xludf.DUMMYFUNCTION("""COMPUTED_VALUE"""),"FALSO")</f>
        <v>FALSO</v>
      </c>
    </row>
    <row r="2400">
      <c r="B2400" s="186" t="str">
        <f>IFERROR(__xludf.DUMMYFUNCTION("""COMPUTED_VALUE"""),"CS2280")</f>
        <v>CS2280</v>
      </c>
      <c r="C2400" s="186" t="str">
        <f>IFERROR(__xludf.DUMMYFUNCTION("""COMPUTED_VALUE"""),"CARTAO AVO AMOR QUE FLORESCE")</f>
        <v>CARTAO AVO AMOR QUE FLORESCE</v>
      </c>
      <c r="D2400" s="186" t="str">
        <f>IFERROR(__xludf.DUMMYFUNCTION("""COMPUTED_VALUE"""),"FALSO")</f>
        <v>FALSO</v>
      </c>
    </row>
    <row r="2401">
      <c r="B2401" s="186" t="str">
        <f>IFERROR(__xludf.DUMMYFUNCTION("""COMPUTED_VALUE"""),"PI6844Y")</f>
        <v>PI6844Y</v>
      </c>
      <c r="C2401" s="186" t="str">
        <f>IFERROR(__xludf.DUMMYFUNCTION("""COMPUTED_VALUE"""),"LUMINARIA GRANDE SALAO HP")</f>
        <v>LUMINARIA GRANDE SALAO HP</v>
      </c>
      <c r="D2401" s="186" t="str">
        <f>IFERROR(__xludf.DUMMYFUNCTION("""COMPUTED_VALUE"""),"FALSO")</f>
        <v>FALSO</v>
      </c>
    </row>
    <row r="2402">
      <c r="B2402" s="186" t="str">
        <f>IFERROR(__xludf.DUMMYFUNCTION("""COMPUTED_VALUE"""),"PI6844Y")</f>
        <v>PI6844Y</v>
      </c>
      <c r="C2402" s="186" t="str">
        <f>IFERROR(__xludf.DUMMYFUNCTION("""COMPUTED_VALUE"""),"LUMINARIA GRANDE SALAO HP")</f>
        <v>LUMINARIA GRANDE SALAO HP</v>
      </c>
      <c r="D2402" s="186" t="str">
        <f>IFERROR(__xludf.DUMMYFUNCTION("""COMPUTED_VALUE"""),"FALSO")</f>
        <v>FALSO</v>
      </c>
    </row>
    <row r="2403">
      <c r="B2403" s="186" t="str">
        <f>IFERROR(__xludf.DUMMYFUNCTION("""COMPUTED_VALUE"""),"PI6844Y")</f>
        <v>PI6844Y</v>
      </c>
      <c r="C2403" s="186" t="str">
        <f>IFERROR(__xludf.DUMMYFUNCTION("""COMPUTED_VALUE"""),"LUMINARIA GRANDE SALAO HP")</f>
        <v>LUMINARIA GRANDE SALAO HP</v>
      </c>
      <c r="D2403" s="186" t="str">
        <f>IFERROR(__xludf.DUMMYFUNCTION("""COMPUTED_VALUE"""),"FALSO")</f>
        <v>FALSO</v>
      </c>
    </row>
    <row r="2404">
      <c r="B2404" s="186" t="str">
        <f>IFERROR(__xludf.DUMMYFUNCTION("""COMPUTED_VALUE"""),"PI6462Y")</f>
        <v>PI6462Y</v>
      </c>
      <c r="C2404" s="186" t="str">
        <f>IFERROR(__xludf.DUMMYFUNCTION("""COMPUTED_VALUE"""),"CAIXA DE SOM PORTÁTIL VERDE E AMARELO")</f>
        <v>CAIXA DE SOM PORTÁTIL VERDE E AMARELO</v>
      </c>
      <c r="D2404" s="186" t="str">
        <f>IFERROR(__xludf.DUMMYFUNCTION("""COMPUTED_VALUE"""),"Anatel Category 2 - Bluetooth and Radiofrequency Comms")</f>
        <v>Anatel Category 2 - Bluetooth and Radiofrequency Comms</v>
      </c>
    </row>
    <row r="2405">
      <c r="B2405" s="186"/>
      <c r="C2405" s="186"/>
      <c r="D2405" s="186"/>
    </row>
    <row r="2406">
      <c r="B2406" s="186" t="str">
        <f>IFERROR(__xludf.DUMMYFUNCTION("""COMPUTED_VALUE"""),"PI7732Y")</f>
        <v>PI7732Y</v>
      </c>
      <c r="C2406" s="186" t="str">
        <f>IFERROR(__xludf.DUMMYFUNCTION("""COMPUTED_VALUE"""),"CANETA GATO CINZA")</f>
        <v>CANETA GATO CINZA</v>
      </c>
      <c r="D2406" s="186" t="str">
        <f>IFERROR(__xludf.DUMMYFUNCTION("""COMPUTED_VALUE"""),"INMETRO SCHOOL ARTICLES SYSTEM 5 - ORDINANCE 481")</f>
        <v>INMETRO SCHOOL ARTICLES SYSTEM 5 - ORDINANCE 481</v>
      </c>
    </row>
    <row r="2407">
      <c r="B2407" s="186" t="str">
        <f>IFERROR(__xludf.DUMMYFUNCTION("""COMPUTED_VALUE"""),"PI6480Y")</f>
        <v>PI6480Y</v>
      </c>
      <c r="C2407" s="186" t="str">
        <f>IFERROR(__xludf.DUMMYFUNCTION("""COMPUTED_VALUE"""),"REGUA DE CRESCIMENTO CRESCENDO NA VIDA")</f>
        <v>REGUA DE CRESCIMENTO CRESCENDO NA VIDA</v>
      </c>
      <c r="D2407" s="186" t="str">
        <f>IFERROR(__xludf.DUMMYFUNCTION("""COMPUTED_VALUE"""),"FALSO")</f>
        <v>FALSO</v>
      </c>
    </row>
    <row r="2408">
      <c r="B2408" s="186" t="str">
        <f>IFERROR(__xludf.DUMMYFUNCTION("""COMPUTED_VALUE"""),"PI5133Y")</f>
        <v>PI5133Y</v>
      </c>
      <c r="C2408" s="186" t="str">
        <f>IFERROR(__xludf.DUMMYFUNCTION("""COMPUTED_VALUE"""),"FAIXA SPEAKER BLUETOOTH FITDANCE PRETA")</f>
        <v>FAIXA SPEAKER BLUETOOTH FITDANCE PRETA</v>
      </c>
      <c r="D2408" s="186" t="str">
        <f>IFERROR(__xludf.DUMMYFUNCTION("""COMPUTED_VALUE"""),"Anatel Category 2 - Bluetooth Module")</f>
        <v>Anatel Category 2 - Bluetooth Module</v>
      </c>
    </row>
    <row r="2409">
      <c r="B2409" s="186" t="str">
        <f>IFERROR(__xludf.DUMMYFUNCTION("""COMPUTED_VALUE"""),"PI7569Y")</f>
        <v>PI7569Y</v>
      </c>
      <c r="C2409" s="186" t="str">
        <f>IFERROR(__xludf.DUMMYFUNCTION("""COMPUTED_VALUE"""),"CANETA HAMBURGUER")</f>
        <v>CANETA HAMBURGUER</v>
      </c>
      <c r="D2409" s="186" t="str">
        <f>IFERROR(__xludf.DUMMYFUNCTION("""COMPUTED_VALUE"""),"INMETRO SCHOOL ARTICLES SYSTEM 5 - ORDINANCE 481")</f>
        <v>INMETRO SCHOOL ARTICLES SYSTEM 5 - ORDINANCE 481</v>
      </c>
    </row>
    <row r="2410">
      <c r="B2410" s="186" t="str">
        <f>IFERROR(__xludf.DUMMYFUNCTION("""COMPUTED_VALUE"""),"PI5648Y")</f>
        <v>PI5648Y</v>
      </c>
      <c r="C2410" s="186" t="str">
        <f>IFERROR(__xludf.DUMMYFUNCTION("""COMPUTED_VALUE"""),"VENTILADOR DE MAO COM LED NOVOS ARES")</f>
        <v>VENTILADOR DE MAO COM LED NOVOS ARES</v>
      </c>
      <c r="D2410" s="186" t="str">
        <f>IFERROR(__xludf.DUMMYFUNCTION("""COMPUTED_VALUE"""),"FALSO")</f>
        <v>FALSO</v>
      </c>
    </row>
    <row r="2411">
      <c r="B2411" s="186" t="str">
        <f>IFERROR(__xludf.DUMMYFUNCTION("""COMPUTED_VALUE"""),"PI5045Y")</f>
        <v>PI5045Y</v>
      </c>
      <c r="C2411" s="186" t="str">
        <f>IFERROR(__xludf.DUMMYFUNCTION("""COMPUTED_VALUE"""),"VENTILADOR DE MAO COM LED AR DA GRACA")</f>
        <v>VENTILADOR DE MAO COM LED AR DA GRACA</v>
      </c>
      <c r="D2411" s="186" t="str">
        <f>IFERROR(__xludf.DUMMYFUNCTION("""COMPUTED_VALUE"""),"FALSO")</f>
        <v>FALSO</v>
      </c>
    </row>
    <row r="2412">
      <c r="B2412" s="186" t="str">
        <f>IFERROR(__xludf.DUMMYFUNCTION("""COMPUTED_VALUE"""),"PI5085Y")</f>
        <v>PI5085Y</v>
      </c>
      <c r="C2412" s="186" t="str">
        <f>IFERROR(__xludf.DUMMYFUNCTION("""COMPUTED_VALUE"""),"VENTILADOR DE MAO COM LED CARAO")</f>
        <v>VENTILADOR DE MAO COM LED CARAO</v>
      </c>
      <c r="D2412" s="186" t="str">
        <f>IFERROR(__xludf.DUMMYFUNCTION("""COMPUTED_VALUE"""),"FALSO")</f>
        <v>FALSO</v>
      </c>
    </row>
    <row r="2413">
      <c r="B2413" s="186" t="str">
        <f>IFERROR(__xludf.DUMMYFUNCTION("""COMPUTED_VALUE"""),"PI5058Y")</f>
        <v>PI5058Y</v>
      </c>
      <c r="C2413" s="186" t="str">
        <f>IFERROR(__xludf.DUMMYFUNCTION("""COMPUTED_VALUE"""),"VASO PENDENTE LUA")</f>
        <v>VASO PENDENTE LUA</v>
      </c>
      <c r="D2413" s="186" t="str">
        <f>IFERROR(__xludf.DUMMYFUNCTION("""COMPUTED_VALUE"""),"FALSO")</f>
        <v>FALSO</v>
      </c>
    </row>
    <row r="2414">
      <c r="B2414" s="186" t="str">
        <f>IFERROR(__xludf.DUMMYFUNCTION("""COMPUTED_VALUE"""),"PI6516Y")</f>
        <v>PI6516Y</v>
      </c>
      <c r="C2414" s="186" t="str">
        <f>IFERROR(__xludf.DUMMYFUNCTION("""COMPUTED_VALUE"""),"MASSAGEADOR PEROLADO CAFUNE")</f>
        <v>MASSAGEADOR PEROLADO CAFUNE</v>
      </c>
      <c r="D2414" s="186" t="str">
        <f>IFERROR(__xludf.DUMMYFUNCTION("""COMPUTED_VALUE"""),"FALSO")</f>
        <v>FALSO</v>
      </c>
    </row>
    <row r="2415">
      <c r="B2415" s="186" t="str">
        <f>IFERROR(__xludf.DUMMYFUNCTION("""COMPUTED_VALUE"""),"PI5132Y")</f>
        <v>PI5132Y</v>
      </c>
      <c r="C2415" s="186" t="str">
        <f>IFERROR(__xludf.DUMMYFUNCTION("""COMPUTED_VALUE"""),"HEADPHONE BLUETOOTH FITDANCE HIT E BEAT")</f>
        <v>HEADPHONE BLUETOOTH FITDANCE HIT E BEAT</v>
      </c>
      <c r="D2415" s="186" t="str">
        <f>IFERROR(__xludf.DUMMYFUNCTION("""COMPUTED_VALUE"""),"Anatel Category 2 - Bluetooth and Radiofrequency Comms")</f>
        <v>Anatel Category 2 - Bluetooth and Radiofrequency Comms</v>
      </c>
    </row>
    <row r="2416">
      <c r="B2416" s="186"/>
      <c r="C2416" s="186"/>
      <c r="D2416" s="186"/>
    </row>
    <row r="2417">
      <c r="B2417" s="186" t="str">
        <f>IFERROR(__xludf.DUMMYFUNCTION("""COMPUTED_VALUE"""),"PI5147Y")</f>
        <v>PI5147Y</v>
      </c>
      <c r="C2417" s="186" t="str">
        <f>IFERROR(__xludf.DUMMYFUNCTION("""COMPUTED_VALUE"""),"HEADPHONE BT STRANGER THINGS DUSTIN")</f>
        <v>HEADPHONE BT STRANGER THINGS DUSTIN</v>
      </c>
      <c r="D2417" s="186" t="str">
        <f>IFERROR(__xludf.DUMMYFUNCTION("""COMPUTED_VALUE"""),"Anatel Category 2 - Bluetooth Module")</f>
        <v>Anatel Category 2 - Bluetooth Module</v>
      </c>
    </row>
    <row r="2418">
      <c r="B2418" s="186" t="str">
        <f>IFERROR(__xludf.DUMMYFUNCTION("""COMPUTED_VALUE"""),"PI4935Y")</f>
        <v>PI4935Y</v>
      </c>
      <c r="C2418" s="186" t="str">
        <f>IFERROR(__xludf.DUMMYFUNCTION("""COMPUTED_VALUE"""),"HEADSET COM LED GAMER PARTIDA INICIADA")</f>
        <v>HEADSET COM LED GAMER PARTIDA INICIADA</v>
      </c>
      <c r="D2418" s="186" t="str">
        <f>IFERROR(__xludf.DUMMYFUNCTION("""COMPUTED_VALUE"""),"FALSO")</f>
        <v>FALSO</v>
      </c>
    </row>
    <row r="2419">
      <c r="B2419" s="186" t="str">
        <f>IFERROR(__xludf.DUMMYFUNCTION("""COMPUTED_VALUE"""),"PI5439Y")</f>
        <v>PI5439Y</v>
      </c>
      <c r="C2419" s="186" t="str">
        <f>IFERROR(__xludf.DUMMYFUNCTION("""COMPUTED_VALUE"""),"LUMINARIA LED NEON CORACAO LOVE")</f>
        <v>LUMINARIA LED NEON CORACAO LOVE</v>
      </c>
      <c r="D2419" s="186" t="str">
        <f>IFERROR(__xludf.DUMMYFUNCTION("""COMPUTED_VALUE"""),"FALSO")</f>
        <v>FALSO</v>
      </c>
    </row>
    <row r="2420">
      <c r="B2420" s="186" t="str">
        <f>IFERROR(__xludf.DUMMYFUNCTION("""COMPUTED_VALUE"""),"PI4859Y")</f>
        <v>PI4859Y</v>
      </c>
      <c r="C2420" s="186" t="str">
        <f>IFERROR(__xludf.DUMMYFUNCTION("""COMPUTED_VALUE"""),"ALMOFADA MASSAGEADORA AQUECEDOR VERDE")</f>
        <v>ALMOFADA MASSAGEADORA AQUECEDOR VERDE</v>
      </c>
      <c r="D2420" s="186" t="str">
        <f>IFERROR(__xludf.DUMMYFUNCTION("""COMPUTED_VALUE"""),"FALSO")</f>
        <v>FALSO</v>
      </c>
    </row>
    <row r="2421">
      <c r="B2421" s="186" t="str">
        <f>IFERROR(__xludf.DUMMYFUNCTION("""COMPUTED_VALUE"""),"PI4859Y")</f>
        <v>PI4859Y</v>
      </c>
      <c r="C2421" s="186" t="str">
        <f>IFERROR(__xludf.DUMMYFUNCTION("""COMPUTED_VALUE"""),"ALMOFADA MASSAGEADORA AQUECEDOR VERDE")</f>
        <v>ALMOFADA MASSAGEADORA AQUECEDOR VERDE</v>
      </c>
      <c r="D2421" s="186" t="str">
        <f>IFERROR(__xludf.DUMMYFUNCTION("""COMPUTED_VALUE"""),"FALSO")</f>
        <v>FALSO</v>
      </c>
    </row>
    <row r="2422">
      <c r="B2422" s="186" t="str">
        <f>IFERROR(__xludf.DUMMYFUNCTION("""COMPUTED_VALUE"""),"PI4859Y")</f>
        <v>PI4859Y</v>
      </c>
      <c r="C2422" s="186" t="str">
        <f>IFERROR(__xludf.DUMMYFUNCTION("""COMPUTED_VALUE"""),"ALMOFADA MASSAGEADORA AQUECEDOR VERDE")</f>
        <v>ALMOFADA MASSAGEADORA AQUECEDOR VERDE</v>
      </c>
      <c r="D2422" s="186" t="str">
        <f>IFERROR(__xludf.DUMMYFUNCTION("""COMPUTED_VALUE"""),"FALSO")</f>
        <v>FALSO</v>
      </c>
    </row>
    <row r="2423">
      <c r="B2423" s="186" t="str">
        <f>IFERROR(__xludf.DUMMYFUNCTION("""COMPUTED_VALUE"""),"PI7342Y")</f>
        <v>PI7342Y</v>
      </c>
      <c r="C2423" s="186" t="str">
        <f>IFERROR(__xludf.DUMMYFUNCTION("""COMPUTED_VALUE"""),"ALMOFADA MASSAGEADORA AQUECEDOR SPA")</f>
        <v>ALMOFADA MASSAGEADORA AQUECEDOR SPA</v>
      </c>
      <c r="D2423" s="186" t="str">
        <f>IFERROR(__xludf.DUMMYFUNCTION("""COMPUTED_VALUE"""),"FALSO")</f>
        <v>FALSO</v>
      </c>
    </row>
    <row r="2424">
      <c r="B2424" s="186" t="str">
        <f>IFERROR(__xludf.DUMMYFUNCTION("""COMPUTED_VALUE"""),"PI5266Y")</f>
        <v>PI5266Y</v>
      </c>
      <c r="C2424" s="186" t="str">
        <f>IFERROR(__xludf.DUMMYFUNCTION("""COMPUTED_VALUE"""),"ALMOFADA COM AQUECEDOR ME CHAMA")</f>
        <v>ALMOFADA COM AQUECEDOR ME CHAMA</v>
      </c>
      <c r="D2424" s="186" t="str">
        <f>IFERROR(__xludf.DUMMYFUNCTION("""COMPUTED_VALUE"""),"FALSO")</f>
        <v>FALSO</v>
      </c>
    </row>
    <row r="2425">
      <c r="B2425" s="186" t="str">
        <f>IFERROR(__xludf.DUMMYFUNCTION("""COMPUTED_VALUE"""),"PI5200Y")</f>
        <v>PI5200Y</v>
      </c>
      <c r="C2425" s="186" t="str">
        <f>IFERROR(__xludf.DUMMYFUNCTION("""COMPUTED_VALUE"""),"CANECA ELETRICA PARA CARRO ESQUENTA")</f>
        <v>CANECA ELETRICA PARA CARRO ESQUENTA</v>
      </c>
      <c r="D2425" s="186" t="str">
        <f>IFERROR(__xludf.DUMMYFUNCTION("""COMPUTED_VALUE"""),"FALSO")</f>
        <v>FALSO</v>
      </c>
    </row>
    <row r="2426">
      <c r="B2426" s="186" t="str">
        <f>IFERROR(__xludf.DUMMYFUNCTION("""COMPUTED_VALUE"""),"PI5241Y")</f>
        <v>PI5241Y</v>
      </c>
      <c r="C2426" s="186" t="str">
        <f>IFERROR(__xludf.DUMMYFUNCTION("""COMPUTED_VALUE"""),"PANTUFA COM AQUECEDOR G PAO")</f>
        <v>PANTUFA COM AQUECEDOR G PAO</v>
      </c>
      <c r="D2426" s="186" t="str">
        <f>IFERROR(__xludf.DUMMYFUNCTION("""COMPUTED_VALUE"""),"FALSO")</f>
        <v>FALSO</v>
      </c>
    </row>
    <row r="2427">
      <c r="B2427" s="186" t="str">
        <f>IFERROR(__xludf.DUMMYFUNCTION("""COMPUTED_VALUE"""),"PI5183Y")</f>
        <v>PI5183Y</v>
      </c>
      <c r="C2427" s="186" t="str">
        <f>IFERROR(__xludf.DUMMYFUNCTION("""COMPUTED_VALUE"""),"PANTUFA COM AQUECEDOR HORA DO ESQUENTA")</f>
        <v>PANTUFA COM AQUECEDOR HORA DO ESQUENTA</v>
      </c>
      <c r="D2427" s="186" t="str">
        <f>IFERROR(__xludf.DUMMYFUNCTION("""COMPUTED_VALUE"""),"FALSO")</f>
        <v>FALSO</v>
      </c>
    </row>
    <row r="2428">
      <c r="B2428" s="186" t="str">
        <f>IFERROR(__xludf.DUMMYFUNCTION("""COMPUTED_VALUE"""),"PI5182Y")</f>
        <v>PI5182Y</v>
      </c>
      <c r="C2428" s="186" t="str">
        <f>IFERROR(__xludf.DUMMYFUNCTION("""COMPUTED_VALUE"""),"PANTUFA COM AQUECEDOR QUENTE VIU")</f>
        <v>PANTUFA COM AQUECEDOR QUENTE VIU</v>
      </c>
      <c r="D2428" s="186" t="str">
        <f>IFERROR(__xludf.DUMMYFUNCTION("""COMPUTED_VALUE"""),"FALSO")</f>
        <v>FALSO</v>
      </c>
    </row>
    <row r="2429">
      <c r="B2429" s="186" t="str">
        <f>IFERROR(__xludf.DUMMYFUNCTION("""COMPUTED_VALUE"""),"PI6083Y")</f>
        <v>PI6083Y</v>
      </c>
      <c r="C2429" s="186" t="str">
        <f>IFERROR(__xludf.DUMMYFUNCTION("""COMPUTED_VALUE"""),"SUPORTE MULTIUSO DE POLIRESINA")</f>
        <v>SUPORTE MULTIUSO DE POLIRESINA</v>
      </c>
      <c r="D2429" s="186" t="str">
        <f>IFERROR(__xludf.DUMMYFUNCTION("""COMPUTED_VALUE"""),"FALSO")</f>
        <v>FALSO</v>
      </c>
    </row>
    <row r="2430">
      <c r="B2430" s="186" t="str">
        <f>IFERROR(__xludf.DUMMYFUNCTION("""COMPUTED_VALUE"""),"PI5770Y")</f>
        <v>PI5770Y</v>
      </c>
      <c r="C2430" s="186" t="str">
        <f>IFERROR(__xludf.DUMMYFUNCTION("""COMPUTED_VALUE"""),"KIT AMPULHETA MISTICO TEMPO TODO MEU")</f>
        <v>KIT AMPULHETA MISTICO TEMPO TODO MEU</v>
      </c>
      <c r="D2430" s="186" t="str">
        <f>IFERROR(__xludf.DUMMYFUNCTION("""COMPUTED_VALUE"""),"FALSO")</f>
        <v>FALSO</v>
      </c>
    </row>
    <row r="2431">
      <c r="B2431" s="186" t="str">
        <f>IFERROR(__xludf.DUMMYFUNCTION("""COMPUTED_VALUE"""),"AC2205Y")</f>
        <v>AC2205Y</v>
      </c>
      <c r="C2431" s="186" t="str">
        <f>IFERROR(__xludf.DUMMYFUNCTION("""COMPUTED_VALUE"""),"SQUISHADINHO BORIS VM")</f>
        <v>SQUISHADINHO BORIS VM</v>
      </c>
      <c r="D2431" s="186" t="str">
        <f>IFERROR(__xludf.DUMMYFUNCTION("""COMPUTED_VALUE"""),"FALSO")</f>
        <v>FALSO</v>
      </c>
    </row>
    <row r="2432">
      <c r="B2432" s="186" t="str">
        <f>IFERROR(__xludf.DUMMYFUNCTION("""COMPUTED_VALUE"""),"PI5178Y")</f>
        <v>PI5178Y</v>
      </c>
      <c r="C2432" s="186" t="str">
        <f>IFERROR(__xludf.DUMMYFUNCTION("""COMPUTED_VALUE"""),"AROMATIZADOR E UMIDIFICADOR MONTANHA")</f>
        <v>AROMATIZADOR E UMIDIFICADOR MONTANHA</v>
      </c>
      <c r="D2432" s="186" t="str">
        <f>IFERROR(__xludf.DUMMYFUNCTION("""COMPUTED_VALUE"""),"INMETRO Electrical Security System 5 (Factory) - Ordinance 371")</f>
        <v>INMETRO Electrical Security System 5 (Factory) - Ordinance 371</v>
      </c>
    </row>
    <row r="2433">
      <c r="B2433" s="186" t="str">
        <f>IFERROR(__xludf.DUMMYFUNCTION("""COMPUTED_VALUE"""),"PI5163Y")</f>
        <v>PI5163Y</v>
      </c>
      <c r="C2433" s="186" t="str">
        <f>IFERROR(__xludf.DUMMYFUNCTION("""COMPUTED_VALUE"""),"MAQUINA DE SORVETE 127V NUMA NICE")</f>
        <v>MAQUINA DE SORVETE 127V NUMA NICE</v>
      </c>
      <c r="D2433" s="186" t="str">
        <f>IFERROR(__xludf.DUMMYFUNCTION("""COMPUTED_VALUE"""),"INMETRO Electrical Security System 5 (Factory)")</f>
        <v>INMETRO Electrical Security System 5 (Factory)</v>
      </c>
    </row>
    <row r="2434">
      <c r="B2434" s="186" t="str">
        <f>IFERROR(__xludf.DUMMYFUNCTION("""COMPUTED_VALUE"""),"PI5164Y")</f>
        <v>PI5164Y</v>
      </c>
      <c r="C2434" s="186" t="str">
        <f>IFERROR(__xludf.DUMMYFUNCTION("""COMPUTED_VALUE"""),"MAQUINA DE SORVETE 220V NUMA NICE")</f>
        <v>MAQUINA DE SORVETE 220V NUMA NICE</v>
      </c>
      <c r="D2434" s="186" t="str">
        <f>IFERROR(__xludf.DUMMYFUNCTION("""COMPUTED_VALUE"""),"INMETRO Electrical Security System 5 (Factory)")</f>
        <v>INMETRO Electrical Security System 5 (Factory)</v>
      </c>
    </row>
    <row r="2435">
      <c r="B2435" s="186" t="str">
        <f>IFERROR(__xludf.DUMMYFUNCTION("""COMPUTED_VALUE"""),"PI6302Y")</f>
        <v>PI6302Y</v>
      </c>
      <c r="C2435" s="186" t="str">
        <f>IFERROR(__xludf.DUMMYFUNCTION("""COMPUTED_VALUE"""),"PÉCOLÉ DE MORANGO")</f>
        <v>PÉCOLÉ DE MORANGO</v>
      </c>
      <c r="D2435" s="186" t="str">
        <f>IFERROR(__xludf.DUMMYFUNCTION("""COMPUTED_VALUE"""),"FALSO")</f>
        <v>FALSO</v>
      </c>
    </row>
    <row r="2436">
      <c r="B2436" s="186" t="str">
        <f>IFERROR(__xludf.DUMMYFUNCTION("""COMPUTED_VALUE"""),"PI6301Y")</f>
        <v>PI6301Y</v>
      </c>
      <c r="C2436" s="186" t="str">
        <f>IFERROR(__xludf.DUMMYFUNCTION("""COMPUTED_VALUE"""),"PÉCOLÉ DE MELANCIA")</f>
        <v>PÉCOLÉ DE MELANCIA</v>
      </c>
      <c r="D2436" s="186" t="str">
        <f>IFERROR(__xludf.DUMMYFUNCTION("""COMPUTED_VALUE"""),"FALSO")</f>
        <v>FALSO</v>
      </c>
    </row>
    <row r="2437">
      <c r="B2437" s="186" t="str">
        <f>IFERROR(__xludf.DUMMYFUNCTION("""COMPUTED_VALUE"""),"PI5990Y")</f>
        <v>PI5990Y</v>
      </c>
      <c r="C2437" s="186" t="str">
        <f>IFERROR(__xludf.DUMMYFUNCTION("""COMPUTED_VALUE"""),"FORMA DE GELO PARA WHISKY")</f>
        <v>FORMA DE GELO PARA WHISKY</v>
      </c>
      <c r="D2437" s="186" t="str">
        <f>IFERROR(__xludf.DUMMYFUNCTION("""COMPUTED_VALUE"""),"FALSO")</f>
        <v>FALSO</v>
      </c>
    </row>
    <row r="2438">
      <c r="B2438" s="186" t="str">
        <f>IFERROR(__xludf.DUMMYFUNCTION("""COMPUTED_VALUE"""),"AC2220")</f>
        <v>AC2220</v>
      </c>
      <c r="C2438" s="186"/>
      <c r="D2438" s="186" t="str">
        <f>IFERROR(__xludf.DUMMYFUNCTION("""COMPUTED_VALUE"""),"FALSO")</f>
        <v>FALSO</v>
      </c>
    </row>
    <row r="2439">
      <c r="B2439" s="186" t="str">
        <f>IFERROR(__xludf.DUMMYFUNCTION("""COMPUTED_VALUE"""),"PI5763Y")</f>
        <v>PI5763Y</v>
      </c>
      <c r="C2439" s="186" t="str">
        <f>IFERROR(__xludf.DUMMYFUNCTION("""COMPUTED_VALUE"""),"PORTA INCENSO MISTICO SIGNOS")</f>
        <v>PORTA INCENSO MISTICO SIGNOS</v>
      </c>
      <c r="D2439" s="186" t="str">
        <f>IFERROR(__xludf.DUMMYFUNCTION("""COMPUTED_VALUE"""),"FALSO")</f>
        <v>FALSO</v>
      </c>
    </row>
    <row r="2440">
      <c r="B2440" s="186" t="str">
        <f>IFERROR(__xludf.DUMMYFUNCTION("""COMPUTED_VALUE"""),"PI5763Y")</f>
        <v>PI5763Y</v>
      </c>
      <c r="C2440" s="186" t="str">
        <f>IFERROR(__xludf.DUMMYFUNCTION("""COMPUTED_VALUE"""),"PORTA INCENSO MISTICO SIGNOS")</f>
        <v>PORTA INCENSO MISTICO SIGNOS</v>
      </c>
      <c r="D2440" s="186" t="str">
        <f>IFERROR(__xludf.DUMMYFUNCTION("""COMPUTED_VALUE"""),"FALSO")</f>
        <v>FALSO</v>
      </c>
    </row>
    <row r="2441">
      <c r="B2441" s="186" t="str">
        <f>IFERROR(__xludf.DUMMYFUNCTION("""COMPUTED_VALUE"""),"PI7194Y")</f>
        <v>PI7194Y</v>
      </c>
      <c r="C2441" s="186" t="str">
        <f>IFERROR(__xludf.DUMMYFUNCTION("""COMPUTED_VALUE"""),"PORTA INCENSO ZODIACO")</f>
        <v>PORTA INCENSO ZODIACO</v>
      </c>
      <c r="D2441" s="186" t="str">
        <f>IFERROR(__xludf.DUMMYFUNCTION("""COMPUTED_VALUE"""),"FALSO")</f>
        <v>FALSO</v>
      </c>
    </row>
    <row r="2442">
      <c r="B2442" s="186" t="str">
        <f>IFERROR(__xludf.DUMMYFUNCTION("""COMPUTED_VALUE"""),"PI5064Y")</f>
        <v>PI5064Y</v>
      </c>
      <c r="C2442" s="186" t="str">
        <f>IFERROR(__xludf.DUMMYFUNCTION("""COMPUTED_VALUE"""),"PORTA INCENSO CAPIVARA VIBES")</f>
        <v>PORTA INCENSO CAPIVARA VIBES</v>
      </c>
      <c r="D2442" s="186" t="str">
        <f>IFERROR(__xludf.DUMMYFUNCTION("""COMPUTED_VALUE"""),"FALSO")</f>
        <v>FALSO</v>
      </c>
    </row>
    <row r="2443">
      <c r="B2443" s="186" t="str">
        <f>IFERROR(__xludf.DUMMYFUNCTION("""COMPUTED_VALUE"""),"PI5057Y")</f>
        <v>PI5057Y</v>
      </c>
      <c r="C2443" s="186" t="str">
        <f>IFERROR(__xludf.DUMMYFUNCTION("""COMPUTED_VALUE"""),"PLANTARIO INDOOR COM LED HORTA DA CASA")</f>
        <v>PLANTARIO INDOOR COM LED HORTA DA CASA</v>
      </c>
      <c r="D2443" s="186" t="str">
        <f>IFERROR(__xludf.DUMMYFUNCTION("""COMPUTED_VALUE"""),"FALSO")</f>
        <v>FALSO</v>
      </c>
    </row>
    <row r="2444">
      <c r="B2444" s="186" t="str">
        <f>IFERROR(__xludf.DUMMYFUNCTION("""COMPUTED_VALUE"""),"PI5074Y")</f>
        <v>PI5074Y</v>
      </c>
      <c r="C2444" s="186" t="str">
        <f>IFERROR(__xludf.DUMMYFUNCTION("""COMPUTED_VALUE"""),"PUFE INFLAVEL COM LED NETFLIX AREA VIP")</f>
        <v>PUFE INFLAVEL COM LED NETFLIX AREA VIP</v>
      </c>
      <c r="D2444" s="186" t="str">
        <f>IFERROR(__xludf.DUMMYFUNCTION("""COMPUTED_VALUE"""),"FALSO")</f>
        <v>FALSO</v>
      </c>
    </row>
    <row r="2445">
      <c r="B2445" s="186" t="str">
        <f>IFERROR(__xludf.DUMMYFUNCTION("""COMPUTED_VALUE"""),"PI5212Y")</f>
        <v>PI5212Y</v>
      </c>
      <c r="C2445" s="186" t="str">
        <f>IFERROR(__xludf.DUMMYFUNCTION("""COMPUTED_VALUE"""),"GARRAFA COM INFUSOR ENFIM OS REFRESCOS")</f>
        <v>GARRAFA COM INFUSOR ENFIM OS REFRESCOS</v>
      </c>
      <c r="D2445" s="186" t="str">
        <f>IFERROR(__xludf.DUMMYFUNCTION("""COMPUTED_VALUE"""),"FALSO")</f>
        <v>FALSO</v>
      </c>
    </row>
    <row r="2446">
      <c r="B2446" s="186" t="str">
        <f>IFERROR(__xludf.DUMMYFUNCTION("""COMPUTED_VALUE"""),"PI5212Y")</f>
        <v>PI5212Y</v>
      </c>
      <c r="C2446" s="186" t="str">
        <f>IFERROR(__xludf.DUMMYFUNCTION("""COMPUTED_VALUE"""),"GARRAFA COM INFUSOR ENFIM OS REFRESCOS")</f>
        <v>GARRAFA COM INFUSOR ENFIM OS REFRESCOS</v>
      </c>
      <c r="D2446" s="186" t="str">
        <f>IFERROR(__xludf.DUMMYFUNCTION("""COMPUTED_VALUE"""),"FALSO")</f>
        <v>FALSO</v>
      </c>
    </row>
    <row r="2447">
      <c r="B2447" s="186" t="str">
        <f>IFERROR(__xludf.DUMMYFUNCTION("""COMPUTED_VALUE"""),"PI5173Y")</f>
        <v>PI5173Y</v>
      </c>
      <c r="C2447" s="186" t="str">
        <f>IFERROR(__xludf.DUMMYFUNCTION("""COMPUTED_VALUE"""),"MINIALBUM PARA FOTOS INSTANTANEAS BRILHO")</f>
        <v>MINIALBUM PARA FOTOS INSTANTANEAS BRILHO</v>
      </c>
      <c r="D2447" s="186" t="str">
        <f>IFERROR(__xludf.DUMMYFUNCTION("""COMPUTED_VALUE"""),"FALSO")</f>
        <v>FALSO</v>
      </c>
    </row>
    <row r="2448">
      <c r="B2448" s="186" t="str">
        <f>IFERROR(__xludf.DUMMYFUNCTION("""COMPUTED_VALUE"""),"PI5174Y")</f>
        <v>PI5174Y</v>
      </c>
      <c r="C2448" s="186" t="str">
        <f>IFERROR(__xludf.DUMMYFUNCTION("""COMPUTED_VALUE"""),"MINIALBUM PARA FOTOS INSTANTANEAS SMILE")</f>
        <v>MINIALBUM PARA FOTOS INSTANTANEAS SMILE</v>
      </c>
      <c r="D2448" s="186" t="str">
        <f>IFERROR(__xludf.DUMMYFUNCTION("""COMPUTED_VALUE"""),"FALSO")</f>
        <v>FALSO</v>
      </c>
    </row>
    <row r="2449">
      <c r="B2449" s="186" t="str">
        <f>IFERROR(__xludf.DUMMYFUNCTION("""COMPUTED_VALUE"""),"PI5027Y")</f>
        <v>PI5027Y</v>
      </c>
      <c r="C2449" s="186" t="str">
        <f>IFERROR(__xludf.DUMMYFUNCTION("""COMPUTED_VALUE"""),"BOLSA POCHETE TERMICA ZECA PAGODINHO")</f>
        <v>BOLSA POCHETE TERMICA ZECA PAGODINHO</v>
      </c>
      <c r="D2449" s="186" t="str">
        <f>IFERROR(__xludf.DUMMYFUNCTION("""COMPUTED_VALUE"""),"FALSO")</f>
        <v>FALSO</v>
      </c>
    </row>
    <row r="2450">
      <c r="B2450" s="186" t="str">
        <f>IFERROR(__xludf.DUMMYFUNCTION("""COMPUTED_VALUE"""),"PI5465Y")</f>
        <v>PI5465Y</v>
      </c>
      <c r="C2450" s="186" t="str">
        <f>IFERROR(__xludf.DUMMYFUNCTION("""COMPUTED_VALUE"""),"KIT CAFETEIRA ITALIANA AMOR")</f>
        <v>KIT CAFETEIRA ITALIANA AMOR</v>
      </c>
      <c r="D2450" s="186" t="str">
        <f>IFERROR(__xludf.DUMMYFUNCTION("""COMPUTED_VALUE"""),"FALSO")</f>
        <v>FALSO</v>
      </c>
    </row>
    <row r="2451">
      <c r="B2451" s="186" t="str">
        <f>IFERROR(__xludf.DUMMYFUNCTION("""COMPUTED_VALUE"""),"PI5466Y")</f>
        <v>PI5466Y</v>
      </c>
      <c r="C2451" s="186" t="str">
        <f>IFERROR(__xludf.DUMMYFUNCTION("""COMPUTED_VALUE"""),"KIT CAFETEIRA ITALIANA CAFE FORTE")</f>
        <v>KIT CAFETEIRA ITALIANA CAFE FORTE</v>
      </c>
      <c r="D2451" s="186" t="str">
        <f>IFERROR(__xludf.DUMMYFUNCTION("""COMPUTED_VALUE"""),"FALSO")</f>
        <v>FALSO</v>
      </c>
    </row>
    <row r="2452">
      <c r="B2452" s="186" t="str">
        <f>IFERROR(__xludf.DUMMYFUNCTION("""COMPUTED_VALUE"""),"PI5535Y")</f>
        <v>PI5535Y</v>
      </c>
      <c r="C2452" s="186" t="str">
        <f>IFERROR(__xludf.DUMMYFUNCTION("""COMPUTED_VALUE"""),"JOGO JENGA COM COPOS E DOSE")</f>
        <v>JOGO JENGA COM COPOS E DOSE</v>
      </c>
      <c r="D2452" s="186" t="str">
        <f>IFERROR(__xludf.DUMMYFUNCTION("""COMPUTED_VALUE"""),"FALSO")</f>
        <v>FALSO</v>
      </c>
    </row>
    <row r="2453">
      <c r="B2453" s="186" t="str">
        <f>IFERROR(__xludf.DUMMYFUNCTION("""COMPUTED_VALUE"""),"PI5535Y")</f>
        <v>PI5535Y</v>
      </c>
      <c r="C2453" s="186" t="str">
        <f>IFERROR(__xludf.DUMMYFUNCTION("""COMPUTED_VALUE"""),"JOGO JENGA COM COPOS E DOSE")</f>
        <v>JOGO JENGA COM COPOS E DOSE</v>
      </c>
      <c r="D2453" s="186" t="str">
        <f>IFERROR(__xludf.DUMMYFUNCTION("""COMPUTED_VALUE"""),"FALSO")</f>
        <v>FALSO</v>
      </c>
    </row>
    <row r="2454">
      <c r="B2454" s="186" t="str">
        <f>IFERROR(__xludf.DUMMYFUNCTION("""COMPUTED_VALUE"""),"PI7701Y")</f>
        <v>PI7701Y</v>
      </c>
      <c r="C2454" s="186" t="str">
        <f>IFERROR(__xludf.DUMMYFUNCTION("""COMPUTED_VALUE"""),"PORTA BIJOUX CORACAO GUARDO MIMOS")</f>
        <v>PORTA BIJOUX CORACAO GUARDO MIMOS</v>
      </c>
      <c r="D2454" s="186" t="str">
        <f>IFERROR(__xludf.DUMMYFUNCTION("""COMPUTED_VALUE"""),"FALSO")</f>
        <v>FALSO</v>
      </c>
    </row>
    <row r="2455">
      <c r="B2455" s="186" t="str">
        <f>IFERROR(__xludf.DUMMYFUNCTION("""COMPUTED_VALUE"""),"PI6200Y")</f>
        <v>PI6200Y</v>
      </c>
      <c r="C2455" s="186" t="str">
        <f>IFERROR(__xludf.DUMMYFUNCTION("""COMPUTED_VALUE"""),"PORTA BIJOUX CONSTELAÇÃO")</f>
        <v>PORTA BIJOUX CONSTELAÇÃO</v>
      </c>
      <c r="D2455" s="186" t="str">
        <f>IFERROR(__xludf.DUMMYFUNCTION("""COMPUTED_VALUE"""),"FALSO")</f>
        <v>FALSO</v>
      </c>
    </row>
    <row r="2456">
      <c r="B2456" s="186" t="str">
        <f>IFERROR(__xludf.DUMMYFUNCTION("""COMPUTED_VALUE"""),"PI5275Y")</f>
        <v>PI5275Y</v>
      </c>
      <c r="C2456" s="186" t="str">
        <f>IFERROR(__xludf.DUMMYFUNCTION("""COMPUTED_VALUE"""),"PORTA BIJOUX LED HP OJESED")</f>
        <v>PORTA BIJOUX LED HP OJESED</v>
      </c>
      <c r="D2456" s="186" t="str">
        <f>IFERROR(__xludf.DUMMYFUNCTION("""COMPUTED_VALUE"""),"FALSO")</f>
        <v>FALSO</v>
      </c>
    </row>
    <row r="2457">
      <c r="B2457" s="186" t="str">
        <f>IFERROR(__xludf.DUMMYFUNCTION("""COMPUTED_VALUE"""),"PI5228Y")</f>
        <v>PI5228Y</v>
      </c>
      <c r="C2457" s="186" t="str">
        <f>IFERROR(__xludf.DUMMYFUNCTION("""COMPUTED_VALUE"""),"PORTA BIJOUX CAIXA DE FOSFORO CHAMA")</f>
        <v>PORTA BIJOUX CAIXA DE FOSFORO CHAMA</v>
      </c>
      <c r="D2457" s="186" t="str">
        <f>IFERROR(__xludf.DUMMYFUNCTION("""COMPUTED_VALUE"""),"FALSO")</f>
        <v>FALSO</v>
      </c>
    </row>
    <row r="2458">
      <c r="B2458" s="186" t="str">
        <f>IFERROR(__xludf.DUMMYFUNCTION("""COMPUTED_VALUE"""),"PI7112Y")</f>
        <v>PI7112Y</v>
      </c>
      <c r="C2458" s="186" t="str">
        <f>IFERROR(__xludf.DUMMYFUNCTION("""COMPUTED_VALUE"""),"PORTA JOIAS DE VIAGEM GATINHO")</f>
        <v>PORTA JOIAS DE VIAGEM GATINHO</v>
      </c>
      <c r="D2458" s="186" t="str">
        <f>IFERROR(__xludf.DUMMYFUNCTION("""COMPUTED_VALUE"""),"FALSO")</f>
        <v>FALSO</v>
      </c>
    </row>
    <row r="2459">
      <c r="B2459" s="186" t="str">
        <f>IFERROR(__xludf.DUMMYFUNCTION("""COMPUTED_VALUE"""),"PI6631Y")</f>
        <v>PI6631Y</v>
      </c>
      <c r="C2459" s="186" t="str">
        <f>IFERROR(__xludf.DUMMYFUNCTION("""COMPUTED_VALUE"""),"LIVRO PORTA BIJOUX POR ONDE FLOR")</f>
        <v>LIVRO PORTA BIJOUX POR ONDE FLOR</v>
      </c>
      <c r="D2459" s="186" t="str">
        <f>IFERROR(__xludf.DUMMYFUNCTION("""COMPUTED_VALUE"""),"FALSO")</f>
        <v>FALSO</v>
      </c>
    </row>
    <row r="2460">
      <c r="B2460" s="186" t="str">
        <f>IFERROR(__xludf.DUMMYFUNCTION("""COMPUTED_VALUE"""),"PI7496Y")</f>
        <v>PI7496Y</v>
      </c>
      <c r="C2460" s="186" t="str">
        <f>IFERROR(__xludf.DUMMYFUNCTION("""COMPUTED_VALUE"""),"PORTA BIJOUX BOTANICA")</f>
        <v>PORTA BIJOUX BOTANICA</v>
      </c>
      <c r="D2460" s="186" t="str">
        <f>IFERROR(__xludf.DUMMYFUNCTION("""COMPUTED_VALUE"""),"FALSO")</f>
        <v>FALSO</v>
      </c>
    </row>
    <row r="2461">
      <c r="B2461" s="186" t="str">
        <f>IFERROR(__xludf.DUMMYFUNCTION("""COMPUTED_VALUE"""),"PI5771Y")</f>
        <v>PI5771Y</v>
      </c>
      <c r="C2461" s="186" t="str">
        <f>IFERROR(__xludf.DUMMYFUNCTION("""COMPUTED_VALUE"""),"PORTA BIJOUX MISTICO MAO TAROT")</f>
        <v>PORTA BIJOUX MISTICO MAO TAROT</v>
      </c>
      <c r="D2461" s="186" t="str">
        <f>IFERROR(__xludf.DUMMYFUNCTION("""COMPUTED_VALUE"""),"FALSO")</f>
        <v>FALSO</v>
      </c>
    </row>
    <row r="2462">
      <c r="B2462" s="186" t="str">
        <f>IFERROR(__xludf.DUMMYFUNCTION("""COMPUTED_VALUE"""),"PI6193Y")</f>
        <v>PI6193Y</v>
      </c>
      <c r="C2462" s="186" t="str">
        <f>IFERROR(__xludf.DUMMYFUNCTION("""COMPUTED_VALUE"""),"PORTA BIJOUX NOVO COMEÇO")</f>
        <v>PORTA BIJOUX NOVO COMEÇO</v>
      </c>
      <c r="D2462" s="186" t="str">
        <f>IFERROR(__xludf.DUMMYFUNCTION("""COMPUTED_VALUE"""),"FALSO")</f>
        <v>FALSO</v>
      </c>
    </row>
    <row r="2463">
      <c r="B2463" s="186" t="str">
        <f>IFERROR(__xludf.DUMMYFUNCTION("""COMPUTED_VALUE"""),"PI5177Y")</f>
        <v>PI5177Y</v>
      </c>
      <c r="C2463" s="186" t="str">
        <f>IFERROR(__xludf.DUMMYFUNCTION("""COMPUTED_VALUE"""),"PORTA BIJOUX COM LED FOLHA AMOR PROPRIO")</f>
        <v>PORTA BIJOUX COM LED FOLHA AMOR PROPRIO</v>
      </c>
      <c r="D2463" s="186" t="str">
        <f>IFERROR(__xludf.DUMMYFUNCTION("""COMPUTED_VALUE"""),"FALSO")</f>
        <v>FALSO</v>
      </c>
    </row>
    <row r="2464">
      <c r="B2464" s="186" t="str">
        <f>IFERROR(__xludf.DUMMYFUNCTION("""COMPUTED_VALUE"""),"PI6261Y")</f>
        <v>PI6261Y</v>
      </c>
      <c r="C2464" s="186" t="str">
        <f>IFERROR(__xludf.DUMMYFUNCTION("""COMPUTED_VALUE"""),"ESPELHO PORTA-BIJOUX SEMPRE PRONTA")</f>
        <v>ESPELHO PORTA-BIJOUX SEMPRE PRONTA</v>
      </c>
      <c r="D2464" s="186" t="str">
        <f>IFERROR(__xludf.DUMMYFUNCTION("""COMPUTED_VALUE"""),"FALSO")</f>
        <v>FALSO</v>
      </c>
    </row>
    <row r="2465">
      <c r="B2465" s="186" t="str">
        <f>IFERROR(__xludf.DUMMYFUNCTION("""COMPUTED_VALUE"""),"PI6296Y")</f>
        <v>PI6296Y</v>
      </c>
      <c r="C2465" s="186" t="str">
        <f>IFERROR(__xludf.DUMMYFUNCTION("""COMPUTED_VALUE"""),"PORTA-BIJOUX PEQUENOS DETALHES")</f>
        <v>PORTA-BIJOUX PEQUENOS DETALHES</v>
      </c>
      <c r="D2465" s="186" t="str">
        <f>IFERROR(__xludf.DUMMYFUNCTION("""COMPUTED_VALUE"""),"FALSO")</f>
        <v>FALSO</v>
      </c>
    </row>
    <row r="2466">
      <c r="B2466" s="186" t="str">
        <f>IFERROR(__xludf.DUMMYFUNCTION("""COMPUTED_VALUE"""),"PI6296Y")</f>
        <v>PI6296Y</v>
      </c>
      <c r="C2466" s="186" t="str">
        <f>IFERROR(__xludf.DUMMYFUNCTION("""COMPUTED_VALUE"""),"PORTA-BIJOUX PEQUENOS DETALHES")</f>
        <v>PORTA-BIJOUX PEQUENOS DETALHES</v>
      </c>
      <c r="D2466" s="186" t="str">
        <f>IFERROR(__xludf.DUMMYFUNCTION("""COMPUTED_VALUE"""),"FALSO")</f>
        <v>FALSO</v>
      </c>
    </row>
    <row r="2467">
      <c r="B2467" s="186" t="str">
        <f>IFERROR(__xludf.DUMMYFUNCTION("""COMPUTED_VALUE"""),"PI6296Y")</f>
        <v>PI6296Y</v>
      </c>
      <c r="C2467" s="186" t="str">
        <f>IFERROR(__xludf.DUMMYFUNCTION("""COMPUTED_VALUE"""),"PORTA-BIJOUX PEQUENOS DETALHES")</f>
        <v>PORTA-BIJOUX PEQUENOS DETALHES</v>
      </c>
      <c r="D2467" s="186" t="str">
        <f>IFERROR(__xludf.DUMMYFUNCTION("""COMPUTED_VALUE"""),"FALSO")</f>
        <v>FALSO</v>
      </c>
    </row>
    <row r="2468">
      <c r="B2468" s="186" t="str">
        <f>IFERROR(__xludf.DUMMYFUNCTION("""COMPUTED_VALUE"""),"CS1352")</f>
        <v>CS1352</v>
      </c>
      <c r="C2468" s="186" t="str">
        <f>IFERROR(__xludf.DUMMYFUNCTION("""COMPUTED_VALUE"""),"JOGO 1 2 3 E JA")</f>
        <v>JOGO 1 2 3 E JA</v>
      </c>
      <c r="D2468" s="186" t="str">
        <f>IFERROR(__xludf.DUMMYFUNCTION("""COMPUTED_VALUE"""),"FALSO")</f>
        <v>FALSO</v>
      </c>
    </row>
    <row r="2469">
      <c r="B2469" s="186" t="str">
        <f>IFERROR(__xludf.DUMMYFUNCTION("""COMPUTED_VALUE"""),"GR0006")</f>
        <v>GR0006</v>
      </c>
      <c r="C2469" s="186" t="str">
        <f>IFERROR(__xludf.DUMMYFUNCTION("""COMPUTED_VALUE"""),"JOGO HP GROW 5")</f>
        <v>JOGO HP GROW 5</v>
      </c>
      <c r="D2469" s="186" t="str">
        <f>IFERROR(__xludf.DUMMYFUNCTION("""COMPUTED_VALUE"""),"FALSO")</f>
        <v>FALSO</v>
      </c>
    </row>
    <row r="2470">
      <c r="B2470" s="186" t="str">
        <f>IFERROR(__xludf.DUMMYFUNCTION("""COMPUTED_VALUE"""),"CS2077")</f>
        <v>CS2077</v>
      </c>
      <c r="C2470" s="186" t="str">
        <f>IFERROR(__xludf.DUMMYFUNCTION("""COMPUTED_VALUE"""),"JOGO KIT LIVRO 1 2 3 E JA")</f>
        <v>JOGO KIT LIVRO 1 2 3 E JA</v>
      </c>
      <c r="D2470" s="186" t="str">
        <f>IFERROR(__xludf.DUMMYFUNCTION("""COMPUTED_VALUE"""),"FALSO")</f>
        <v>FALSO</v>
      </c>
    </row>
    <row r="2471">
      <c r="B2471" s="186" t="str">
        <f>IFERROR(__xludf.DUMMYFUNCTION("""COMPUTED_VALUE"""),"PI7030Y")</f>
        <v>PI7030Y</v>
      </c>
      <c r="C2471" s="186" t="str">
        <f>IFERROR(__xludf.DUMMYFUNCTION("""COMPUTED_VALUE"""),"LUMINARIA DE SILICONE COELHO ALEGRE")</f>
        <v>LUMINARIA DE SILICONE COELHO ALEGRE</v>
      </c>
      <c r="D2471" s="186" t="str">
        <f>IFERROR(__xludf.DUMMYFUNCTION("""COMPUTED_VALUE"""),"FALSO")</f>
        <v>FALSO</v>
      </c>
    </row>
    <row r="2472">
      <c r="B2472" s="186" t="str">
        <f>IFERROR(__xludf.DUMMYFUNCTION("""COMPUTED_VALUE"""),"PI7030Y")</f>
        <v>PI7030Y</v>
      </c>
      <c r="C2472" s="186" t="str">
        <f>IFERROR(__xludf.DUMMYFUNCTION("""COMPUTED_VALUE"""),"LUMINARIA DE SILICONE COELHO ALEGRE")</f>
        <v>LUMINARIA DE SILICONE COELHO ALEGRE</v>
      </c>
      <c r="D2472" s="186" t="str">
        <f>IFERROR(__xludf.DUMMYFUNCTION("""COMPUTED_VALUE"""),"FALSO")</f>
        <v>FALSO</v>
      </c>
    </row>
    <row r="2473">
      <c r="B2473" s="186" t="str">
        <f>IFERROR(__xludf.DUMMYFUNCTION("""COMPUTED_VALUE"""),"PI5101Y")</f>
        <v>PI5101Y</v>
      </c>
      <c r="C2473" s="186" t="str">
        <f>IFERROR(__xludf.DUMMYFUNCTION("""COMPUTED_VALUE"""),"MICROFONE KARAOKE BLUETOOTH DANDO SHOW")</f>
        <v>MICROFONE KARAOKE BLUETOOTH DANDO SHOW</v>
      </c>
      <c r="D2473" s="186" t="str">
        <f>IFERROR(__xludf.DUMMYFUNCTION("""COMPUTED_VALUE"""),"Anatel Category 2 - Bluetooth and Radiofrequency Comms")</f>
        <v>Anatel Category 2 - Bluetooth and Radiofrequency Comms</v>
      </c>
    </row>
    <row r="2474">
      <c r="B2474" s="186" t="str">
        <f>IFERROR(__xludf.DUMMYFUNCTION("""COMPUTED_VALUE"""),"PI5218Y")</f>
        <v>PI5218Y</v>
      </c>
      <c r="C2474" s="186" t="str">
        <f>IFERROR(__xludf.DUMMYFUNCTION("""COMPUTED_VALUE"""),"CHAVEIRO BEATLES ALL YOU NEED IS LOVE")</f>
        <v>CHAVEIRO BEATLES ALL YOU NEED IS LOVE</v>
      </c>
      <c r="D2474" s="186" t="str">
        <f>IFERROR(__xludf.DUMMYFUNCTION("""COMPUTED_VALUE"""),"FALSO")</f>
        <v>FALSO</v>
      </c>
    </row>
    <row r="2475">
      <c r="B2475" s="186" t="str">
        <f>IFERROR(__xludf.DUMMYFUNCTION("""COMPUTED_VALUE"""),"PI6565Y")</f>
        <v>PI6565Y</v>
      </c>
      <c r="C2475" s="186" t="str">
        <f>IFERROR(__xludf.DUMMYFUNCTION("""COMPUTED_VALUE"""),"CHAVEIRO BORIS")</f>
        <v>CHAVEIRO BORIS</v>
      </c>
      <c r="D2475" s="186" t="str">
        <f>IFERROR(__xludf.DUMMYFUNCTION("""COMPUTED_VALUE"""),"INMETRO Toys System 5 - Ordinance 302")</f>
        <v>INMETRO Toys System 5 - Ordinance 302</v>
      </c>
    </row>
    <row r="2476">
      <c r="B2476" s="186" t="str">
        <f>IFERROR(__xludf.DUMMYFUNCTION("""COMPUTED_VALUE"""),"PI6565Y")</f>
        <v>PI6565Y</v>
      </c>
      <c r="C2476" s="186" t="str">
        <f>IFERROR(__xludf.DUMMYFUNCTION("""COMPUTED_VALUE"""),"CHAVEIRO BORIS")</f>
        <v>CHAVEIRO BORIS</v>
      </c>
      <c r="D2476" s="186" t="str">
        <f>IFERROR(__xludf.DUMMYFUNCTION("""COMPUTED_VALUE"""),"INMETRO Toys System 5 - Ordinance 563 (Factory)")</f>
        <v>INMETRO Toys System 5 - Ordinance 563 (Factory)</v>
      </c>
    </row>
    <row r="2477">
      <c r="B2477" s="186" t="str">
        <f>IFERROR(__xludf.DUMMYFUNCTION("""COMPUTED_VALUE"""),"PI7652Y")</f>
        <v>PI7652Y</v>
      </c>
      <c r="C2477" s="186" t="str">
        <f>IFERROR(__xludf.DUMMYFUNCTION("""COMPUTED_VALUE"""),"CHAVEIRO PELUCIA CAPIVARA FLUTUALDO")</f>
        <v>CHAVEIRO PELUCIA CAPIVARA FLUTUALDO</v>
      </c>
      <c r="D2477" s="186" t="str">
        <f>IFERROR(__xludf.DUMMYFUNCTION("""COMPUTED_VALUE"""),"INMETRO Toys System 5 - Ordinance 302")</f>
        <v>INMETRO Toys System 5 - Ordinance 302</v>
      </c>
    </row>
    <row r="2478">
      <c r="B2478" s="186" t="str">
        <f>IFERROR(__xludf.DUMMYFUNCTION("""COMPUTED_VALUE"""),"PI6559Y")</f>
        <v>PI6559Y</v>
      </c>
      <c r="C2478" s="186" t="str">
        <f>IFERROR(__xludf.DUMMYFUNCTION("""COMPUTED_VALUE"""),"CHAVEIRO CATITA")</f>
        <v>CHAVEIRO CATITA</v>
      </c>
      <c r="D2478" s="186" t="str">
        <f>IFERROR(__xludf.DUMMYFUNCTION("""COMPUTED_VALUE"""),"INMETRO Toys System 5 - Ordinance 302")</f>
        <v>INMETRO Toys System 5 - Ordinance 302</v>
      </c>
    </row>
    <row r="2479">
      <c r="B2479" s="186" t="str">
        <f>IFERROR(__xludf.DUMMYFUNCTION("""COMPUTED_VALUE"""),"PI6559Y")</f>
        <v>PI6559Y</v>
      </c>
      <c r="C2479" s="186" t="str">
        <f>IFERROR(__xludf.DUMMYFUNCTION("""COMPUTED_VALUE"""),"CHAVEIRO CATITA")</f>
        <v>CHAVEIRO CATITA</v>
      </c>
      <c r="D2479" s="186" t="str">
        <f>IFERROR(__xludf.DUMMYFUNCTION("""COMPUTED_VALUE"""),"INMETRO Toys System 5 - Ordinance 563 (Factory)")</f>
        <v>INMETRO Toys System 5 - Ordinance 563 (Factory)</v>
      </c>
    </row>
    <row r="2480">
      <c r="B2480" s="186" t="str">
        <f>IFERROR(__xludf.DUMMYFUNCTION("""COMPUTED_VALUE"""),"PI6560Y")</f>
        <v>PI6560Y</v>
      </c>
      <c r="C2480" s="186" t="str">
        <f>IFERROR(__xludf.DUMMYFUNCTION("""COMPUTED_VALUE"""),"CHAVEIRO CHICO")</f>
        <v>CHAVEIRO CHICO</v>
      </c>
      <c r="D2480" s="186" t="str">
        <f>IFERROR(__xludf.DUMMYFUNCTION("""COMPUTED_VALUE"""),"INMETRO Toys System 5 - Ordinance 563 (Factory)")</f>
        <v>INMETRO Toys System 5 - Ordinance 563 (Factory)</v>
      </c>
    </row>
    <row r="2481">
      <c r="B2481" s="186" t="str">
        <f>IFERROR(__xludf.DUMMYFUNCTION("""COMPUTED_VALUE"""),"PI5862Y")</f>
        <v>PI5862Y</v>
      </c>
      <c r="C2481" s="186" t="str">
        <f>IFERROR(__xludf.DUMMYFUNCTION("""COMPUTED_VALUE"""),"CHAVEIRO FELIPE MOROZINI")</f>
        <v>CHAVEIRO FELIPE MOROZINI</v>
      </c>
      <c r="D2481" s="186" t="str">
        <f>IFERROR(__xludf.DUMMYFUNCTION("""COMPUTED_VALUE"""),"FALSO")</f>
        <v>FALSO</v>
      </c>
    </row>
    <row r="2482">
      <c r="B2482" s="186" t="str">
        <f>IFERROR(__xludf.DUMMYFUNCTION("""COMPUTED_VALUE"""),"PI6557Y")</f>
        <v>PI6557Y</v>
      </c>
      <c r="C2482" s="186" t="str">
        <f>IFERROR(__xludf.DUMMYFUNCTION("""COMPUTED_VALUE"""),"CHAVEIRO HERBY")</f>
        <v>CHAVEIRO HERBY</v>
      </c>
      <c r="D2482" s="186" t="str">
        <f>IFERROR(__xludf.DUMMYFUNCTION("""COMPUTED_VALUE"""),"INMETRO Toys System 5 - Ordinance 563 (Factory)")</f>
        <v>INMETRO Toys System 5 - Ordinance 563 (Factory)</v>
      </c>
    </row>
    <row r="2483">
      <c r="B2483" s="186" t="str">
        <f>IFERROR(__xludf.DUMMYFUNCTION("""COMPUTED_VALUE"""),"PI5772Y")</f>
        <v>PI5772Y</v>
      </c>
      <c r="C2483" s="186" t="str">
        <f>IFERROR(__xludf.DUMMYFUNCTION("""COMPUTED_VALUE"""),"CHAVEIRO MISTICO EQUILIBRIO")</f>
        <v>CHAVEIRO MISTICO EQUILIBRIO</v>
      </c>
      <c r="D2483" s="186" t="str">
        <f>IFERROR(__xludf.DUMMYFUNCTION("""COMPUTED_VALUE"""),"FALSO")</f>
        <v>FALSO</v>
      </c>
    </row>
    <row r="2484">
      <c r="B2484" s="186" t="str">
        <f>IFERROR(__xludf.DUMMYFUNCTION("""COMPUTED_VALUE"""),"PI5774Y")</f>
        <v>PI5774Y</v>
      </c>
      <c r="C2484" s="186" t="str">
        <f>IFERROR(__xludf.DUMMYFUNCTION("""COMPUTED_VALUE"""),"CHAVEIRO MISTICO BORBOLETA")</f>
        <v>CHAVEIRO MISTICO BORBOLETA</v>
      </c>
      <c r="D2484" s="186" t="str">
        <f>IFERROR(__xludf.DUMMYFUNCTION("""COMPUTED_VALUE"""),"FALSO")</f>
        <v>FALSO</v>
      </c>
    </row>
    <row r="2485">
      <c r="B2485" s="186" t="str">
        <f>IFERROR(__xludf.DUMMYFUNCTION("""COMPUTED_VALUE"""),"PI5774Y")</f>
        <v>PI5774Y</v>
      </c>
      <c r="C2485" s="186" t="str">
        <f>IFERROR(__xludf.DUMMYFUNCTION("""COMPUTED_VALUE"""),"CHAVEIRO MISTICO BORBOLETA")</f>
        <v>CHAVEIRO MISTICO BORBOLETA</v>
      </c>
      <c r="D2485" s="186" t="str">
        <f>IFERROR(__xludf.DUMMYFUNCTION("""COMPUTED_VALUE"""),"FALSO")</f>
        <v>FALSO</v>
      </c>
    </row>
    <row r="2486">
      <c r="B2486" s="186" t="str">
        <f>IFERROR(__xludf.DUMMYFUNCTION("""COMPUTED_VALUE"""),"PI5775Y")</f>
        <v>PI5775Y</v>
      </c>
      <c r="C2486" s="186" t="str">
        <f>IFERROR(__xludf.DUMMYFUNCTION("""COMPUTED_VALUE"""),"CHAVEIRO MISTICO OLHO")</f>
        <v>CHAVEIRO MISTICO OLHO</v>
      </c>
      <c r="D2486" s="186" t="str">
        <f>IFERROR(__xludf.DUMMYFUNCTION("""COMPUTED_VALUE"""),"FALSO")</f>
        <v>FALSO</v>
      </c>
    </row>
    <row r="2487">
      <c r="B2487" s="186" t="str">
        <f>IFERROR(__xludf.DUMMYFUNCTION("""COMPUTED_VALUE"""),"PI5773Y")</f>
        <v>PI5773Y</v>
      </c>
      <c r="C2487" s="186" t="str">
        <f>IFERROR(__xludf.DUMMYFUNCTION("""COMPUTED_VALUE"""),"CHAVEIRO MISTICO PLANETA")</f>
        <v>CHAVEIRO MISTICO PLANETA</v>
      </c>
      <c r="D2487" s="186" t="str">
        <f>IFERROR(__xludf.DUMMYFUNCTION("""COMPUTED_VALUE"""),"FALSO")</f>
        <v>FALSO</v>
      </c>
    </row>
    <row r="2488">
      <c r="B2488" s="186" t="str">
        <f>IFERROR(__xludf.DUMMYFUNCTION("""COMPUTED_VALUE"""),"PI5773Y")</f>
        <v>PI5773Y</v>
      </c>
      <c r="C2488" s="186" t="str">
        <f>IFERROR(__xludf.DUMMYFUNCTION("""COMPUTED_VALUE"""),"CHAVEIRO MISTICO PLANETA")</f>
        <v>CHAVEIRO MISTICO PLANETA</v>
      </c>
      <c r="D2488" s="186" t="str">
        <f>IFERROR(__xludf.DUMMYFUNCTION("""COMPUTED_VALUE"""),"FALSO")</f>
        <v>FALSO</v>
      </c>
    </row>
    <row r="2489">
      <c r="B2489" s="186" t="str">
        <f>IFERROR(__xludf.DUMMYFUNCTION("""COMPUTED_VALUE"""),"PI6558Y")</f>
        <v>PI6558Y</v>
      </c>
      <c r="C2489" s="186" t="str">
        <f>IFERROR(__xludf.DUMMYFUNCTION("""COMPUTED_VALUE"""),"CHAVEIRO NEVINHO")</f>
        <v>CHAVEIRO NEVINHO</v>
      </c>
      <c r="D2489" s="186" t="str">
        <f>IFERROR(__xludf.DUMMYFUNCTION("""COMPUTED_VALUE"""),"INMETRO Toys System 5 - Ordinance 563 (Factory)")</f>
        <v>INMETRO Toys System 5 - Ordinance 563 (Factory)</v>
      </c>
    </row>
    <row r="2490">
      <c r="B2490" s="186" t="str">
        <f>IFERROR(__xludf.DUMMYFUNCTION("""COMPUTED_VALUE"""),"PI6104Y")</f>
        <v>PI6104Y</v>
      </c>
      <c r="C2490" s="186" t="str">
        <f>IFERROR(__xludf.DUMMYFUNCTION("""COMPUTED_VALUE"""),"CHAVEIRO REGUA MEDIDAS DRASTICAS")</f>
        <v>CHAVEIRO REGUA MEDIDAS DRASTICAS</v>
      </c>
      <c r="D2490" s="186" t="str">
        <f>IFERROR(__xludf.DUMMYFUNCTION("""COMPUTED_VALUE"""),"FALSO")</f>
        <v>FALSO</v>
      </c>
    </row>
    <row r="2491">
      <c r="B2491" s="186" t="str">
        <f>IFERROR(__xludf.DUMMYFUNCTION("""COMPUTED_VALUE"""),"PI5939Y")</f>
        <v>PI5939Y</v>
      </c>
      <c r="C2491" s="186" t="str">
        <f>IFERROR(__xludf.DUMMYFUNCTION("""COMPUTED_VALUE"""),"CHAVEIRO VINIL LADO A LADO B")</f>
        <v>CHAVEIRO VINIL LADO A LADO B</v>
      </c>
      <c r="D2491" s="186" t="str">
        <f>IFERROR(__xludf.DUMMYFUNCTION("""COMPUTED_VALUE"""),"FALSO")</f>
        <v>FALSO</v>
      </c>
    </row>
    <row r="2492">
      <c r="B2492" s="186" t="str">
        <f>IFERROR(__xludf.DUMMYFUNCTION("""COMPUTED_VALUE"""),"PI5645Y")</f>
        <v>PI5645Y</v>
      </c>
      <c r="C2492" s="186" t="str">
        <f>IFERROR(__xludf.DUMMYFUNCTION("""COMPUTED_VALUE"""),"CHAVEIRO COM LED CORACAO")</f>
        <v>CHAVEIRO COM LED CORACAO</v>
      </c>
      <c r="D2492" s="186" t="str">
        <f>IFERROR(__xludf.DUMMYFUNCTION("""COMPUTED_VALUE"""),"FALSO")</f>
        <v>FALSO</v>
      </c>
    </row>
    <row r="2493">
      <c r="B2493" s="186" t="str">
        <f>IFERROR(__xludf.DUMMYFUNCTION("""COMPUTED_VALUE"""),"CS2266")</f>
        <v>CS2266</v>
      </c>
      <c r="C2493" s="186" t="str">
        <f>IFERROR(__xludf.DUMMYFUNCTION("""COMPUTED_VALUE"""),"KIT DE XÍCARAS EMPILHÁVEIS CAFÉ")</f>
        <v>KIT DE XÍCARAS EMPILHÁVEIS CAFÉ</v>
      </c>
      <c r="D2493" s="186" t="str">
        <f>IFERROR(__xludf.DUMMYFUNCTION("""COMPUTED_VALUE"""),"FALSO")</f>
        <v>FALSO</v>
      </c>
    </row>
    <row r="2494">
      <c r="B2494" s="186" t="str">
        <f>IFERROR(__xludf.DUMMYFUNCTION("""COMPUTED_VALUE"""),"CS2264")</f>
        <v>CS2264</v>
      </c>
      <c r="C2494" s="186" t="str">
        <f>IFERROR(__xludf.DUMMYFUNCTION("""COMPUTED_VALUE"""),"KIT DE XÍCARAS HARRY POTTER ÍCONES")</f>
        <v>KIT DE XÍCARAS HARRY POTTER ÍCONES</v>
      </c>
      <c r="D2494" s="186" t="str">
        <f>IFERROR(__xludf.DUMMYFUNCTION("""COMPUTED_VALUE"""),"FALSO")</f>
        <v>FALSO</v>
      </c>
    </row>
    <row r="2495">
      <c r="B2495" s="186" t="str">
        <f>IFERROR(__xludf.DUMMYFUNCTION("""COMPUTED_VALUE"""),"PI6263Y")</f>
        <v>PI6263Y</v>
      </c>
      <c r="C2495" s="186" t="str">
        <f>IFERROR(__xludf.DUMMYFUNCTION("""COMPUTED_VALUE"""),"KIT MASSAGEADORES DE OUTRO MUNDO")</f>
        <v>KIT MASSAGEADORES DE OUTRO MUNDO</v>
      </c>
      <c r="D2495" s="186" t="str">
        <f>IFERROR(__xludf.DUMMYFUNCTION("""COMPUTED_VALUE"""),"FALSO")</f>
        <v>FALSO</v>
      </c>
    </row>
    <row r="2496">
      <c r="B2496" s="186" t="str">
        <f>IFERROR(__xludf.DUMMYFUNCTION("""COMPUTED_VALUE"""),"PI5415Y")</f>
        <v>PI5415Y</v>
      </c>
      <c r="C2496" s="186" t="str">
        <f>IFERROR(__xludf.DUMMYFUNCTION("""COMPUTED_VALUE"""),"KIT CANETAS MARCA TEXTO VAMOS MARCAR")</f>
        <v>KIT CANETAS MARCA TEXTO VAMOS MARCAR</v>
      </c>
      <c r="D2496" s="186" t="str">
        <f>IFERROR(__xludf.DUMMYFUNCTION("""COMPUTED_VALUE"""),"INMETRO SCHOOL ARTICLES SYSTEM 5 - ORDINANCE 481")</f>
        <v>INMETRO SCHOOL ARTICLES SYSTEM 5 - ORDINANCE 481</v>
      </c>
    </row>
    <row r="2497">
      <c r="B2497" s="186" t="str">
        <f>IFERROR(__xludf.DUMMYFUNCTION("""COMPUTED_VALUE"""),"PI7779Y")</f>
        <v>PI7779Y</v>
      </c>
      <c r="C2497" s="186" t="str">
        <f>IFERROR(__xludf.DUMMYFUNCTION("""COMPUTED_VALUE"""),"CANECA DE VIDRO COM ALCA GATO GLITTER")</f>
        <v>CANECA DE VIDRO COM ALCA GATO GLITTER</v>
      </c>
      <c r="D2497" s="186" t="str">
        <f>IFERROR(__xludf.DUMMYFUNCTION("""COMPUTED_VALUE"""),"FALSO")</f>
        <v>FALSO</v>
      </c>
    </row>
    <row r="2498">
      <c r="B2498" s="186" t="str">
        <f>IFERROR(__xludf.DUMMYFUNCTION("""COMPUTED_VALUE"""),"PI7530Y")</f>
        <v>PI7530Y</v>
      </c>
      <c r="C2498" s="186" t="str">
        <f>IFERROR(__xludf.DUMMYFUNCTION("""COMPUTED_VALUE"""),"KIT COM 3 CADERNOS HP RELIQUIAS DA MORTE")</f>
        <v>KIT COM 3 CADERNOS HP RELIQUIAS DA MORTE</v>
      </c>
      <c r="D2498" s="186" t="str">
        <f>IFERROR(__xludf.DUMMYFUNCTION("""COMPUTED_VALUE"""),"FALSO")</f>
        <v>FALSO</v>
      </c>
    </row>
    <row r="2499">
      <c r="B2499" s="186" t="str">
        <f>IFERROR(__xludf.DUMMYFUNCTION("""COMPUTED_VALUE"""),"PI6826Y")</f>
        <v>PI6826Y</v>
      </c>
      <c r="C2499" s="186" t="str">
        <f>IFERROR(__xludf.DUMMYFUNCTION("""COMPUTED_VALUE"""),"KIT COM 3 CADERNOS HP HOGWARTS")</f>
        <v>KIT COM 3 CADERNOS HP HOGWARTS</v>
      </c>
      <c r="D2499" s="186" t="str">
        <f>IFERROR(__xludf.DUMMYFUNCTION("""COMPUTED_VALUE"""),"FALSO")</f>
        <v>FALSO</v>
      </c>
    </row>
    <row r="2500">
      <c r="B2500" s="186" t="str">
        <f>IFERROR(__xludf.DUMMYFUNCTION("""COMPUTED_VALUE"""),"PI6822Y")</f>
        <v>PI6822Y</v>
      </c>
      <c r="C2500" s="186" t="str">
        <f>IFERROR(__xludf.DUMMYFUNCTION("""COMPUTED_VALUE"""),"KIT COM 4 CANECAS HP CASAS HOGWARTS")</f>
        <v>KIT COM 4 CANECAS HP CASAS HOGWARTS</v>
      </c>
      <c r="D2500" s="186" t="str">
        <f>IFERROR(__xludf.DUMMYFUNCTION("""COMPUTED_VALUE"""),"FALSO")</f>
        <v>FALSO</v>
      </c>
    </row>
    <row r="2501">
      <c r="B2501" s="186" t="str">
        <f>IFERROR(__xludf.DUMMYFUNCTION("""COMPUTED_VALUE"""),"PI7632Y")</f>
        <v>PI7632Y</v>
      </c>
      <c r="C2501" s="186" t="str">
        <f>IFERROR(__xludf.DUMMYFUNCTION("""COMPUTED_VALUE"""),"KIT COM 4 CANECAS ICONES HP HARRY POTTER")</f>
        <v>KIT COM 4 CANECAS ICONES HP HARRY POTTER</v>
      </c>
      <c r="D2501" s="186" t="str">
        <f>IFERROR(__xludf.DUMMYFUNCTION("""COMPUTED_VALUE"""),"FALSO")</f>
        <v>FALSO</v>
      </c>
    </row>
    <row r="2502">
      <c r="B2502" s="186" t="str">
        <f>IFERROR(__xludf.DUMMYFUNCTION("""COMPUTED_VALUE"""),"PI7326Y")</f>
        <v>PI7326Y</v>
      </c>
      <c r="C2502" s="186" t="str">
        <f>IFERROR(__xludf.DUMMYFUNCTION("""COMPUTED_VALUE"""),"KIT COM 4 CANECAS CAFEZINHO E CAFEZAO")</f>
        <v>KIT COM 4 CANECAS CAFEZINHO E CAFEZAO</v>
      </c>
      <c r="D2502" s="186" t="str">
        <f>IFERROR(__xludf.DUMMYFUNCTION("""COMPUTED_VALUE"""),"FALSO")</f>
        <v>FALSO</v>
      </c>
    </row>
    <row r="2503">
      <c r="B2503" s="186" t="str">
        <f>IFERROR(__xludf.DUMMYFUNCTION("""COMPUTED_VALUE"""),"PI7255Y")</f>
        <v>PI7255Y</v>
      </c>
      <c r="C2503" s="186" t="str">
        <f>IFERROR(__xludf.DUMMYFUNCTION("""COMPUTED_VALUE"""),"UMIDIFICADOR COALA")</f>
        <v>UMIDIFICADOR COALA</v>
      </c>
      <c r="D2503" s="186" t="str">
        <f>IFERROR(__xludf.DUMMYFUNCTION("""COMPUTED_VALUE"""),"FALSO")</f>
        <v>FALSO</v>
      </c>
    </row>
    <row r="2504">
      <c r="B2504" s="186" t="str">
        <f>IFERROR(__xludf.DUMMYFUNCTION("""COMPUTED_VALUE"""),"US0095")</f>
        <v>US0095</v>
      </c>
      <c r="C2504" s="186" t="str">
        <f>IFERROR(__xludf.DUMMYFUNCTION("""COMPUTED_VALUE"""),"LUMINARIA KOMBI AZUL")</f>
        <v>LUMINARIA KOMBI AZUL</v>
      </c>
      <c r="D2504" s="186" t="str">
        <f>IFERROR(__xludf.DUMMYFUNCTION("""COMPUTED_VALUE"""),"FALSO")</f>
        <v>FALSO</v>
      </c>
    </row>
    <row r="2505">
      <c r="B2505" s="186" t="str">
        <f>IFERROR(__xludf.DUMMYFUNCTION("""COMPUTED_VALUE"""),"PI5128Y")</f>
        <v>PI5128Y</v>
      </c>
      <c r="C2505" s="186" t="str">
        <f>IFERROR(__xludf.DUMMYFUNCTION("""COMPUTED_VALUE"""),"KIT ETIQUETADORA MANUAL LILAS")</f>
        <v>KIT ETIQUETADORA MANUAL LILAS</v>
      </c>
      <c r="D2505" s="186" t="str">
        <f>IFERROR(__xludf.DUMMYFUNCTION("""COMPUTED_VALUE"""),"FALSO")</f>
        <v>FALSO</v>
      </c>
    </row>
    <row r="2506">
      <c r="B2506" s="186" t="str">
        <f>IFERROR(__xludf.DUMMYFUNCTION("""COMPUTED_VALUE"""),"CS2141")</f>
        <v>CS2141</v>
      </c>
      <c r="C2506" s="186" t="str">
        <f>IFERROR(__xludf.DUMMYFUNCTION("""COMPUTED_VALUE"""),"LAMPADA LED BOLINHA 5W")</f>
        <v>LAMPADA LED BOLINHA 5W</v>
      </c>
      <c r="D2506" s="186" t="str">
        <f>IFERROR(__xludf.DUMMYFUNCTION("""COMPUTED_VALUE"""),"FALSO")</f>
        <v>FALSO</v>
      </c>
    </row>
    <row r="2507">
      <c r="B2507" s="186" t="str">
        <f>IFERROR(__xludf.DUMMYFUNCTION("""COMPUTED_VALUE"""),"CS2141")</f>
        <v>CS2141</v>
      </c>
      <c r="C2507" s="186" t="str">
        <f>IFERROR(__xludf.DUMMYFUNCTION("""COMPUTED_VALUE"""),"LAMPADA LED BOLINHA 5W")</f>
        <v>LAMPADA LED BOLINHA 5W</v>
      </c>
      <c r="D2507" s="186" t="str">
        <f>IFERROR(__xludf.DUMMYFUNCTION("""COMPUTED_VALUE"""),"FALSO")</f>
        <v>FALSO</v>
      </c>
    </row>
    <row r="2508">
      <c r="B2508" s="186" t="str">
        <f>IFERROR(__xludf.DUMMYFUNCTION("""COMPUTED_VALUE"""),"CS2141")</f>
        <v>CS2141</v>
      </c>
      <c r="C2508" s="186" t="str">
        <f>IFERROR(__xludf.DUMMYFUNCTION("""COMPUTED_VALUE"""),"LAMPADA LED BOLINHA 5W")</f>
        <v>LAMPADA LED BOLINHA 5W</v>
      </c>
      <c r="D2508" s="186" t="str">
        <f>IFERROR(__xludf.DUMMYFUNCTION("""COMPUTED_VALUE"""),"FALSO")</f>
        <v>FALSO</v>
      </c>
    </row>
    <row r="2509">
      <c r="B2509" s="186" t="str">
        <f>IFERROR(__xludf.DUMMYFUNCTION("""COMPUTED_VALUE"""),"CS2141")</f>
        <v>CS2141</v>
      </c>
      <c r="C2509" s="186" t="str">
        <f>IFERROR(__xludf.DUMMYFUNCTION("""COMPUTED_VALUE"""),"LAMPADA LED BOLINHA 5W")</f>
        <v>LAMPADA LED BOLINHA 5W</v>
      </c>
      <c r="D2509" s="186" t="str">
        <f>IFERROR(__xludf.DUMMYFUNCTION("""COMPUTED_VALUE"""),"FALSO")</f>
        <v>FALSO</v>
      </c>
    </row>
    <row r="2510">
      <c r="B2510" s="186" t="str">
        <f>IFERROR(__xludf.DUMMYFUNCTION("""COMPUTED_VALUE"""),"PI5357Y")</f>
        <v>PI5357Y</v>
      </c>
      <c r="C2510" s="186" t="str">
        <f>IFERROR(__xludf.DUMMYFUNCTION("""COMPUTED_VALUE"""),"LUMINARIA TORNEIRA ME POUPE")</f>
        <v>LUMINARIA TORNEIRA ME POUPE</v>
      </c>
      <c r="D2510" s="186" t="str">
        <f>IFERROR(__xludf.DUMMYFUNCTION("""COMPUTED_VALUE"""),"FALSO")</f>
        <v>FALSO</v>
      </c>
    </row>
    <row r="2511">
      <c r="B2511" s="186" t="str">
        <f>IFERROR(__xludf.DUMMYFUNCTION("""COMPUTED_VALUE"""),"PI3026Y")</f>
        <v>PI3026Y</v>
      </c>
      <c r="C2511" s="186" t="str">
        <f>IFERROR(__xludf.DUMMYFUNCTION("""COMPUTED_VALUE"""),"LUMINARIA GATINHO")</f>
        <v>LUMINARIA GATINHO</v>
      </c>
      <c r="D2511" s="186" t="str">
        <f>IFERROR(__xludf.DUMMYFUNCTION("""COMPUTED_VALUE"""),"FALSO")</f>
        <v>FALSO</v>
      </c>
    </row>
    <row r="2512">
      <c r="B2512" s="186" t="str">
        <f>IFERROR(__xludf.DUMMYFUNCTION("""COMPUTED_VALUE"""),"PI3026Y")</f>
        <v>PI3026Y</v>
      </c>
      <c r="C2512" s="186" t="str">
        <f>IFERROR(__xludf.DUMMYFUNCTION("""COMPUTED_VALUE"""),"LUMINARIA GATINHO")</f>
        <v>LUMINARIA GATINHO</v>
      </c>
      <c r="D2512" s="186" t="str">
        <f>IFERROR(__xludf.DUMMYFUNCTION("""COMPUTED_VALUE"""),"FALSO")</f>
        <v>FALSO</v>
      </c>
    </row>
    <row r="2513">
      <c r="B2513" s="186" t="str">
        <f>IFERROR(__xludf.DUMMYFUNCTION("""COMPUTED_VALUE"""),"PI3026Y")</f>
        <v>PI3026Y</v>
      </c>
      <c r="C2513" s="186" t="str">
        <f>IFERROR(__xludf.DUMMYFUNCTION("""COMPUTED_VALUE"""),"LUMINARIA GATINHO")</f>
        <v>LUMINARIA GATINHO</v>
      </c>
      <c r="D2513" s="186" t="str">
        <f>IFERROR(__xludf.DUMMYFUNCTION("""COMPUTED_VALUE"""),"FALSO")</f>
        <v>FALSO</v>
      </c>
    </row>
    <row r="2514">
      <c r="B2514" s="186" t="str">
        <f>IFERROR(__xludf.DUMMYFUNCTION("""COMPUTED_VALUE"""),"PI3026Y")</f>
        <v>PI3026Y</v>
      </c>
      <c r="C2514" s="186" t="str">
        <f>IFERROR(__xludf.DUMMYFUNCTION("""COMPUTED_VALUE"""),"LUMINARIA GATINHO")</f>
        <v>LUMINARIA GATINHO</v>
      </c>
      <c r="D2514" s="186" t="str">
        <f>IFERROR(__xludf.DUMMYFUNCTION("""COMPUTED_VALUE"""),"FALSO")</f>
        <v>FALSO</v>
      </c>
    </row>
    <row r="2515">
      <c r="B2515" s="186" t="str">
        <f>IFERROR(__xludf.DUMMYFUNCTION("""COMPUTED_VALUE"""),"PI3026Y")</f>
        <v>PI3026Y</v>
      </c>
      <c r="C2515" s="186" t="str">
        <f>IFERROR(__xludf.DUMMYFUNCTION("""COMPUTED_VALUE"""),"LUMINARIA GATINHO")</f>
        <v>LUMINARIA GATINHO</v>
      </c>
      <c r="D2515" s="186" t="str">
        <f>IFERROR(__xludf.DUMMYFUNCTION("""COMPUTED_VALUE"""),"FALSO")</f>
        <v>FALSO</v>
      </c>
    </row>
    <row r="2516">
      <c r="B2516" s="186" t="str">
        <f>IFERROR(__xludf.DUMMYFUNCTION("""COMPUTED_VALUE"""),"PI3026Y")</f>
        <v>PI3026Y</v>
      </c>
      <c r="C2516" s="186" t="str">
        <f>IFERROR(__xludf.DUMMYFUNCTION("""COMPUTED_VALUE"""),"LUMINARIA GATINHO")</f>
        <v>LUMINARIA GATINHO</v>
      </c>
      <c r="D2516" s="186" t="str">
        <f>IFERROR(__xludf.DUMMYFUNCTION("""COMPUTED_VALUE"""),"FALSO")</f>
        <v>FALSO</v>
      </c>
    </row>
    <row r="2517">
      <c r="B2517" s="186" t="str">
        <f>IFERROR(__xludf.DUMMYFUNCTION("""COMPUTED_VALUE"""),"PI3026Y")</f>
        <v>PI3026Y</v>
      </c>
      <c r="C2517" s="186" t="str">
        <f>IFERROR(__xludf.DUMMYFUNCTION("""COMPUTED_VALUE"""),"LUMINARIA GATINHO")</f>
        <v>LUMINARIA GATINHO</v>
      </c>
      <c r="D2517" s="186" t="str">
        <f>IFERROR(__xludf.DUMMYFUNCTION("""COMPUTED_VALUE"""),"FALSO")</f>
        <v>FALSO</v>
      </c>
    </row>
    <row r="2518">
      <c r="B2518" s="186" t="str">
        <f>IFERROR(__xludf.DUMMYFUNCTION("""COMPUTED_VALUE"""),"PI5123Y")</f>
        <v>PI5123Y</v>
      </c>
      <c r="C2518" s="186" t="str">
        <f>IFERROR(__xludf.DUMMYFUNCTION("""COMPUTED_VALUE"""),"LUMINARIA PROJETORA E LOUSA NETFLIX TV")</f>
        <v>LUMINARIA PROJETORA E LOUSA NETFLIX TV</v>
      </c>
      <c r="D2518" s="186" t="str">
        <f>IFERROR(__xludf.DUMMYFUNCTION("""COMPUTED_VALUE"""),"FALSO")</f>
        <v>FALSO</v>
      </c>
    </row>
    <row r="2519">
      <c r="B2519" s="186" t="str">
        <f>IFERROR(__xludf.DUMMYFUNCTION("""COMPUTED_VALUE"""),"PI5039Y")</f>
        <v>PI5039Y</v>
      </c>
      <c r="C2519" s="186" t="str">
        <f>IFERROR(__xludf.DUMMYFUNCTION("""COMPUTED_VALUE"""),"LUMINARIA SMILE MEU BRILHO")</f>
        <v>LUMINARIA SMILE MEU BRILHO</v>
      </c>
      <c r="D2519" s="186" t="str">
        <f>IFERROR(__xludf.DUMMYFUNCTION("""COMPUTED_VALUE"""),"FALSO")</f>
        <v>FALSO</v>
      </c>
    </row>
    <row r="2520">
      <c r="B2520" s="186" t="str">
        <f>IFERROR(__xludf.DUMMYFUNCTION("""COMPUTED_VALUE"""),"PI5130Y")</f>
        <v>PI5130Y</v>
      </c>
      <c r="C2520" s="186" t="str">
        <f>IFERROR(__xludf.DUMMYFUNCTION("""COMPUTED_VALUE"""),"LUMINARIA SUNSET SOL MAIS UM POUQUINHO")</f>
        <v>LUMINARIA SUNSET SOL MAIS UM POUQUINHO</v>
      </c>
      <c r="D2520" s="186" t="str">
        <f>IFERROR(__xludf.DUMMYFUNCTION("""COMPUTED_VALUE"""),"FALSO")</f>
        <v>FALSO</v>
      </c>
    </row>
    <row r="2521">
      <c r="B2521" s="186" t="str">
        <f>IFERROR(__xludf.DUMMYFUNCTION("""COMPUTED_VALUE"""),"PI6175Y")</f>
        <v>PI6175Y</v>
      </c>
      <c r="C2521" s="186" t="str">
        <f>IFERROR(__xludf.DUMMYFUNCTION("""COMPUTED_VALUE"""),"LUMINARIA DE ACRILICO START")</f>
        <v>LUMINARIA DE ACRILICO START</v>
      </c>
      <c r="D2521" s="186" t="str">
        <f>IFERROR(__xludf.DUMMYFUNCTION("""COMPUTED_VALUE"""),"FALSO")</f>
        <v>FALSO</v>
      </c>
    </row>
    <row r="2522">
      <c r="B2522" s="186" t="str">
        <f>IFERROR(__xludf.DUMMYFUNCTION("""COMPUTED_VALUE"""),"PI5080Y")</f>
        <v>PI5080Y</v>
      </c>
      <c r="C2522" s="186" t="str">
        <f>IFERROR(__xludf.DUMMYFUNCTION("""COMPUTED_VALUE"""),"LUMINARIA COM SPEAKER BLUETOOTH SORVETE")</f>
        <v>LUMINARIA COM SPEAKER BLUETOOTH SORVETE</v>
      </c>
      <c r="D2522" s="186" t="str">
        <f>IFERROR(__xludf.DUMMYFUNCTION("""COMPUTED_VALUE"""),"Anatel Category 2 - Bluetooth and Radiofrequency Comms")</f>
        <v>Anatel Category 2 - Bluetooth and Radiofrequency Comms</v>
      </c>
    </row>
    <row r="2523">
      <c r="B2523" s="186" t="str">
        <f>IFERROR(__xludf.DUMMYFUNCTION("""COMPUTED_VALUE"""),"PI5321Y")</f>
        <v>PI5321Y</v>
      </c>
      <c r="C2523" s="186" t="str">
        <f>IFERROR(__xludf.DUMMYFUNCTION("""COMPUTED_VALUE"""),"LUMINARIA PORTA OBJETOS ON PRO OFFICE")</f>
        <v>LUMINARIA PORTA OBJETOS ON PRO OFFICE</v>
      </c>
      <c r="D2523" s="186" t="str">
        <f>IFERROR(__xludf.DUMMYFUNCTION("""COMPUTED_VALUE"""),"FALSO")</f>
        <v>FALSO</v>
      </c>
    </row>
    <row r="2524">
      <c r="B2524" s="186" t="str">
        <f>IFERROR(__xludf.DUMMYFUNCTION("""COMPUTED_VALUE"""),"PI4893Y")</f>
        <v>PI4893Y</v>
      </c>
      <c r="C2524" s="186" t="str">
        <f>IFERROR(__xludf.DUMMYFUNCTION("""COMPUTED_VALUE"""),"LUMINARIA COM PROJECAO SOMBRA HP EDWIGES")</f>
        <v>LUMINARIA COM PROJECAO SOMBRA HP EDWIGES</v>
      </c>
      <c r="D2524" s="186" t="str">
        <f>IFERROR(__xludf.DUMMYFUNCTION("""COMPUTED_VALUE"""),"FALSO")</f>
        <v>FALSO</v>
      </c>
    </row>
    <row r="2525">
      <c r="B2525" s="186" t="str">
        <f>IFERROR(__xludf.DUMMYFUNCTION("""COMPUTED_VALUE"""),"PI4810Y")</f>
        <v>PI4810Y</v>
      </c>
      <c r="C2525" s="186" t="str">
        <f>IFERROR(__xludf.DUMMYFUNCTION("""COMPUTED_VALUE"""),"LUMINARIA COM SPEAKER HP CALDEIRAO")</f>
        <v>LUMINARIA COM SPEAKER HP CALDEIRAO</v>
      </c>
      <c r="D2525" s="186" t="str">
        <f>IFERROR(__xludf.DUMMYFUNCTION("""COMPUTED_VALUE"""),"Anatel Category 2 - Bluetooth Module")</f>
        <v>Anatel Category 2 - Bluetooth Module</v>
      </c>
    </row>
    <row r="2526">
      <c r="B2526" s="186" t="str">
        <f>IFERROR(__xludf.DUMMYFUNCTION("""COMPUTED_VALUE"""),"PI7733Y")</f>
        <v>PI7733Y</v>
      </c>
      <c r="C2526" s="186" t="str">
        <f>IFERROR(__xludf.DUMMYFUNCTION("""COMPUTED_VALUE"""),"LANTERNA VARINHA HP HARRY POTTER")</f>
        <v>LANTERNA VARINHA HP HARRY POTTER</v>
      </c>
      <c r="D2526" s="186" t="str">
        <f>IFERROR(__xludf.DUMMYFUNCTION("""COMPUTED_VALUE"""),"FALSO")</f>
        <v>FALSO</v>
      </c>
    </row>
    <row r="2527">
      <c r="B2527" s="186" t="str">
        <f>IFERROR(__xludf.DUMMYFUNCTION("""COMPUTED_VALUE"""),"PI7751Y")</f>
        <v>PI7751Y</v>
      </c>
      <c r="C2527" s="186" t="str">
        <f>IFERROR(__xludf.DUMMYFUNCTION("""COMPUTED_VALUE"""),"LANTERNA VARINHA HP HERMIONE")</f>
        <v>LANTERNA VARINHA HP HERMIONE</v>
      </c>
      <c r="D2527" s="186" t="str">
        <f>IFERROR(__xludf.DUMMYFUNCTION("""COMPUTED_VALUE"""),"FALSO")</f>
        <v>FALSO</v>
      </c>
    </row>
    <row r="2528">
      <c r="B2528" s="186" t="str">
        <f>IFERROR(__xludf.DUMMYFUNCTION("""COMPUTED_VALUE"""),"PI7750Y")</f>
        <v>PI7750Y</v>
      </c>
      <c r="C2528" s="186" t="str">
        <f>IFERROR(__xludf.DUMMYFUNCTION("""COMPUTED_VALUE"""),"LANTERNA VARINHA HP VOLDEMORT")</f>
        <v>LANTERNA VARINHA HP VOLDEMORT</v>
      </c>
      <c r="D2528" s="186" t="str">
        <f>IFERROR(__xludf.DUMMYFUNCTION("""COMPUTED_VALUE"""),"FALSO")</f>
        <v>FALSO</v>
      </c>
    </row>
    <row r="2529">
      <c r="B2529" s="186" t="str">
        <f>IFERROR(__xludf.DUMMYFUNCTION("""COMPUTED_VALUE"""),"PI5192Y")</f>
        <v>PI5192Y</v>
      </c>
      <c r="C2529" s="186" t="str">
        <f>IFERROR(__xludf.DUMMYFUNCTION("""COMPUTED_VALUE"""),"BANDEJA LAPTOP AFLORAR IDEIAS")</f>
        <v>BANDEJA LAPTOP AFLORAR IDEIAS</v>
      </c>
      <c r="D2529" s="186" t="str">
        <f>IFERROR(__xludf.DUMMYFUNCTION("""COMPUTED_VALUE"""),"FALSO")</f>
        <v>FALSO</v>
      </c>
    </row>
    <row r="2530">
      <c r="B2530" s="186" t="str">
        <f>IFERROR(__xludf.DUMMYFUNCTION("""COMPUTED_VALUE"""),"PI4644Y")</f>
        <v>PI4644Y</v>
      </c>
      <c r="C2530" s="186" t="str">
        <f>IFERROR(__xludf.DUMMYFUNCTION("""COMPUTED_VALUE"""),"BANDEJA LAPTOP DOBRAVEL ROSA")</f>
        <v>BANDEJA LAPTOP DOBRAVEL ROSA</v>
      </c>
      <c r="D2530" s="186" t="str">
        <f>IFERROR(__xludf.DUMMYFUNCTION("""COMPUTED_VALUE"""),"FALSO")</f>
        <v>FALSO</v>
      </c>
    </row>
    <row r="2531">
      <c r="B2531" s="186" t="str">
        <f>IFERROR(__xludf.DUMMYFUNCTION("""COMPUTED_VALUE"""),"PI4644Y")</f>
        <v>PI4644Y</v>
      </c>
      <c r="C2531" s="186" t="str">
        <f>IFERROR(__xludf.DUMMYFUNCTION("""COMPUTED_VALUE"""),"BANDEJA LAPTOP DOBRAVEL ROSA")</f>
        <v>BANDEJA LAPTOP DOBRAVEL ROSA</v>
      </c>
      <c r="D2531" s="186" t="str">
        <f>IFERROR(__xludf.DUMMYFUNCTION("""COMPUTED_VALUE"""),"FALSO")</f>
        <v>FALSO</v>
      </c>
    </row>
    <row r="2532">
      <c r="B2532" s="186" t="str">
        <f>IFERROR(__xludf.DUMMYFUNCTION("""COMPUTED_VALUE"""),"PI5783Y")</f>
        <v>PI5783Y</v>
      </c>
      <c r="C2532" s="186" t="str">
        <f>IFERROR(__xludf.DUMMYFUNCTION("""COMPUTED_VALUE"""),"LUMINARIA LAVA PASSATEMPO 127 V")</f>
        <v>LUMINARIA LAVA PASSATEMPO 127 V</v>
      </c>
      <c r="D2532" s="186" t="str">
        <f>IFERROR(__xludf.DUMMYFUNCTION("""COMPUTED_VALUE"""),"FALSO")</f>
        <v>FALSO</v>
      </c>
    </row>
    <row r="2533">
      <c r="B2533" s="186" t="str">
        <f>IFERROR(__xludf.DUMMYFUNCTION("""COMPUTED_VALUE"""),"PI5930Y")</f>
        <v>PI5930Y</v>
      </c>
      <c r="C2533" s="186" t="str">
        <f>IFERROR(__xludf.DUMMYFUNCTION("""COMPUTED_VALUE"""),"LUMINARIA LAVA PASSATEMPO 220 V")</f>
        <v>LUMINARIA LAVA PASSATEMPO 220 V</v>
      </c>
      <c r="D2533" s="186" t="str">
        <f>IFERROR(__xludf.DUMMYFUNCTION("""COMPUTED_VALUE"""),"FALSO")</f>
        <v>FALSO</v>
      </c>
    </row>
    <row r="2534">
      <c r="B2534" s="186" t="str">
        <f>IFERROR(__xludf.DUMMYFUNCTION("""COMPUTED_VALUE"""),"PI5179Y")</f>
        <v>PI5179Y</v>
      </c>
      <c r="C2534" s="186" t="str">
        <f>IFERROR(__xludf.DUMMYFUNCTION("""COMPUTED_VALUE"""),"LUMINARIA VAZADA POAS E CORACOES")</f>
        <v>LUMINARIA VAZADA POAS E CORACOES</v>
      </c>
      <c r="D2534" s="186" t="str">
        <f>IFERROR(__xludf.DUMMYFUNCTION("""COMPUTED_VALUE"""),"FALSO")</f>
        <v>FALSO</v>
      </c>
    </row>
    <row r="2535">
      <c r="B2535" s="186" t="str">
        <f>IFERROR(__xludf.DUMMYFUNCTION("""COMPUTED_VALUE"""),"PI5158Y")</f>
        <v>PI5158Y</v>
      </c>
      <c r="C2535" s="186" t="str">
        <f>IFERROR(__xludf.DUMMYFUNCTION("""COMPUTED_VALUE"""),"CORDAO DE LED FLOR DE LUZ")</f>
        <v>CORDAO DE LED FLOR DE LUZ</v>
      </c>
      <c r="D2535" s="186" t="str">
        <f>IFERROR(__xludf.DUMMYFUNCTION("""COMPUTED_VALUE"""),"FALSO")</f>
        <v>FALSO</v>
      </c>
    </row>
    <row r="2536">
      <c r="B2536" s="186" t="str">
        <f>IFERROR(__xludf.DUMMYFUNCTION("""COMPUTED_VALUE"""),"PI6160")</f>
        <v>PI6160</v>
      </c>
      <c r="C2536" s="186" t="str">
        <f>IFERROR(__xludf.DUMMYFUNCTION("""COMPUTED_VALUE"""),"ESPELHO COM LED DE OLHO EM VOCÊ")</f>
        <v>ESPELHO COM LED DE OLHO EM VOCÊ</v>
      </c>
      <c r="D2536" s="186" t="str">
        <f>IFERROR(__xludf.DUMMYFUNCTION("""COMPUTED_VALUE"""),"FALSO")</f>
        <v>FALSO</v>
      </c>
    </row>
    <row r="2537">
      <c r="B2537" s="186" t="str">
        <f>IFERROR(__xludf.DUMMYFUNCTION("""COMPUTED_VALUE"""),"PI6485")</f>
        <v>PI6485</v>
      </c>
      <c r="C2537" s="186" t="str">
        <f>IFERROR(__xludf.DUMMYFUNCTION("""COMPUTED_VALUE"""),"ESPELHO COM LED CORACAO AMOR REFLETE")</f>
        <v>ESPELHO COM LED CORACAO AMOR REFLETE</v>
      </c>
      <c r="D2537" s="186" t="str">
        <f>IFERROR(__xludf.DUMMYFUNCTION("""COMPUTED_VALUE"""),"FALSO")</f>
        <v>FALSO</v>
      </c>
    </row>
    <row r="2538">
      <c r="B2538" s="186" t="str">
        <f>IFERROR(__xludf.DUMMYFUNCTION("""COMPUTED_VALUE"""),"PI6486")</f>
        <v>PI6486</v>
      </c>
      <c r="C2538" s="186" t="str">
        <f>IFERROR(__xludf.DUMMYFUNCTION("""COMPUTED_VALUE"""),"ESPELHO COM LED ME ESPELHO NA GATA")</f>
        <v>ESPELHO COM LED ME ESPELHO NA GATA</v>
      </c>
      <c r="D2538" s="186" t="str">
        <f>IFERROR(__xludf.DUMMYFUNCTION("""COMPUTED_VALUE"""),"FALSO")</f>
        <v>FALSO</v>
      </c>
    </row>
    <row r="2539">
      <c r="B2539" s="186" t="str">
        <f>IFERROR(__xludf.DUMMYFUNCTION("""COMPUTED_VALUE"""),"PI6486")</f>
        <v>PI6486</v>
      </c>
      <c r="C2539" s="186" t="str">
        <f>IFERROR(__xludf.DUMMYFUNCTION("""COMPUTED_VALUE"""),"ESPELHO COM LED ME ESPELHO NA GATA")</f>
        <v>ESPELHO COM LED ME ESPELHO NA GATA</v>
      </c>
      <c r="D2539" s="186" t="str">
        <f>IFERROR(__xludf.DUMMYFUNCTION("""COMPUTED_VALUE"""),"FALSO")</f>
        <v>FALSO</v>
      </c>
    </row>
    <row r="2540">
      <c r="B2540" s="186" t="str">
        <f>IFERROR(__xludf.DUMMYFUNCTION("""COMPUTED_VALUE"""),"PI6486")</f>
        <v>PI6486</v>
      </c>
      <c r="C2540" s="186" t="str">
        <f>IFERROR(__xludf.DUMMYFUNCTION("""COMPUTED_VALUE"""),"ESPELHO COM LED ME ESPELHO NA GATA")</f>
        <v>ESPELHO COM LED ME ESPELHO NA GATA</v>
      </c>
      <c r="D2540" s="186" t="str">
        <f>IFERROR(__xludf.DUMMYFUNCTION("""COMPUTED_VALUE"""),"FALSO")</f>
        <v>FALSO</v>
      </c>
    </row>
    <row r="2541">
      <c r="B2541" s="186" t="str">
        <f>IFERROR(__xludf.DUMMYFUNCTION("""COMPUTED_VALUE"""),"PI7156")</f>
        <v>PI7156</v>
      </c>
      <c r="C2541" s="186" t="str">
        <f>IFERROR(__xludf.DUMMYFUNCTION("""COMPUTED_VALUE"""),"ESPELHO COM LED MAIS INCRIVEL")</f>
        <v>ESPELHO COM LED MAIS INCRIVEL</v>
      </c>
      <c r="D2541" s="186" t="str">
        <f>IFERROR(__xludf.DUMMYFUNCTION("""COMPUTED_VALUE"""),"FALSO")</f>
        <v>FALSO</v>
      </c>
    </row>
    <row r="2542">
      <c r="B2542" s="186" t="str">
        <f>IFERROR(__xludf.DUMMYFUNCTION("""COMPUTED_VALUE"""),"PI7954")</f>
        <v>PI7954</v>
      </c>
      <c r="C2542" s="186" t="str">
        <f>IFERROR(__xludf.DUMMYFUNCTION("""COMPUTED_VALUE"""),"ESPELHO LED MOVIMENTO")</f>
        <v>ESPELHO LED MOVIMENTO</v>
      </c>
      <c r="D2542" s="186" t="str">
        <f>IFERROR(__xludf.DUMMYFUNCTION("""COMPUTED_VALUE"""),"FALSO")</f>
        <v>FALSO</v>
      </c>
    </row>
    <row r="2543">
      <c r="B2543" s="186" t="str">
        <f>IFERROR(__xludf.DUMMYFUNCTION("""COMPUTED_VALUE"""),"PI7426")</f>
        <v>PI7426</v>
      </c>
      <c r="C2543" s="186" t="str">
        <f>IFERROR(__xludf.DUMMYFUNCTION("""COMPUTED_VALUE"""),"ESPELHO COM LED SEM FILTRO")</f>
        <v>ESPELHO COM LED SEM FILTRO</v>
      </c>
      <c r="D2543" s="186" t="str">
        <f>IFERROR(__xludf.DUMMYFUNCTION("""COMPUTED_VALUE"""),"FALSO")</f>
        <v>FALSO</v>
      </c>
    </row>
    <row r="2544">
      <c r="B2544" s="186" t="str">
        <f>IFERROR(__xludf.DUMMYFUNCTION("""COMPUTED_VALUE"""),"PI7427")</f>
        <v>PI7427</v>
      </c>
      <c r="C2544" s="186" t="str">
        <f>IFERROR(__xludf.DUMMYFUNCTION("""COMPUTED_VALUE"""),"ESPELHO COM LED PRONTA PARA BRILHAR")</f>
        <v>ESPELHO COM LED PRONTA PARA BRILHAR</v>
      </c>
      <c r="D2544" s="186" t="str">
        <f>IFERROR(__xludf.DUMMYFUNCTION("""COMPUTED_VALUE"""),"FALSO")</f>
        <v>FALSO</v>
      </c>
    </row>
    <row r="2545">
      <c r="B2545" s="186" t="str">
        <f>IFERROR(__xludf.DUMMYFUNCTION("""COMPUTED_VALUE"""),"PI6108Y")</f>
        <v>PI6108Y</v>
      </c>
      <c r="C2545" s="186" t="str">
        <f>IFERROR(__xludf.DUMMYFUNCTION("""COMPUTED_VALUE"""),"LUMINARIA LED NEON BAR")</f>
        <v>LUMINARIA LED NEON BAR</v>
      </c>
      <c r="D2545" s="186" t="str">
        <f>IFERROR(__xludf.DUMMYFUNCTION("""COMPUTED_VALUE"""),"FALSO")</f>
        <v>FALSO</v>
      </c>
    </row>
    <row r="2546">
      <c r="B2546" s="186" t="str">
        <f>IFERROR(__xludf.DUMMYFUNCTION("""COMPUTED_VALUE"""),"PI5468Y")</f>
        <v>PI5468Y</v>
      </c>
      <c r="C2546" s="186" t="str">
        <f>IFERROR(__xludf.DUMMYFUNCTION("""COMPUTED_VALUE"""),"PAINEL DE RECADOS LED CORACAO")</f>
        <v>PAINEL DE RECADOS LED CORACAO</v>
      </c>
      <c r="D2546" s="186" t="str">
        <f>IFERROR(__xludf.DUMMYFUNCTION("""COMPUTED_VALUE"""),"FALSO")</f>
        <v>FALSO</v>
      </c>
    </row>
    <row r="2547">
      <c r="B2547" s="186" t="str">
        <f>IFERROR(__xludf.DUMMYFUNCTION("""COMPUTED_VALUE"""),"PI4918Y")</f>
        <v>PI4918Y</v>
      </c>
      <c r="C2547" s="186" t="str">
        <f>IFERROR(__xludf.DUMMYFUNCTION("""COMPUTED_VALUE"""),"PAINEL COM LED E GANCHOS FRIENDS COFFEE")</f>
        <v>PAINEL COM LED E GANCHOS FRIENDS COFFEE</v>
      </c>
      <c r="D2547" s="186" t="str">
        <f>IFERROR(__xludf.DUMMYFUNCTION("""COMPUTED_VALUE"""),"FALSO")</f>
        <v>FALSO</v>
      </c>
    </row>
    <row r="2548">
      <c r="B2548" s="186" t="str">
        <f>IFERROR(__xludf.DUMMYFUNCTION("""COMPUTED_VALUE"""),"PI5105Y")</f>
        <v>PI5105Y</v>
      </c>
      <c r="C2548" s="186" t="str">
        <f>IFERROR(__xludf.DUMMYFUNCTION("""COMPUTED_VALUE"""),"PAINEL COM LED E GANCHOS NETFLIX CHILL")</f>
        <v>PAINEL COM LED E GANCHOS NETFLIX CHILL</v>
      </c>
      <c r="D2548" s="186" t="str">
        <f>IFERROR(__xludf.DUMMYFUNCTION("""COMPUTED_VALUE"""),"FALSO")</f>
        <v>FALSO</v>
      </c>
    </row>
    <row r="2549">
      <c r="B2549" s="186" t="str">
        <f>IFERROR(__xludf.DUMMYFUNCTION("""COMPUTED_VALUE"""),"PI5216Y")</f>
        <v>PI5216Y</v>
      </c>
      <c r="C2549" s="186" t="str">
        <f>IFERROR(__xludf.DUMMYFUNCTION("""COMPUTED_VALUE"""),"PORTA RETRATO COM LED BEATLES LOVE")</f>
        <v>PORTA RETRATO COM LED BEATLES LOVE</v>
      </c>
      <c r="D2549" s="186" t="str">
        <f>IFERROR(__xludf.DUMMYFUNCTION("""COMPUTED_VALUE"""),"FALSO")</f>
        <v>FALSO</v>
      </c>
    </row>
    <row r="2550">
      <c r="B2550" s="186" t="str">
        <f>IFERROR(__xludf.DUMMYFUNCTION("""COMPUTED_VALUE"""),"PI4702Y")</f>
        <v>PI4702Y</v>
      </c>
      <c r="C2550" s="186" t="str">
        <f>IFERROR(__xludf.DUMMYFUNCTION("""COMPUTED_VALUE"""),"PORTA RETRATO LED BRILHAR O CORACAO")</f>
        <v>PORTA RETRATO LED BRILHAR O CORACAO</v>
      </c>
      <c r="D2550" s="186" t="str">
        <f>IFERROR(__xludf.DUMMYFUNCTION("""COMPUTED_VALUE"""),"FALSO")</f>
        <v>FALSO</v>
      </c>
    </row>
    <row r="2551">
      <c r="B2551" s="186" t="str">
        <f>IFERROR(__xludf.DUMMYFUNCTION("""COMPUTED_VALUE"""),"PI4702Y")</f>
        <v>PI4702Y</v>
      </c>
      <c r="C2551" s="186" t="str">
        <f>IFERROR(__xludf.DUMMYFUNCTION("""COMPUTED_VALUE"""),"PORTA RETRATO LED BRILHAR O CORACAO")</f>
        <v>PORTA RETRATO LED BRILHAR O CORACAO</v>
      </c>
      <c r="D2551" s="186" t="str">
        <f>IFERROR(__xludf.DUMMYFUNCTION("""COMPUTED_VALUE"""),"FALSO")</f>
        <v>FALSO</v>
      </c>
    </row>
    <row r="2552">
      <c r="B2552" s="186" t="str">
        <f>IFERROR(__xludf.DUMMYFUNCTION("""COMPUTED_VALUE"""),"PI4702Y")</f>
        <v>PI4702Y</v>
      </c>
      <c r="C2552" s="186" t="str">
        <f>IFERROR(__xludf.DUMMYFUNCTION("""COMPUTED_VALUE"""),"PORTA RETRATO LED BRILHAR O CORACAO")</f>
        <v>PORTA RETRATO LED BRILHAR O CORACAO</v>
      </c>
      <c r="D2552" s="186" t="str">
        <f>IFERROR(__xludf.DUMMYFUNCTION("""COMPUTED_VALUE"""),"FALSO")</f>
        <v>FALSO</v>
      </c>
    </row>
    <row r="2553">
      <c r="B2553" s="186" t="str">
        <f>IFERROR(__xludf.DUMMYFUNCTION("""COMPUTED_VALUE"""),"PI3703Y")</f>
        <v>PI3703Y</v>
      </c>
      <c r="C2553" s="186" t="str">
        <f>IFERROR(__xludf.DUMMYFUNCTION("""COMPUTED_VALUE"""),"PORTA RETRATO LETREIRO COM LED BRANCO")</f>
        <v>PORTA RETRATO LETREIRO COM LED BRANCO</v>
      </c>
      <c r="D2553" s="186" t="str">
        <f>IFERROR(__xludf.DUMMYFUNCTION("""COMPUTED_VALUE"""),"FALSO")</f>
        <v>FALSO</v>
      </c>
    </row>
    <row r="2554">
      <c r="B2554" s="186" t="str">
        <f>IFERROR(__xludf.DUMMYFUNCTION("""COMPUTED_VALUE"""),"PI5286Y")</f>
        <v>PI5286Y</v>
      </c>
      <c r="C2554" s="186" t="str">
        <f>IFERROR(__xludf.DUMMYFUNCTION("""COMPUTED_VALUE"""),"KIT SELO DE CARTA HP BRASAO HOGWARTS")</f>
        <v>KIT SELO DE CARTA HP BRASAO HOGWARTS</v>
      </c>
      <c r="D2554" s="186" t="str">
        <f>IFERROR(__xludf.DUMMYFUNCTION("""COMPUTED_VALUE"""),"FALSO")</f>
        <v>FALSO</v>
      </c>
    </row>
    <row r="2555">
      <c r="B2555" s="186" t="str">
        <f>IFERROR(__xludf.DUMMYFUNCTION("""COMPUTED_VALUE"""),"US0096")</f>
        <v>US0096</v>
      </c>
      <c r="C2555" s="186" t="str">
        <f>IFERROR(__xludf.DUMMYFUNCTION("""COMPUTED_VALUE"""),"LUMINARIA LHAMA NATURAL")</f>
        <v>LUMINARIA LHAMA NATURAL</v>
      </c>
      <c r="D2555" s="186" t="str">
        <f>IFERROR(__xludf.DUMMYFUNCTION("""COMPUTED_VALUE"""),"FALSO")</f>
        <v>FALSO</v>
      </c>
    </row>
    <row r="2556">
      <c r="B2556" s="186" t="str">
        <f>IFERROR(__xludf.DUMMYFUNCTION("""COMPUTED_VALUE"""),"PI6471Y")</f>
        <v>PI6471Y</v>
      </c>
      <c r="C2556" s="186" t="str">
        <f>IFERROR(__xludf.DUMMYFUNCTION("""COMPUTED_VALUE"""),"CAIXA DE SOM PORTÁTIL AZUL CLARO")</f>
        <v>CAIXA DE SOM PORTÁTIL AZUL CLARO</v>
      </c>
      <c r="D2556" s="186" t="str">
        <f>IFERROR(__xludf.DUMMYFUNCTION("""COMPUTED_VALUE"""),"Anatel Category 2 - Bluetooth and Radiofrequency Comms")</f>
        <v>Anatel Category 2 - Bluetooth and Radiofrequency Comms</v>
      </c>
    </row>
    <row r="2557">
      <c r="B2557" s="186"/>
      <c r="C2557" s="186"/>
      <c r="D2557" s="186"/>
    </row>
    <row r="2558">
      <c r="B2558" s="186" t="str">
        <f>IFERROR(__xludf.DUMMYFUNCTION("""COMPUTED_VALUE"""),"PI3391Y")</f>
        <v>PI3391Y</v>
      </c>
      <c r="C2558" s="186" t="str">
        <f>IFERROR(__xludf.DUMMYFUNCTION("""COMPUTED_VALUE"""),"LUMINARIA COMANDO DE VOZ HP 9 3/4")</f>
        <v>LUMINARIA COMANDO DE VOZ HP 9 3/4</v>
      </c>
      <c r="D2558" s="186" t="str">
        <f>IFERROR(__xludf.DUMMYFUNCTION("""COMPUTED_VALUE"""),"FALSO")</f>
        <v>FALSO</v>
      </c>
    </row>
    <row r="2559">
      <c r="B2559" s="186" t="str">
        <f>IFERROR(__xludf.DUMMYFUNCTION("""COMPUTED_VALUE"""),"PI7730Y")</f>
        <v>PI7730Y</v>
      </c>
      <c r="C2559" s="186" t="str">
        <f>IFERROR(__xludf.DUMMYFUNCTION("""COMPUTED_VALUE"""),"CANETA URSO LILAS")</f>
        <v>CANETA URSO LILAS</v>
      </c>
      <c r="D2559" s="186" t="str">
        <f>IFERROR(__xludf.DUMMYFUNCTION("""COMPUTED_VALUE"""),"INMETRO SCHOOL ARTICLES SYSTEM 5 - ORDINANCE 481")</f>
        <v>INMETRO SCHOOL ARTICLES SYSTEM 5 - ORDINANCE 481</v>
      </c>
    </row>
    <row r="2560">
      <c r="B2560" s="186" t="str">
        <f>IFERROR(__xludf.DUMMYFUNCTION("""COMPUTED_VALUE"""),"PI7728Y")</f>
        <v>PI7728Y</v>
      </c>
      <c r="C2560" s="186" t="str">
        <f>IFERROR(__xludf.DUMMYFUNCTION("""COMPUTED_VALUE"""),"CANETA UNICORNIO LILAS")</f>
        <v>CANETA UNICORNIO LILAS</v>
      </c>
      <c r="D2560" s="186" t="str">
        <f>IFERROR(__xludf.DUMMYFUNCTION("""COMPUTED_VALUE"""),"INMETRO SCHOOL ARTICLES SYSTEM 5 - ORDINANCE 481")</f>
        <v>INMETRO SCHOOL ARTICLES SYSTEM 5 - ORDINANCE 481</v>
      </c>
    </row>
    <row r="2561">
      <c r="B2561" s="186" t="str">
        <f>IFERROR(__xludf.DUMMYFUNCTION("""COMPUTED_VALUE"""),"PI6810Y")</f>
        <v>PI6810Y</v>
      </c>
      <c r="C2561" s="186" t="str">
        <f>IFERROR(__xludf.DUMMYFUNCTION("""COMPUTED_VALUE"""),"PORTA RETRATO ACRILICO LILAS")</f>
        <v>PORTA RETRATO ACRILICO LILAS</v>
      </c>
      <c r="D2561" s="186" t="str">
        <f>IFERROR(__xludf.DUMMYFUNCTION("""COMPUTED_VALUE"""),"FALSO")</f>
        <v>FALSO</v>
      </c>
    </row>
    <row r="2562">
      <c r="B2562" s="186" t="str">
        <f>IFERROR(__xludf.DUMMYFUNCTION("""COMPUTED_VALUE"""),"PI5441Y")</f>
        <v>PI5441Y</v>
      </c>
      <c r="C2562" s="186" t="str">
        <f>IFERROR(__xludf.DUMMYFUNCTION("""COMPUTED_VALUE"""),"LUMINARIA LED NEON BOCA")</f>
        <v>LUMINARIA LED NEON BOCA</v>
      </c>
      <c r="D2562" s="186" t="str">
        <f>IFERROR(__xludf.DUMMYFUNCTION("""COMPUTED_VALUE"""),"FALSO")</f>
        <v>FALSO</v>
      </c>
    </row>
    <row r="2563">
      <c r="B2563" s="186" t="str">
        <f>IFERROR(__xludf.DUMMYFUNCTION("""COMPUTED_VALUE"""),"PI7364Y")</f>
        <v>PI7364Y</v>
      </c>
      <c r="C2563" s="186" t="str">
        <f>IFERROR(__xludf.DUMMYFUNCTION("""COMPUTED_VALUE"""),"PIJAMA LONGO FEM ABELHAS GG")</f>
        <v>PIJAMA LONGO FEM ABELHAS GG</v>
      </c>
      <c r="D2563" s="186" t="str">
        <f>IFERROR(__xludf.DUMMYFUNCTION("""COMPUTED_VALUE"""),"FALSO")</f>
        <v>FALSO</v>
      </c>
    </row>
    <row r="2564">
      <c r="B2564" s="186" t="str">
        <f>IFERROR(__xludf.DUMMYFUNCTION("""COMPUTED_VALUE"""),"PI7363Y")</f>
        <v>PI7363Y</v>
      </c>
      <c r="C2564" s="186" t="str">
        <f>IFERROR(__xludf.DUMMYFUNCTION("""COMPUTED_VALUE"""),"PIJAMA LONGO FEM ABELHAS G")</f>
        <v>PIJAMA LONGO FEM ABELHAS G</v>
      </c>
      <c r="D2564" s="186" t="str">
        <f>IFERROR(__xludf.DUMMYFUNCTION("""COMPUTED_VALUE"""),"FALSO")</f>
        <v>FALSO</v>
      </c>
    </row>
    <row r="2565">
      <c r="B2565" s="186" t="str">
        <f>IFERROR(__xludf.DUMMYFUNCTION("""COMPUTED_VALUE"""),"PI7362Y")</f>
        <v>PI7362Y</v>
      </c>
      <c r="C2565" s="186" t="str">
        <f>IFERROR(__xludf.DUMMYFUNCTION("""COMPUTED_VALUE"""),"PIJAMA LONGO FEM ABELHAS M")</f>
        <v>PIJAMA LONGO FEM ABELHAS M</v>
      </c>
      <c r="D2565" s="186" t="str">
        <f>IFERROR(__xludf.DUMMYFUNCTION("""COMPUTED_VALUE"""),"FALSO")</f>
        <v>FALSO</v>
      </c>
    </row>
    <row r="2566">
      <c r="B2566" s="186" t="str">
        <f>IFERROR(__xludf.DUMMYFUNCTION("""COMPUTED_VALUE"""),"PI7361Y")</f>
        <v>PI7361Y</v>
      </c>
      <c r="C2566" s="186" t="str">
        <f>IFERROR(__xludf.DUMMYFUNCTION("""COMPUTED_VALUE"""),"PIJAMA LONGO FEM ABELHAS P")</f>
        <v>PIJAMA LONGO FEM ABELHAS P</v>
      </c>
      <c r="D2566" s="186" t="str">
        <f>IFERROR(__xludf.DUMMYFUNCTION("""COMPUTED_VALUE"""),"FALSO")</f>
        <v>FALSO</v>
      </c>
    </row>
    <row r="2567">
      <c r="B2567" s="186" t="str">
        <f>IFERROR(__xludf.DUMMYFUNCTION("""COMPUTED_VALUE"""),"PI5867Y")</f>
        <v>PI5867Y</v>
      </c>
      <c r="C2567" s="186" t="str">
        <f>IFERROR(__xludf.DUMMYFUNCTION("""COMPUTED_VALUE"""),"JOGO DE DADOS MEU DIA DE SORTE")</f>
        <v>JOGO DE DADOS MEU DIA DE SORTE</v>
      </c>
      <c r="D2567" s="186" t="str">
        <f>IFERROR(__xludf.DUMMYFUNCTION("""COMPUTED_VALUE"""),"FALSO")</f>
        <v>FALSO</v>
      </c>
    </row>
    <row r="2568">
      <c r="B2568" s="186" t="str">
        <f>IFERROR(__xludf.DUMMYFUNCTION("""COMPUTED_VALUE"""),"PI5867Y")</f>
        <v>PI5867Y</v>
      </c>
      <c r="C2568" s="186" t="str">
        <f>IFERROR(__xludf.DUMMYFUNCTION("""COMPUTED_VALUE"""),"JOGO DE DADOS MEU DIA DE SORTE")</f>
        <v>JOGO DE DADOS MEU DIA DE SORTE</v>
      </c>
      <c r="D2568" s="186" t="str">
        <f>IFERROR(__xludf.DUMMYFUNCTION("""COMPUTED_VALUE"""),"FALSO")</f>
        <v>FALSO</v>
      </c>
    </row>
    <row r="2569">
      <c r="B2569" s="186" t="str">
        <f>IFERROR(__xludf.DUMMYFUNCTION("""COMPUTED_VALUE"""),"US0097")</f>
        <v>US0097</v>
      </c>
      <c r="C2569" s="186" t="str">
        <f>IFERROR(__xludf.DUMMYFUNCTION("""COMPUTED_VALUE"""),"LUMINARIA DE MESA LUA")</f>
        <v>LUMINARIA DE MESA LUA</v>
      </c>
      <c r="D2569" s="186" t="str">
        <f>IFERROR(__xludf.DUMMYFUNCTION("""COMPUTED_VALUE"""),"FALSO")</f>
        <v>FALSO</v>
      </c>
    </row>
    <row r="2570">
      <c r="B2570" s="186" t="str">
        <f>IFERROR(__xludf.DUMMYFUNCTION("""COMPUTED_VALUE"""),"PI6071Y")</f>
        <v>PI6071Y</v>
      </c>
      <c r="C2570" s="186" t="str">
        <f>IFERROR(__xludf.DUMMYFUNCTION("""COMPUTED_VALUE"""),"BOLSA PARA BAGAGEM")</f>
        <v>BOLSA PARA BAGAGEM</v>
      </c>
      <c r="D2570" s="186" t="str">
        <f>IFERROR(__xludf.DUMMYFUNCTION("""COMPUTED_VALUE"""),"FALSO")</f>
        <v>FALSO</v>
      </c>
    </row>
    <row r="2571">
      <c r="B2571" s="186" t="str">
        <f>IFERROR(__xludf.DUMMYFUNCTION("""COMPUTED_VALUE"""),"US0061")</f>
        <v>US0061</v>
      </c>
      <c r="C2571" s="186" t="str">
        <f>IFERROR(__xludf.DUMMYFUNCTION("""COMPUTED_VALUE"""),"LUMINARIA FORMATO ARCO IRIS")</f>
        <v>LUMINARIA FORMATO ARCO IRIS</v>
      </c>
      <c r="D2571" s="186" t="str">
        <f>IFERROR(__xludf.DUMMYFUNCTION("""COMPUTED_VALUE"""),"FALSO")</f>
        <v>FALSO</v>
      </c>
    </row>
    <row r="2572">
      <c r="B2572" s="186" t="str">
        <f>IFERROR(__xludf.DUMMYFUNCTION("""COMPUTED_VALUE"""),"US0065")</f>
        <v>US0065</v>
      </c>
      <c r="C2572" s="186" t="str">
        <f>IFERROR(__xludf.DUMMYFUNCTION("""COMPUTED_VALUE"""),"LUMINARIA FORMATO CARNEIRINHO")</f>
        <v>LUMINARIA FORMATO CARNEIRINHO</v>
      </c>
      <c r="D2572" s="186" t="str">
        <f>IFERROR(__xludf.DUMMYFUNCTION("""COMPUTED_VALUE"""),"FALSO")</f>
        <v>FALSO</v>
      </c>
    </row>
    <row r="2573">
      <c r="B2573" s="186" t="str">
        <f>IFERROR(__xludf.DUMMYFUNCTION("""COMPUTED_VALUE"""),"US0059")</f>
        <v>US0059</v>
      </c>
      <c r="C2573" s="186" t="str">
        <f>IFERROR(__xludf.DUMMYFUNCTION("""COMPUTED_VALUE"""),"LUMINARIA FORMATO COGUMELO")</f>
        <v>LUMINARIA FORMATO COGUMELO</v>
      </c>
      <c r="D2573" s="186" t="str">
        <f>IFERROR(__xludf.DUMMYFUNCTION("""COMPUTED_VALUE"""),"FALSO")</f>
        <v>FALSO</v>
      </c>
    </row>
    <row r="2574">
      <c r="B2574" s="186" t="str">
        <f>IFERROR(__xludf.DUMMYFUNCTION("""COMPUTED_VALUE"""),"US0058")</f>
        <v>US0058</v>
      </c>
      <c r="C2574" s="186" t="str">
        <f>IFERROR(__xludf.DUMMYFUNCTION("""COMPUTED_VALUE"""),"LUMINARIA FORMATO FINGER HEART")</f>
        <v>LUMINARIA FORMATO FINGER HEART</v>
      </c>
      <c r="D2574" s="186" t="str">
        <f>IFERROR(__xludf.DUMMYFUNCTION("""COMPUTED_VALUE"""),"FALSO")</f>
        <v>FALSO</v>
      </c>
    </row>
    <row r="2575">
      <c r="B2575" s="186" t="str">
        <f>IFERROR(__xludf.DUMMYFUNCTION("""COMPUTED_VALUE"""),"US0064")</f>
        <v>US0064</v>
      </c>
      <c r="C2575" s="186" t="str">
        <f>IFERROR(__xludf.DUMMYFUNCTION("""COMPUTED_VALUE"""),"LUMINARIA FORMATO FLOR")</f>
        <v>LUMINARIA FORMATO FLOR</v>
      </c>
      <c r="D2575" s="186" t="str">
        <f>IFERROR(__xludf.DUMMYFUNCTION("""COMPUTED_VALUE"""),"FALSO")</f>
        <v>FALSO</v>
      </c>
    </row>
    <row r="2576">
      <c r="B2576" s="186" t="str">
        <f>IFERROR(__xludf.DUMMYFUNCTION("""COMPUTED_VALUE"""),"US0063")</f>
        <v>US0063</v>
      </c>
      <c r="C2576" s="186" t="str">
        <f>IFERROR(__xludf.DUMMYFUNCTION("""COMPUTED_VALUE"""),"LUMINARIA FORMATO MORANGO")</f>
        <v>LUMINARIA FORMATO MORANGO</v>
      </c>
      <c r="D2576" s="186" t="str">
        <f>IFERROR(__xludf.DUMMYFUNCTION("""COMPUTED_VALUE"""),"FALSO")</f>
        <v>FALSO</v>
      </c>
    </row>
    <row r="2577">
      <c r="B2577" s="186" t="str">
        <f>IFERROR(__xludf.DUMMYFUNCTION("""COMPUTED_VALUE"""),"US0055")</f>
        <v>US0055</v>
      </c>
      <c r="C2577" s="186" t="str">
        <f>IFERROR(__xludf.DUMMYFUNCTION("""COMPUTED_VALUE"""),"LUMINARIA FORMATO NUVEM")</f>
        <v>LUMINARIA FORMATO NUVEM</v>
      </c>
      <c r="D2577" s="186" t="str">
        <f>IFERROR(__xludf.DUMMYFUNCTION("""COMPUTED_VALUE"""),"FALSO")</f>
        <v>FALSO</v>
      </c>
    </row>
    <row r="2578">
      <c r="B2578" s="186" t="str">
        <f>IFERROR(__xludf.DUMMYFUNCTION("""COMPUTED_VALUE"""),"US0062")</f>
        <v>US0062</v>
      </c>
      <c r="C2578" s="186" t="str">
        <f>IFERROR(__xludf.DUMMYFUNCTION("""COMPUTED_VALUE"""),"LUMINARIA FORMATO PESSEGO")</f>
        <v>LUMINARIA FORMATO PESSEGO</v>
      </c>
      <c r="D2578" s="186" t="str">
        <f>IFERROR(__xludf.DUMMYFUNCTION("""COMPUTED_VALUE"""),"FALSO")</f>
        <v>FALSO</v>
      </c>
    </row>
    <row r="2579">
      <c r="B2579" s="186" t="str">
        <f>IFERROR(__xludf.DUMMYFUNCTION("""COMPUTED_VALUE"""),"US0057")</f>
        <v>US0057</v>
      </c>
      <c r="C2579" s="186" t="str">
        <f>IFERROR(__xludf.DUMMYFUNCTION("""COMPUTED_VALUE"""),"LUMINARIA FORMATO PICOLE")</f>
        <v>LUMINARIA FORMATO PICOLE</v>
      </c>
      <c r="D2579" s="186" t="str">
        <f>IFERROR(__xludf.DUMMYFUNCTION("""COMPUTED_VALUE"""),"FALSO")</f>
        <v>FALSO</v>
      </c>
    </row>
    <row r="2580">
      <c r="B2580" s="186" t="str">
        <f>IFERROR(__xludf.DUMMYFUNCTION("""COMPUTED_VALUE"""),"US0056")</f>
        <v>US0056</v>
      </c>
      <c r="C2580" s="186" t="str">
        <f>IFERROR(__xludf.DUMMYFUNCTION("""COMPUTED_VALUE"""),"LUMINARIA FORMATO SORVETE")</f>
        <v>LUMINARIA FORMATO SORVETE</v>
      </c>
      <c r="D2580" s="186" t="str">
        <f>IFERROR(__xludf.DUMMYFUNCTION("""COMPUTED_VALUE"""),"FALSO")</f>
        <v>FALSO</v>
      </c>
    </row>
    <row r="2581">
      <c r="B2581" s="186" t="str">
        <f>IFERROR(__xludf.DUMMYFUNCTION("""COMPUTED_VALUE"""),"US0098")</f>
        <v>US0098</v>
      </c>
      <c r="C2581" s="186" t="str">
        <f>IFERROR(__xludf.DUMMYFUNCTION("""COMPUTED_VALUE"""),"LUMINARIA LUA KAWAII BRANCA")</f>
        <v>LUMINARIA LUA KAWAII BRANCA</v>
      </c>
      <c r="D2581" s="186" t="str">
        <f>IFERROR(__xludf.DUMMYFUNCTION("""COMPUTED_VALUE"""),"FALSO")</f>
        <v>FALSO</v>
      </c>
    </row>
    <row r="2582">
      <c r="B2582" s="186" t="str">
        <f>IFERROR(__xludf.DUMMYFUNCTION("""COMPUTED_VALUE"""),"US0099")</f>
        <v>US0099</v>
      </c>
      <c r="C2582" s="186" t="str">
        <f>IFERROR(__xludf.DUMMYFUNCTION("""COMPUTED_VALUE"""),"LUMINARIA SOL KAWAII")</f>
        <v>LUMINARIA SOL KAWAII</v>
      </c>
      <c r="D2582" s="186" t="str">
        <f>IFERROR(__xludf.DUMMYFUNCTION("""COMPUTED_VALUE"""),"FALSO")</f>
        <v>FALSO</v>
      </c>
    </row>
    <row r="2583">
      <c r="B2583" s="186" t="str">
        <f>IFERROR(__xludf.DUMMYFUNCTION("""COMPUTED_VALUE"""),"PI4794Y")</f>
        <v>PI4794Y</v>
      </c>
      <c r="C2583" s="186" t="str">
        <f>IFERROR(__xludf.DUMMYFUNCTION("""COMPUTED_VALUE"""),"MARMITA HP MALA DE HOGWARTS")</f>
        <v>MARMITA HP MALA DE HOGWARTS</v>
      </c>
      <c r="D2583" s="186" t="str">
        <f>IFERROR(__xludf.DUMMYFUNCTION("""COMPUTED_VALUE"""),"FALSO")</f>
        <v>FALSO</v>
      </c>
    </row>
    <row r="2584">
      <c r="B2584" s="186" t="str">
        <f>IFERROR(__xludf.DUMMYFUNCTION("""COMPUTED_VALUE"""),"PI4794Y")</f>
        <v>PI4794Y</v>
      </c>
      <c r="C2584" s="186" t="str">
        <f>IFERROR(__xludf.DUMMYFUNCTION("""COMPUTED_VALUE"""),"MARMITA HP MALA DE HOGWARTS")</f>
        <v>MARMITA HP MALA DE HOGWARTS</v>
      </c>
      <c r="D2584" s="186" t="str">
        <f>IFERROR(__xludf.DUMMYFUNCTION("""COMPUTED_VALUE"""),"FALSO")</f>
        <v>FALSO</v>
      </c>
    </row>
    <row r="2585">
      <c r="B2585" s="186" t="str">
        <f>IFERROR(__xludf.DUMMYFUNCTION("""COMPUTED_VALUE"""),"PI5145Y")</f>
        <v>PI5145Y</v>
      </c>
      <c r="C2585" s="186" t="str">
        <f>IFERROR(__xludf.DUMMYFUNCTION("""COMPUTED_VALUE"""),"MINIMARMITA STRANGER THINGS WAFFLE")</f>
        <v>MINIMARMITA STRANGER THINGS WAFFLE</v>
      </c>
      <c r="D2585" s="186" t="str">
        <f>IFERROR(__xludf.DUMMYFUNCTION("""COMPUTED_VALUE"""),"FALSO")</f>
        <v>FALSO</v>
      </c>
    </row>
    <row r="2586">
      <c r="B2586" s="186" t="str">
        <f>IFERROR(__xludf.DUMMYFUNCTION("""COMPUTED_VALUE"""),"PI5537Y")</f>
        <v>PI5537Y</v>
      </c>
      <c r="C2586" s="358" t="str">
        <f>IFERROR(__xludf.DUMMYFUNCTION("""COMPUTED_VALUE"""),"MARMITA SOL VAI COM TUDO")</f>
        <v>MARMITA SOL VAI COM TUDO</v>
      </c>
      <c r="D2586" s="186" t="str">
        <f>IFERROR(__xludf.DUMMYFUNCTION("""COMPUTED_VALUE"""),"FALSO")</f>
        <v>FALSO</v>
      </c>
    </row>
    <row r="2587">
      <c r="B2587" s="186" t="str">
        <f>IFERROR(__xludf.DUMMYFUNCTION("""COMPUTED_VALUE"""),"PI7107Y")</f>
        <v>PI7107Y</v>
      </c>
      <c r="C2587" s="358" t="str">
        <f>IFERROR(__xludf.DUMMYFUNCTION("""COMPUTED_VALUE"""),"MARMITA COM TALHERES GATINHOS")</f>
        <v>MARMITA COM TALHERES GATINHOS</v>
      </c>
      <c r="D2587" s="186" t="str">
        <f>IFERROR(__xludf.DUMMYFUNCTION("""COMPUTED_VALUE"""),"FALSO")</f>
        <v>FALSO</v>
      </c>
    </row>
    <row r="2588">
      <c r="B2588" s="186" t="str">
        <f>IFERROR(__xludf.DUMMYFUNCTION("""COMPUTED_VALUE"""),"PI7069Y")</f>
        <v>PI7069Y</v>
      </c>
      <c r="C2588" s="358" t="str">
        <f>IFERROR(__xludf.DUMMYFUNCTION("""COMPUTED_VALUE"""),"MARMITA COM TALHERES POA MEU MOMENTO")</f>
        <v>MARMITA COM TALHERES POA MEU MOMENTO</v>
      </c>
      <c r="D2588" s="186" t="str">
        <f>IFERROR(__xludf.DUMMYFUNCTION("""COMPUTED_VALUE"""),"FALSO")</f>
        <v>FALSO</v>
      </c>
    </row>
    <row r="2589">
      <c r="B2589" s="186" t="str">
        <f>IFERROR(__xludf.DUMMYFUNCTION("""COMPUTED_VALUE"""),"PI7103Y")</f>
        <v>PI7103Y</v>
      </c>
      <c r="C2589" s="358" t="str">
        <f>IFERROR(__xludf.DUMMYFUNCTION("""COMPUTED_VALUE"""),"MARMITA COM TALHERES SUSHI")</f>
        <v>MARMITA COM TALHERES SUSHI</v>
      </c>
      <c r="D2589" s="186" t="str">
        <f>IFERROR(__xludf.DUMMYFUNCTION("""COMPUTED_VALUE"""),"FALSO")</f>
        <v>FALSO</v>
      </c>
    </row>
    <row r="2590">
      <c r="B2590" s="186" t="str">
        <f>IFERROR(__xludf.DUMMYFUNCTION("""COMPUTED_VALUE"""),"PI6343Y")</f>
        <v>PI6343Y</v>
      </c>
      <c r="C2590" s="358" t="str">
        <f>IFERROR(__xludf.DUMMYFUNCTION("""COMPUTED_VALUE"""),"MARMITA COM 2 CAMADAS MELHOR HORA DO DIA")</f>
        <v>MARMITA COM 2 CAMADAS MELHOR HORA DO DIA</v>
      </c>
      <c r="D2590" s="186" t="str">
        <f>IFERROR(__xludf.DUMMYFUNCTION("""COMPUTED_VALUE"""),"FALSO")</f>
        <v>FALSO</v>
      </c>
    </row>
    <row r="2591">
      <c r="B2591" s="186" t="str">
        <f>IFERROR(__xludf.DUMMYFUNCTION("""COMPUTED_VALUE"""),"PI6343Y")</f>
        <v>PI6343Y</v>
      </c>
      <c r="C2591" s="358" t="str">
        <f>IFERROR(__xludf.DUMMYFUNCTION("""COMPUTED_VALUE"""),"MARMITA COM 2 CAMADAS MELHOR HORA DO DIA")</f>
        <v>MARMITA COM 2 CAMADAS MELHOR HORA DO DIA</v>
      </c>
      <c r="D2591" s="186" t="str">
        <f>IFERROR(__xludf.DUMMYFUNCTION("""COMPUTED_VALUE"""),"FALSO")</f>
        <v>FALSO</v>
      </c>
    </row>
    <row r="2592">
      <c r="B2592" s="186" t="str">
        <f>IFERROR(__xludf.DUMMYFUNCTION("""COMPUTED_VALUE"""),"PI5966Y")</f>
        <v>PI5966Y</v>
      </c>
      <c r="C2592" s="358" t="str">
        <f>IFERROR(__xludf.DUMMYFUNCTION("""COMPUTED_VALUE"""),"ESPELHO PORTA RETRATO REFLITO")</f>
        <v>ESPELHO PORTA RETRATO REFLITO</v>
      </c>
      <c r="D2592" s="186" t="str">
        <f>IFERROR(__xludf.DUMMYFUNCTION("""COMPUTED_VALUE"""),"FALSO")</f>
        <v>FALSO</v>
      </c>
    </row>
    <row r="2593">
      <c r="B2593" s="186" t="str">
        <f>IFERROR(__xludf.DUMMYFUNCTION("""COMPUTED_VALUE"""),"PI5966Y")</f>
        <v>PI5966Y</v>
      </c>
      <c r="C2593" s="358" t="str">
        <f>IFERROR(__xludf.DUMMYFUNCTION("""COMPUTED_VALUE"""),"ESPELHO PORTA RETRATO REFLITO")</f>
        <v>ESPELHO PORTA RETRATO REFLITO</v>
      </c>
      <c r="D2593" s="186" t="str">
        <f>IFERROR(__xludf.DUMMYFUNCTION("""COMPUTED_VALUE"""),"FALSO")</f>
        <v>FALSO</v>
      </c>
    </row>
    <row r="2594">
      <c r="B2594" s="186" t="str">
        <f>IFERROR(__xludf.DUMMYFUNCTION("""COMPUTED_VALUE"""),"PI5966Y")</f>
        <v>PI5966Y</v>
      </c>
      <c r="C2594" s="358" t="str">
        <f>IFERROR(__xludf.DUMMYFUNCTION("""COMPUTED_VALUE"""),"ESPELHO PORTA RETRATO REFLITO")</f>
        <v>ESPELHO PORTA RETRATO REFLITO</v>
      </c>
      <c r="D2594" s="186" t="str">
        <f>IFERROR(__xludf.DUMMYFUNCTION("""COMPUTED_VALUE"""),"FALSO")</f>
        <v>FALSO</v>
      </c>
    </row>
    <row r="2595">
      <c r="B2595" s="186" t="str">
        <f>IFERROR(__xludf.DUMMYFUNCTION("""COMPUTED_VALUE"""),"PI5966Y")</f>
        <v>PI5966Y</v>
      </c>
      <c r="C2595" s="358" t="str">
        <f>IFERROR(__xludf.DUMMYFUNCTION("""COMPUTED_VALUE"""),"ESPELHO PORTA RETRATO REFLITO")</f>
        <v>ESPELHO PORTA RETRATO REFLITO</v>
      </c>
      <c r="D2595" s="186" t="str">
        <f>IFERROR(__xludf.DUMMYFUNCTION("""COMPUTED_VALUE"""),"FALSO")</f>
        <v>FALSO</v>
      </c>
    </row>
    <row r="2596">
      <c r="B2596" s="186" t="str">
        <f>IFERROR(__xludf.DUMMYFUNCTION("""COMPUTED_VALUE"""),"PI3776")</f>
        <v>PI3776</v>
      </c>
      <c r="C2596" s="186" t="str">
        <f>IFERROR(__xludf.DUMMYFUNCTION("""COMPUTED_VALUE"""),"ESPELHO PORTA RETRATO REFLITO")</f>
        <v>ESPELHO PORTA RETRATO REFLITO</v>
      </c>
      <c r="D2596" s="186" t="str">
        <f>IFERROR(__xludf.DUMMYFUNCTION("""COMPUTED_VALUE"""),"FALSO")</f>
        <v>FALSO</v>
      </c>
    </row>
    <row r="2597">
      <c r="B2597" s="186" t="str">
        <f>IFERROR(__xludf.DUMMYFUNCTION("""COMPUTED_VALUE"""),"PI4887Y")</f>
        <v>PI4887Y</v>
      </c>
      <c r="C2597" s="186" t="str">
        <f>IFERROR(__xludf.DUMMYFUNCTION("""COMPUTED_VALUE"""),"COFRE MAGICO HP HOGWARTS")</f>
        <v>COFRE MAGICO HP HOGWARTS</v>
      </c>
      <c r="D2597" s="186" t="str">
        <f>IFERROR(__xludf.DUMMYFUNCTION("""COMPUTED_VALUE"""),"FALSO")</f>
        <v>FALSO</v>
      </c>
    </row>
    <row r="2598">
      <c r="B2598" s="186" t="str">
        <f>IFERROR(__xludf.DUMMYFUNCTION("""COMPUTED_VALUE"""),"PI4887Y")</f>
        <v>PI4887Y</v>
      </c>
      <c r="C2598" s="186" t="str">
        <f>IFERROR(__xludf.DUMMYFUNCTION("""COMPUTED_VALUE"""),"COFRE MAGICO HP HOGWARTS")</f>
        <v>COFRE MAGICO HP HOGWARTS</v>
      </c>
      <c r="D2598" s="186" t="str">
        <f>IFERROR(__xludf.DUMMYFUNCTION("""COMPUTED_VALUE"""),"FALSO")</f>
        <v>FALSO</v>
      </c>
    </row>
    <row r="2599">
      <c r="B2599" s="186" t="str">
        <f>IFERROR(__xludf.DUMMYFUNCTION("""COMPUTED_VALUE"""),"PI4887Y")</f>
        <v>PI4887Y</v>
      </c>
      <c r="C2599" s="186" t="str">
        <f>IFERROR(__xludf.DUMMYFUNCTION("""COMPUTED_VALUE"""),"COFRE MAGICO HP HOGWARTS")</f>
        <v>COFRE MAGICO HP HOGWARTS</v>
      </c>
      <c r="D2599" s="186" t="str">
        <f>IFERROR(__xludf.DUMMYFUNCTION("""COMPUTED_VALUE"""),"FALSO")</f>
        <v>FALSO</v>
      </c>
    </row>
    <row r="2600">
      <c r="B2600" s="186" t="str">
        <f>IFERROR(__xludf.DUMMYFUNCTION("""COMPUTED_VALUE"""),"AC2153Y")</f>
        <v>AC2153Y</v>
      </c>
      <c r="C2600" s="186" t="str">
        <f>IFERROR(__xludf.DUMMYFUNCTION("""COMPUTED_VALUE"""),"IMA PARA PI4915Y")</f>
        <v>IMA PARA PI4915Y</v>
      </c>
      <c r="D2600" s="186" t="str">
        <f>IFERROR(__xludf.DUMMYFUNCTION("""COMPUTED_VALUE"""),"FALSO")</f>
        <v>FALSO</v>
      </c>
    </row>
    <row r="2601">
      <c r="B2601" s="186" t="str">
        <f>IFERROR(__xludf.DUMMYFUNCTION("""COMPUTED_VALUE"""),"AC2208Y")</f>
        <v>AC2208Y</v>
      </c>
      <c r="C2601" s="186" t="str">
        <f>IFERROR(__xludf.DUMMYFUNCTION("""COMPUTED_VALUE"""),"IMA PARA PI5879Y")</f>
        <v>IMA PARA PI5879Y</v>
      </c>
      <c r="D2601" s="186" t="str">
        <f>IFERROR(__xludf.DUMMYFUNCTION("""COMPUTED_VALUE"""),"FALSO")</f>
        <v>FALSO</v>
      </c>
    </row>
    <row r="2602">
      <c r="B2602" s="186" t="str">
        <f>IFERROR(__xludf.DUMMYFUNCTION("""COMPUTED_VALUE"""),"PI6054Y")</f>
        <v>PI6054Y</v>
      </c>
      <c r="C2602" s="186" t="str">
        <f>IFERROR(__xludf.DUMMYFUNCTION("""COMPUTED_VALUE"""),"KIT MARCADORES MAGNETICOS HARRY POTTER")</f>
        <v>KIT MARCADORES MAGNETICOS HARRY POTTER</v>
      </c>
      <c r="D2602" s="186" t="str">
        <f>IFERROR(__xludf.DUMMYFUNCTION("""COMPUTED_VALUE"""),"FALSO")</f>
        <v>FALSO</v>
      </c>
    </row>
    <row r="2603">
      <c r="B2603" s="186" t="str">
        <f>IFERROR(__xludf.DUMMYFUNCTION("""COMPUTED_VALUE"""),"PI6054Y")</f>
        <v>PI6054Y</v>
      </c>
      <c r="C2603" s="186" t="str">
        <f>IFERROR(__xludf.DUMMYFUNCTION("""COMPUTED_VALUE"""),"KIT MARCADORES MAGNETICOS HARRY POTTER")</f>
        <v>KIT MARCADORES MAGNETICOS HARRY POTTER</v>
      </c>
      <c r="D2603" s="186" t="str">
        <f>IFERROR(__xludf.DUMMYFUNCTION("""COMPUTED_VALUE"""),"FALSO")</f>
        <v>FALSO</v>
      </c>
    </row>
    <row r="2604">
      <c r="B2604" s="186" t="str">
        <f>IFERROR(__xludf.DUMMYFUNCTION("""COMPUTED_VALUE"""),"PI6570Y")</f>
        <v>PI6570Y</v>
      </c>
      <c r="C2604" s="186" t="str">
        <f>IFERROR(__xludf.DUMMYFUNCTION("""COMPUTED_VALUE"""),"CHAVEIROS MAGNETICOS DISPOSTOS SE ATRAEM")</f>
        <v>CHAVEIROS MAGNETICOS DISPOSTOS SE ATRAEM</v>
      </c>
      <c r="D2604" s="186" t="str">
        <f>IFERROR(__xludf.DUMMYFUNCTION("""COMPUTED_VALUE"""),"FALSO")</f>
        <v>FALSO</v>
      </c>
    </row>
    <row r="2605">
      <c r="B2605" s="186" t="str">
        <f>IFERROR(__xludf.DUMMYFUNCTION("""COMPUTED_VALUE"""),"PI6679Y")</f>
        <v>PI6679Y</v>
      </c>
      <c r="C2605" s="186" t="str">
        <f>IFERROR(__xludf.DUMMYFUNCTION("""COMPUTED_VALUE"""),"PAINEL E ORGANIZADOR MAGNETICO")</f>
        <v>PAINEL E ORGANIZADOR MAGNETICO</v>
      </c>
      <c r="D2605" s="186" t="str">
        <f>IFERROR(__xludf.DUMMYFUNCTION("""COMPUTED_VALUE"""),"FALSO")</f>
        <v>FALSO</v>
      </c>
    </row>
    <row r="2606">
      <c r="B2606" s="186"/>
      <c r="C2606" s="186"/>
      <c r="D2606" s="186"/>
    </row>
    <row r="2607">
      <c r="B2607" s="186" t="str">
        <f>IFERROR(__xludf.DUMMYFUNCTION("""COMPUTED_VALUE"""),"PI6201Y")</f>
        <v>PI6201Y</v>
      </c>
      <c r="C2607" s="186" t="str">
        <f>IFERROR(__xludf.DUMMYFUNCTION("""COMPUTED_VALUE"""),"PORTA RETRATO MAGNETICO AMIZADE")</f>
        <v>PORTA RETRATO MAGNETICO AMIZADE</v>
      </c>
      <c r="D2607" s="186" t="str">
        <f>IFERROR(__xludf.DUMMYFUNCTION("""COMPUTED_VALUE"""),"FALSO")</f>
        <v>FALSO</v>
      </c>
    </row>
    <row r="2608">
      <c r="B2608" s="186" t="str">
        <f>IFERROR(__xludf.DUMMYFUNCTION("""COMPUTED_VALUE"""),"PI6201Y")</f>
        <v>PI6201Y</v>
      </c>
      <c r="C2608" s="186" t="str">
        <f>IFERROR(__xludf.DUMMYFUNCTION("""COMPUTED_VALUE"""),"PORTA RETRATO MAGNETICO AMIZADE")</f>
        <v>PORTA RETRATO MAGNETICO AMIZADE</v>
      </c>
      <c r="D2608" s="186" t="str">
        <f>IFERROR(__xludf.DUMMYFUNCTION("""COMPUTED_VALUE"""),"FALSO")</f>
        <v>FALSO</v>
      </c>
    </row>
    <row r="2609">
      <c r="B2609" s="186" t="str">
        <f>IFERROR(__xludf.DUMMYFUNCTION("""COMPUTED_VALUE"""),"PI6201Y")</f>
        <v>PI6201Y</v>
      </c>
      <c r="C2609" s="186" t="str">
        <f>IFERROR(__xludf.DUMMYFUNCTION("""COMPUTED_VALUE"""),"PORTA RETRATO MAGNETICO AMIZADE")</f>
        <v>PORTA RETRATO MAGNETICO AMIZADE</v>
      </c>
      <c r="D2609" s="186" t="str">
        <f>IFERROR(__xludf.DUMMYFUNCTION("""COMPUTED_VALUE"""),"FALSO")</f>
        <v>FALSO</v>
      </c>
    </row>
    <row r="2610">
      <c r="B2610" s="186" t="str">
        <f>IFERROR(__xludf.DUMMYFUNCTION("""COMPUTED_VALUE"""),"PI6684Y")</f>
        <v>PI6684Y</v>
      </c>
      <c r="C2610" s="186" t="str">
        <f>IFERROR(__xludf.DUMMYFUNCTION("""COMPUTED_VALUE"""),"PORTA RETRATO MAGNETICO ESTAR PRESENTE")</f>
        <v>PORTA RETRATO MAGNETICO ESTAR PRESENTE</v>
      </c>
      <c r="D2610" s="186" t="str">
        <f>IFERROR(__xludf.DUMMYFUNCTION("""COMPUTED_VALUE"""),"FALSO")</f>
        <v>FALSO</v>
      </c>
    </row>
    <row r="2611">
      <c r="B2611" s="186" t="str">
        <f>IFERROR(__xludf.DUMMYFUNCTION("""COMPUTED_VALUE"""),"PI6684Y")</f>
        <v>PI6684Y</v>
      </c>
      <c r="C2611" s="186" t="str">
        <f>IFERROR(__xludf.DUMMYFUNCTION("""COMPUTED_VALUE"""),"PORTA RETRATO MAGNETICO ESTAR PRESENTE")</f>
        <v>PORTA RETRATO MAGNETICO ESTAR PRESENTE</v>
      </c>
      <c r="D2611" s="186" t="str">
        <f>IFERROR(__xludf.DUMMYFUNCTION("""COMPUTED_VALUE"""),"FALSO")</f>
        <v>FALSO</v>
      </c>
    </row>
    <row r="2612">
      <c r="B2612" s="186" t="str">
        <f>IFERROR(__xludf.DUMMYFUNCTION("""COMPUTED_VALUE"""),"PI5051Y")</f>
        <v>PI5051Y</v>
      </c>
      <c r="C2612" s="186" t="str">
        <f>IFERROR(__xludf.DUMMYFUNCTION("""COMPUTED_VALUE"""),"KIT IMAS DE GELADEIRA ONCA")</f>
        <v>KIT IMAS DE GELADEIRA ONCA</v>
      </c>
      <c r="D2612" s="186" t="str">
        <f>IFERROR(__xludf.DUMMYFUNCTION("""COMPUTED_VALUE"""),"FALSO")</f>
        <v>FALSO</v>
      </c>
    </row>
    <row r="2613">
      <c r="B2613" s="186" t="str">
        <f>IFERROR(__xludf.DUMMYFUNCTION("""COMPUTED_VALUE"""),"PI4281Y")</f>
        <v>PI4281Y</v>
      </c>
      <c r="C2613" s="186" t="str">
        <f>IFERROR(__xludf.DUMMYFUNCTION("""COMPUTED_VALUE"""),"GARRAFA TERMICA IMA SEGUE O FLUXO")</f>
        <v>GARRAFA TERMICA IMA SEGUE O FLUXO</v>
      </c>
      <c r="D2613" s="186" t="str">
        <f>IFERROR(__xludf.DUMMYFUNCTION("""COMPUTED_VALUE"""),"FALSO")</f>
        <v>FALSO</v>
      </c>
    </row>
    <row r="2614">
      <c r="B2614" s="186" t="str">
        <f>IFERROR(__xludf.DUMMYFUNCTION("""COMPUTED_VALUE"""),"PI4281Y")</f>
        <v>PI4281Y</v>
      </c>
      <c r="C2614" s="186" t="str">
        <f>IFERROR(__xludf.DUMMYFUNCTION("""COMPUTED_VALUE"""),"GARRAFA TERMICA IMA SEGUE O FLUXO")</f>
        <v>GARRAFA TERMICA IMA SEGUE O FLUXO</v>
      </c>
      <c r="D2614" s="186" t="str">
        <f>IFERROR(__xludf.DUMMYFUNCTION("""COMPUTED_VALUE"""),"FALSO")</f>
        <v>FALSO</v>
      </c>
    </row>
    <row r="2615">
      <c r="B2615" s="186" t="str">
        <f>IFERROR(__xludf.DUMMYFUNCTION("""COMPUTED_VALUE"""),"PI4281Y")</f>
        <v>PI4281Y</v>
      </c>
      <c r="C2615" s="186" t="str">
        <f>IFERROR(__xludf.DUMMYFUNCTION("""COMPUTED_VALUE"""),"GARRAFA TERMICA IMA SEGUE O FLUXO")</f>
        <v>GARRAFA TERMICA IMA SEGUE O FLUXO</v>
      </c>
      <c r="D2615" s="186" t="str">
        <f>IFERROR(__xludf.DUMMYFUNCTION("""COMPUTED_VALUE"""),"FALSO")</f>
        <v>FALSO</v>
      </c>
    </row>
    <row r="2616">
      <c r="B2616" s="186" t="str">
        <f>IFERROR(__xludf.DUMMYFUNCTION("""COMPUTED_VALUE"""),"PI6487")</f>
        <v>PI6487</v>
      </c>
      <c r="C2616" s="186" t="str">
        <f>IFERROR(__xludf.DUMMYFUNCTION("""COMPUTED_VALUE"""),"ESPELHO DE AUMENTO SE CUIDAR")</f>
        <v>ESPELHO DE AUMENTO SE CUIDAR</v>
      </c>
      <c r="D2616" s="186" t="str">
        <f>IFERROR(__xludf.DUMMYFUNCTION("""COMPUTED_VALUE"""),"FALSO")</f>
        <v>FALSO</v>
      </c>
    </row>
    <row r="2617">
      <c r="B2617" s="186" t="str">
        <f>IFERROR(__xludf.DUMMYFUNCTION("""COMPUTED_VALUE"""),"PI6487")</f>
        <v>PI6487</v>
      </c>
      <c r="C2617" s="186" t="str">
        <f>IFERROR(__xludf.DUMMYFUNCTION("""COMPUTED_VALUE"""),"ESPELHO DE AUMENTO SE CUIDAR")</f>
        <v>ESPELHO DE AUMENTO SE CUIDAR</v>
      </c>
      <c r="D2617" s="186" t="str">
        <f>IFERROR(__xludf.DUMMYFUNCTION("""COMPUTED_VALUE"""),"FALSO")</f>
        <v>FALSO</v>
      </c>
    </row>
    <row r="2618">
      <c r="B2618" s="186" t="str">
        <f>IFERROR(__xludf.DUMMYFUNCTION("""COMPUTED_VALUE"""),"PI6487")</f>
        <v>PI6487</v>
      </c>
      <c r="C2618" s="186" t="str">
        <f>IFERROR(__xludf.DUMMYFUNCTION("""COMPUTED_VALUE"""),"ESPELHO DE AUMENTO SE CUIDAR")</f>
        <v>ESPELHO DE AUMENTO SE CUIDAR</v>
      </c>
      <c r="D2618" s="186" t="str">
        <f>IFERROR(__xludf.DUMMYFUNCTION("""COMPUTED_VALUE"""),"FALSO")</f>
        <v>FALSO</v>
      </c>
    </row>
    <row r="2619">
      <c r="B2619" s="186" t="str">
        <f>IFERROR(__xludf.DUMMYFUNCTION("""COMPUTED_VALUE"""),"PI6630Y")</f>
        <v>PI6630Y</v>
      </c>
      <c r="C2619" s="186" t="str">
        <f>IFERROR(__xludf.DUMMYFUNCTION("""COMPUTED_VALUE"""),"KIT PINCEIS DE MAQUIAGEM POR ONDE FLOR")</f>
        <v>KIT PINCEIS DE MAQUIAGEM POR ONDE FLOR</v>
      </c>
      <c r="D2619" s="186" t="str">
        <f>IFERROR(__xludf.DUMMYFUNCTION("""COMPUTED_VALUE"""),"FALSO")</f>
        <v>FALSO</v>
      </c>
    </row>
    <row r="2620">
      <c r="B2620" s="186" t="str">
        <f>IFERROR(__xludf.DUMMYFUNCTION("""COMPUTED_VALUE"""),"PI7115Y")</f>
        <v>PI7115Y</v>
      </c>
      <c r="C2620" s="186" t="str">
        <f>IFERROR(__xludf.DUMMYFUNCTION("""COMPUTED_VALUE"""),"PORTA PINCEIS DE MAQUIAGEM BASICO")</f>
        <v>PORTA PINCEIS DE MAQUIAGEM BASICO</v>
      </c>
      <c r="D2620" s="186" t="str">
        <f>IFERROR(__xludf.DUMMYFUNCTION("""COMPUTED_VALUE"""),"FALSO")</f>
        <v>FALSO</v>
      </c>
    </row>
    <row r="2621">
      <c r="B2621" s="186" t="str">
        <f>IFERROR(__xludf.DUMMYFUNCTION("""COMPUTED_VALUE"""),"PI7115Y")</f>
        <v>PI7115Y</v>
      </c>
      <c r="C2621" s="186" t="str">
        <f>IFERROR(__xludf.DUMMYFUNCTION("""COMPUTED_VALUE"""),"PORTA PINCEIS DE MAQUIAGEM BASICO")</f>
        <v>PORTA PINCEIS DE MAQUIAGEM BASICO</v>
      </c>
      <c r="D2621" s="186" t="str">
        <f>IFERROR(__xludf.DUMMYFUNCTION("""COMPUTED_VALUE"""),"FALSO")</f>
        <v>FALSO</v>
      </c>
    </row>
    <row r="2622">
      <c r="B2622" s="186" t="str">
        <f>IFERROR(__xludf.DUMMYFUNCTION("""COMPUTED_VALUE"""),"PI5560Y")</f>
        <v>PI5560Y</v>
      </c>
      <c r="C2622" s="186" t="str">
        <f>IFERROR(__xludf.DUMMYFUNCTION("""COMPUTED_VALUE"""),"KIT PINCEIS DE MAQUIAGEM DEIXA FLUIR")</f>
        <v>KIT PINCEIS DE MAQUIAGEM DEIXA FLUIR</v>
      </c>
      <c r="D2622" s="186" t="str">
        <f>IFERROR(__xludf.DUMMYFUNCTION("""COMPUTED_VALUE"""),"FALSO")</f>
        <v>FALSO</v>
      </c>
    </row>
    <row r="2623">
      <c r="B2623" s="186" t="str">
        <f>IFERROR(__xludf.DUMMYFUNCTION("""COMPUTED_VALUE"""),"PI7234Y")</f>
        <v>PI7234Y</v>
      </c>
      <c r="C2623" s="186" t="str">
        <f>IFERROR(__xludf.DUMMYFUNCTION("""COMPUTED_VALUE"""),"MALETA DE MAQUIAGEM GATINHOS")</f>
        <v>MALETA DE MAQUIAGEM GATINHOS</v>
      </c>
      <c r="D2623" s="186" t="str">
        <f>IFERROR(__xludf.DUMMYFUNCTION("""COMPUTED_VALUE"""),"FALSO")</f>
        <v>FALSO</v>
      </c>
    </row>
    <row r="2624">
      <c r="B2624" s="186" t="str">
        <f>IFERROR(__xludf.DUMMYFUNCTION("""COMPUTED_VALUE"""),"PI6270Y")</f>
        <v>PI6270Y</v>
      </c>
      <c r="C2624" s="186" t="str">
        <f>IFERROR(__xludf.DUMMYFUNCTION("""COMPUTED_VALUE"""),"MALETA DE MAQUIAGEM COM LED SEU BRILHO")</f>
        <v>MALETA DE MAQUIAGEM COM LED SEU BRILHO</v>
      </c>
      <c r="D2624" s="186" t="str">
        <f>IFERROR(__xludf.DUMMYFUNCTION("""COMPUTED_VALUE"""),"FALSO")</f>
        <v>FALSO</v>
      </c>
    </row>
    <row r="2625">
      <c r="B2625" s="186" t="str">
        <f>IFERROR(__xludf.DUMMYFUNCTION("""COMPUTED_VALUE"""),"PI7026Y")</f>
        <v>PI7026Y</v>
      </c>
      <c r="C2625" s="186" t="str">
        <f>IFERROR(__xludf.DUMMYFUNCTION("""COMPUTED_VALUE"""),"MALETA DE MAQUIAGEM ESCRITO NAS ESTRELAS")</f>
        <v>MALETA DE MAQUIAGEM ESCRITO NAS ESTRELAS</v>
      </c>
      <c r="D2625" s="186" t="str">
        <f>IFERROR(__xludf.DUMMYFUNCTION("""COMPUTED_VALUE"""),"FALSO")</f>
        <v>FALSO</v>
      </c>
    </row>
    <row r="2626">
      <c r="B2626" s="186" t="str">
        <f>IFERROR(__xludf.DUMMYFUNCTION("""COMPUTED_VALUE"""),"PI7788Y")</f>
        <v>PI7788Y</v>
      </c>
      <c r="C2626" s="186" t="str">
        <f>IFERROR(__xludf.DUMMYFUNCTION("""COMPUTED_VALUE"""),"PORTA MAQUIAGEM COM LED CINCO MINUTOS")</f>
        <v>PORTA MAQUIAGEM COM LED CINCO MINUTOS</v>
      </c>
      <c r="D2626" s="186" t="str">
        <f>IFERROR(__xludf.DUMMYFUNCTION("""COMPUTED_VALUE"""),"FALSO")</f>
        <v>FALSO</v>
      </c>
    </row>
    <row r="2627">
      <c r="B2627" s="186" t="str">
        <f>IFERROR(__xludf.DUMMYFUNCTION("""COMPUTED_VALUE"""),"PI7763Y")</f>
        <v>PI7763Y</v>
      </c>
      <c r="C2627" s="186" t="str">
        <f>IFERROR(__xludf.DUMMYFUNCTION("""COMPUTED_VALUE"""),"PORTA MAQUIAGEM COM LED BRILHO VIAGEM")</f>
        <v>PORTA MAQUIAGEM COM LED BRILHO VIAGEM</v>
      </c>
      <c r="D2627" s="186" t="str">
        <f>IFERROR(__xludf.DUMMYFUNCTION("""COMPUTED_VALUE"""),"FALSO")</f>
        <v>FALSO</v>
      </c>
    </row>
    <row r="2628">
      <c r="B2628" s="186"/>
      <c r="C2628" s="186"/>
      <c r="D2628" s="186"/>
    </row>
    <row r="2629">
      <c r="B2629" s="186" t="str">
        <f>IFERROR(__xludf.DUMMYFUNCTION("""COMPUTED_VALUE"""),"PI7693Y")</f>
        <v>PI7693Y</v>
      </c>
      <c r="C2629" s="186" t="str">
        <f>IFERROR(__xludf.DUMMYFUNCTION("""COMPUTED_VALUE"""),"ESPONJA MAQUIAGEM FANTASMINHA BOO")</f>
        <v>ESPONJA MAQUIAGEM FANTASMINHA BOO</v>
      </c>
      <c r="D2629" s="186" t="str">
        <f>IFERROR(__xludf.DUMMYFUNCTION("""COMPUTED_VALUE"""),"FALSO")</f>
        <v>FALSO</v>
      </c>
    </row>
    <row r="2630">
      <c r="B2630" s="186" t="str">
        <f>IFERROR(__xludf.DUMMYFUNCTION("""COMPUTED_VALUE"""),"PI7690Y")</f>
        <v>PI7690Y</v>
      </c>
      <c r="C2630" s="186" t="str">
        <f>IFERROR(__xludf.DUMMYFUNCTION("""COMPUTED_VALUE"""),"ESPONJA MAQUIAGEM FANTASMINHA FOFO")</f>
        <v>ESPONJA MAQUIAGEM FANTASMINHA FOFO</v>
      </c>
      <c r="D2630" s="186" t="str">
        <f>IFERROR(__xludf.DUMMYFUNCTION("""COMPUTED_VALUE"""),"FALSO")</f>
        <v>FALSO</v>
      </c>
    </row>
    <row r="2631">
      <c r="B2631" s="186" t="str">
        <f>IFERROR(__xludf.DUMMYFUNCTION("""COMPUTED_VALUE"""),"PI7694Y")</f>
        <v>PI7694Y</v>
      </c>
      <c r="C2631" s="186" t="str">
        <f>IFERROR(__xludf.DUMMYFUNCTION("""COMPUTED_VALUE"""),"ESPONJA MAQUIAGEM FANTASMINHA FELIZ")</f>
        <v>ESPONJA MAQUIAGEM FANTASMINHA FELIZ</v>
      </c>
      <c r="D2631" s="186" t="str">
        <f>IFERROR(__xludf.DUMMYFUNCTION("""COMPUTED_VALUE"""),"FALSO")</f>
        <v>FALSO</v>
      </c>
    </row>
    <row r="2632">
      <c r="B2632" s="186" t="str">
        <f>IFERROR(__xludf.DUMMYFUNCTION("""COMPUTED_VALUE"""),"PI7692Y")</f>
        <v>PI7692Y</v>
      </c>
      <c r="C2632" s="186" t="str">
        <f>IFERROR(__xludf.DUMMYFUNCTION("""COMPUTED_VALUE"""),"ESPONJA MAQUIAGEM FANTASMINHA PUFAVO")</f>
        <v>ESPONJA MAQUIAGEM FANTASMINHA PUFAVO</v>
      </c>
      <c r="D2632" s="186" t="str">
        <f>IFERROR(__xludf.DUMMYFUNCTION("""COMPUTED_VALUE"""),"FALSO")</f>
        <v>FALSO</v>
      </c>
    </row>
    <row r="2633">
      <c r="B2633" s="186" t="str">
        <f>IFERROR(__xludf.DUMMYFUNCTION("""COMPUTED_VALUE"""),"PI7691Y")</f>
        <v>PI7691Y</v>
      </c>
      <c r="C2633" s="186" t="str">
        <f>IFERROR(__xludf.DUMMYFUNCTION("""COMPUTED_VALUE"""),"ESPONJA MAQUIAGEM FANTASMINHA OCULOS")</f>
        <v>ESPONJA MAQUIAGEM FANTASMINHA OCULOS</v>
      </c>
      <c r="D2633" s="186" t="str">
        <f>IFERROR(__xludf.DUMMYFUNCTION("""COMPUTED_VALUE"""),"FALSO")</f>
        <v>FALSO</v>
      </c>
    </row>
    <row r="2634">
      <c r="B2634" s="186" t="str">
        <f>IFERROR(__xludf.DUMMYFUNCTION("""COMPUTED_VALUE"""),"PI6255Y")</f>
        <v>PI6255Y</v>
      </c>
      <c r="C2634" s="186" t="str">
        <f>IFERROR(__xludf.DUMMYFUNCTION("""COMPUTED_VALUE"""),"MALETA PORTA-MAQUIAGEM CONSTELAÇÕES")</f>
        <v>MALETA PORTA-MAQUIAGEM CONSTELAÇÕES</v>
      </c>
      <c r="D2634" s="186" t="str">
        <f>IFERROR(__xludf.DUMMYFUNCTION("""COMPUTED_VALUE"""),"FALSO")</f>
        <v>FALSO</v>
      </c>
    </row>
    <row r="2635">
      <c r="B2635" s="186" t="str">
        <f>IFERROR(__xludf.DUMMYFUNCTION("""COMPUTED_VALUE"""),"PI7778Y")</f>
        <v>PI7778Y</v>
      </c>
      <c r="C2635" s="186" t="str">
        <f>IFERROR(__xludf.DUMMYFUNCTION("""COMPUTED_VALUE"""),"PANTUFA MASCULINA HP POMO DE OURO")</f>
        <v>PANTUFA MASCULINA HP POMO DE OURO</v>
      </c>
      <c r="D2635" s="186" t="str">
        <f>IFERROR(__xludf.DUMMYFUNCTION("""COMPUTED_VALUE"""),"FALSO")</f>
        <v>FALSO</v>
      </c>
    </row>
    <row r="2636">
      <c r="B2636" s="186" t="str">
        <f>IFERROR(__xludf.DUMMYFUNCTION("""COMPUTED_VALUE"""),"PI7467Y")</f>
        <v>PI7467Y</v>
      </c>
      <c r="C2636" s="186" t="str">
        <f>IFERROR(__xludf.DUMMYFUNCTION("""COMPUTED_VALUE"""),"PANTUFA MASCULINA SOLA EMBORRACHADA AZUL")</f>
        <v>PANTUFA MASCULINA SOLA EMBORRACHADA AZUL</v>
      </c>
      <c r="D2636" s="186" t="str">
        <f>IFERROR(__xludf.DUMMYFUNCTION("""COMPUTED_VALUE"""),"FALSO")</f>
        <v>FALSO</v>
      </c>
    </row>
    <row r="2637">
      <c r="B2637" s="186" t="str">
        <f>IFERROR(__xludf.DUMMYFUNCTION("""COMPUTED_VALUE"""),"CS1860")</f>
        <v>CS1860</v>
      </c>
      <c r="C2637" s="186" t="str">
        <f>IFERROR(__xludf.DUMMYFUNCTION("""COMPUTED_VALUE"""),"MAPA RASPADINHA MUNDO")</f>
        <v>MAPA RASPADINHA MUNDO</v>
      </c>
      <c r="D2637" s="186" t="str">
        <f>IFERROR(__xludf.DUMMYFUNCTION("""COMPUTED_VALUE"""),"FALSO")</f>
        <v>FALSO</v>
      </c>
    </row>
    <row r="2638">
      <c r="B2638" s="186" t="str">
        <f>IFERROR(__xludf.DUMMYFUNCTION("""COMPUTED_VALUE"""),"AC2219")</f>
        <v>AC2219</v>
      </c>
      <c r="C2638" s="186"/>
      <c r="D2638" s="186" t="str">
        <f>IFERROR(__xludf.DUMMYFUNCTION("""COMPUTED_VALUE"""),"FALSO")</f>
        <v>FALSO</v>
      </c>
    </row>
    <row r="2639">
      <c r="B2639" s="186" t="str">
        <f>IFERROR(__xludf.DUMMYFUNCTION("""COMPUTED_VALUE"""),"CS2177")</f>
        <v>CS2177</v>
      </c>
      <c r="C2639" s="186" t="str">
        <f>IFERROR(__xludf.DUMMYFUNCTION("""COMPUTED_VALUE"""),"MARMITA COMIDA COLORIDA")</f>
        <v>MARMITA COMIDA COLORIDA</v>
      </c>
      <c r="D2639" s="186" t="str">
        <f>IFERROR(__xludf.DUMMYFUNCTION("""COMPUTED_VALUE"""),"FALSO")</f>
        <v>FALSO</v>
      </c>
    </row>
    <row r="2640">
      <c r="B2640" s="186" t="str">
        <f>IFERROR(__xludf.DUMMYFUNCTION("""COMPUTED_VALUE"""),"CS2178")</f>
        <v>CS2178</v>
      </c>
      <c r="C2640" s="186" t="str">
        <f>IFERROR(__xludf.DUMMYFUNCTION("""COMPUTED_VALUE"""),"MARMITA FECHADO PARA ALMOCO")</f>
        <v>MARMITA FECHADO PARA ALMOCO</v>
      </c>
      <c r="D2640" s="186" t="str">
        <f>IFERROR(__xludf.DUMMYFUNCTION("""COMPUTED_VALUE"""),"FALSO")</f>
        <v>FALSO</v>
      </c>
    </row>
    <row r="2641">
      <c r="B2641" s="186" t="str">
        <f>IFERROR(__xludf.DUMMYFUNCTION("""COMPUTED_VALUE"""),"PI6932Y")</f>
        <v>PI6932Y</v>
      </c>
      <c r="C2641" s="186" t="str">
        <f>IFERROR(__xludf.DUMMYFUNCTION("""COMPUTED_VALUE"""),"PELUCIA AURORA G")</f>
        <v>PELUCIA AURORA G</v>
      </c>
      <c r="D2641" s="186" t="str">
        <f>IFERROR(__xludf.DUMMYFUNCTION("""COMPUTED_VALUE"""),"INMETRO Toys System 5 - Ordinance 302")</f>
        <v>INMETRO Toys System 5 - Ordinance 302</v>
      </c>
    </row>
    <row r="2642">
      <c r="B2642" s="186" t="str">
        <f>IFERROR(__xludf.DUMMYFUNCTION("""COMPUTED_VALUE"""),"PI6931Y")</f>
        <v>PI6931Y</v>
      </c>
      <c r="C2642" s="186" t="str">
        <f>IFERROR(__xludf.DUMMYFUNCTION("""COMPUTED_VALUE"""),"PELUCIA AURORA P")</f>
        <v>PELUCIA AURORA P</v>
      </c>
      <c r="D2642" s="186" t="str">
        <f>IFERROR(__xludf.DUMMYFUNCTION("""COMPUTED_VALUE"""),"INMETRO Toys System 5 - Ordinance 302")</f>
        <v>INMETRO Toys System 5 - Ordinance 302</v>
      </c>
    </row>
    <row r="2643">
      <c r="B2643" s="186"/>
      <c r="C2643" s="186"/>
      <c r="D2643" s="186"/>
    </row>
    <row r="2644">
      <c r="B2644" s="186" t="str">
        <f>IFERROR(__xludf.DUMMYFUNCTION("""COMPUTED_VALUE"""),"PI7307Y")</f>
        <v>PI7307Y</v>
      </c>
      <c r="C2644" s="186" t="str">
        <f>IFERROR(__xludf.DUMMYFUNCTION("""COMPUTED_VALUE"""),"PUFF MASCOTINHOS AURORA")</f>
        <v>PUFF MASCOTINHOS AURORA</v>
      </c>
      <c r="D2644" s="186" t="str">
        <f>IFERROR(__xludf.DUMMYFUNCTION("""COMPUTED_VALUE"""),"FALSO")</f>
        <v>FALSO</v>
      </c>
    </row>
    <row r="2645">
      <c r="B2645" s="186" t="str">
        <f>IFERROR(__xludf.DUMMYFUNCTION("""COMPUTED_VALUE"""),"PI7308Y")</f>
        <v>PI7308Y</v>
      </c>
      <c r="C2645" s="186" t="str">
        <f>IFERROR(__xludf.DUMMYFUNCTION("""COMPUTED_VALUE"""),"PUFF MASCOTINHOS ZECA")</f>
        <v>PUFF MASCOTINHOS ZECA</v>
      </c>
      <c r="D2645" s="186" t="str">
        <f>IFERROR(__xludf.DUMMYFUNCTION("""COMPUTED_VALUE"""),"FALSO")</f>
        <v>FALSO</v>
      </c>
    </row>
    <row r="2646">
      <c r="B2646" s="186" t="str">
        <f>IFERROR(__xludf.DUMMYFUNCTION("""COMPUTED_VALUE"""),"PI7288Y")</f>
        <v>PI7288Y</v>
      </c>
      <c r="C2646" s="186" t="str">
        <f>IFERROR(__xludf.DUMMYFUNCTION("""COMPUTED_VALUE"""),"ALMOFADA MASSAGEADORA MODO AVIAO")</f>
        <v>ALMOFADA MASSAGEADORA MODO AVIAO</v>
      </c>
      <c r="D2646" s="186" t="str">
        <f>IFERROR(__xludf.DUMMYFUNCTION("""COMPUTED_VALUE"""),"FALSO")</f>
        <v>FALSO</v>
      </c>
    </row>
    <row r="2647">
      <c r="B2647" s="186" t="str">
        <f>IFERROR(__xludf.DUMMYFUNCTION("""COMPUTED_VALUE"""),"PI7313Y")</f>
        <v>PI7313Y</v>
      </c>
      <c r="C2647" s="186" t="str">
        <f>IFERROR(__xludf.DUMMYFUNCTION("""COMPUTED_VALUE"""),"ALMOFADA MASSAGEADORA LIVRE PARA VOAR")</f>
        <v>ALMOFADA MASSAGEADORA LIVRE PARA VOAR</v>
      </c>
      <c r="D2647" s="186" t="str">
        <f>IFERROR(__xludf.DUMMYFUNCTION("""COMPUTED_VALUE"""),"FALSO")</f>
        <v>FALSO</v>
      </c>
    </row>
    <row r="2648">
      <c r="B2648" s="186" t="str">
        <f>IFERROR(__xludf.DUMMYFUNCTION("""COMPUTED_VALUE"""),"PI6248Y")</f>
        <v>PI6248Y</v>
      </c>
      <c r="C2648" s="186" t="str">
        <f>IFERROR(__xludf.DUMMYFUNCTION("""COMPUTED_VALUE"""),"ALMOFADA MASSAGEADORA SEU TEMPO")</f>
        <v>ALMOFADA MASSAGEADORA SEU TEMPO</v>
      </c>
      <c r="D2648" s="186" t="str">
        <f>IFERROR(__xludf.DUMMYFUNCTION("""COMPUTED_VALUE"""),"FALSO")</f>
        <v>FALSO</v>
      </c>
    </row>
    <row r="2649">
      <c r="B2649" s="186" t="str">
        <f>IFERROR(__xludf.DUMMYFUNCTION("""COMPUTED_VALUE"""),"PI6244Y")</f>
        <v>PI6244Y</v>
      </c>
      <c r="C2649" s="186" t="str">
        <f>IFERROR(__xludf.DUMMYFUNCTION("""COMPUTED_VALUE"""),"MASSAGEADOR ELÉTRICO POR MASSAGEM")</f>
        <v>MASSAGEADOR ELÉTRICO POR MASSAGEM</v>
      </c>
      <c r="D2649" s="186" t="str">
        <f>IFERROR(__xludf.DUMMYFUNCTION("""COMPUTED_VALUE"""),"FALSO")</f>
        <v>FALSO</v>
      </c>
    </row>
    <row r="2650">
      <c r="B2650" s="186" t="str">
        <f>IFERROR(__xludf.DUMMYFUNCTION("""COMPUTED_VALUE"""),"PI6244Y")</f>
        <v>PI6244Y</v>
      </c>
      <c r="C2650" s="186" t="str">
        <f>IFERROR(__xludf.DUMMYFUNCTION("""COMPUTED_VALUE"""),"MASSAGEADOR ELÉTRICO POR MASSAGEM")</f>
        <v>MASSAGEADOR ELÉTRICO POR MASSAGEM</v>
      </c>
      <c r="D2650" s="186" t="str">
        <f>IFERROR(__xludf.DUMMYFUNCTION("""COMPUTED_VALUE"""),"FALSO")</f>
        <v>FALSO</v>
      </c>
    </row>
    <row r="2651">
      <c r="B2651" s="186" t="str">
        <f>IFERROR(__xludf.DUMMYFUNCTION("""COMPUTED_VALUE"""),"PI6244Y")</f>
        <v>PI6244Y</v>
      </c>
      <c r="C2651" s="186" t="str">
        <f>IFERROR(__xludf.DUMMYFUNCTION("""COMPUTED_VALUE"""),"MASSAGEADOR ELÉTRICO POR MASSAGEM")</f>
        <v>MASSAGEADOR ELÉTRICO POR MASSAGEM</v>
      </c>
      <c r="D2651" s="186" t="str">
        <f>IFERROR(__xludf.DUMMYFUNCTION("""COMPUTED_VALUE"""),"FALSO")</f>
        <v>FALSO</v>
      </c>
    </row>
    <row r="2652">
      <c r="B2652" s="186" t="str">
        <f>IFERROR(__xludf.DUMMYFUNCTION("""COMPUTED_VALUE"""),"PI7120Y")</f>
        <v>PI7120Y</v>
      </c>
      <c r="C2652" s="186" t="str">
        <f>IFERROR(__xludf.DUMMYFUNCTION("""COMPUTED_VALUE"""),"MASSAGEADOR CAIXINHA DE CUIDADOS")</f>
        <v>MASSAGEADOR CAIXINHA DE CUIDADOS</v>
      </c>
      <c r="D2652" s="186" t="str">
        <f>IFERROR(__xludf.DUMMYFUNCTION("""COMPUTED_VALUE"""),"FALSO")</f>
        <v>FALSO</v>
      </c>
    </row>
    <row r="2653">
      <c r="B2653" s="186" t="str">
        <f>IFERROR(__xludf.DUMMYFUNCTION("""COMPUTED_VALUE"""),"PI7118Y")</f>
        <v>PI7118Y</v>
      </c>
      <c r="C2653" s="186" t="str">
        <f>IFERROR(__xludf.DUMMYFUNCTION("""COMPUTED_VALUE"""),"MASSAGEADOR PISTOLA MEU MOMENTO")</f>
        <v>MASSAGEADOR PISTOLA MEU MOMENTO</v>
      </c>
      <c r="D2653" s="186" t="str">
        <f>IFERROR(__xludf.DUMMYFUNCTION("""COMPUTED_VALUE"""),"FALSO")</f>
        <v>FALSO</v>
      </c>
    </row>
    <row r="2654">
      <c r="B2654" s="186"/>
      <c r="C2654" s="186"/>
      <c r="D2654" s="186"/>
    </row>
    <row r="2655">
      <c r="B2655" s="186" t="str">
        <f>IFERROR(__xludf.DUMMYFUNCTION("""COMPUTED_VALUE"""),"PI7118Y")</f>
        <v>PI7118Y</v>
      </c>
      <c r="C2655" s="186" t="str">
        <f>IFERROR(__xludf.DUMMYFUNCTION("""COMPUTED_VALUE"""),"MASSAGEADOR PISTOLA MEU MOMENTO")</f>
        <v>MASSAGEADOR PISTOLA MEU MOMENTO</v>
      </c>
      <c r="D2655" s="186" t="str">
        <f>IFERROR(__xludf.DUMMYFUNCTION("""COMPUTED_VALUE"""),"FALSO")</f>
        <v>FALSO</v>
      </c>
    </row>
    <row r="2656">
      <c r="B2656" s="186" t="str">
        <f>IFERROR(__xludf.DUMMYFUNCTION("""COMPUTED_VALUE"""),"PI6465Y")</f>
        <v>PI6465Y</v>
      </c>
      <c r="C2656" s="186" t="str">
        <f>IFERROR(__xludf.DUMMYFUNCTION("""COMPUTED_VALUE"""),"ALMOFADA MASSAGEADORA CONSTELACOES")</f>
        <v>ALMOFADA MASSAGEADORA CONSTELACOES</v>
      </c>
      <c r="D2656" s="186" t="str">
        <f>IFERROR(__xludf.DUMMYFUNCTION("""COMPUTED_VALUE"""),"FALSO")</f>
        <v>FALSO</v>
      </c>
    </row>
    <row r="2657">
      <c r="B2657" s="186" t="str">
        <f>IFERROR(__xludf.DUMMYFUNCTION("""COMPUTED_VALUE"""),"PI5314Y")</f>
        <v>PI5314Y</v>
      </c>
      <c r="C2657" s="186" t="str">
        <f>IFERROR(__xludf.DUMMYFUNCTION("""COMPUTED_VALUE"""),"ALMOFADA MASSAGEADORA LATA HAPPY HOUR")</f>
        <v>ALMOFADA MASSAGEADORA LATA HAPPY HOUR</v>
      </c>
      <c r="D2657" s="186" t="str">
        <f>IFERROR(__xludf.DUMMYFUNCTION("""COMPUTED_VALUE"""),"FALSO")</f>
        <v>FALSO</v>
      </c>
    </row>
    <row r="2658">
      <c r="B2658" s="186" t="str">
        <f>IFERROR(__xludf.DUMMYFUNCTION("""COMPUTED_VALUE"""),"PI2964Y")</f>
        <v>PI2964Y</v>
      </c>
      <c r="C2658" s="186" t="str">
        <f>IFERROR(__xludf.DUMMYFUNCTION("""COMPUTED_VALUE"""),"ALMOFADA MASSAGEADORA HP GRIFINORIA")</f>
        <v>ALMOFADA MASSAGEADORA HP GRIFINORIA</v>
      </c>
      <c r="D2658" s="186" t="str">
        <f>IFERROR(__xludf.DUMMYFUNCTION("""COMPUTED_VALUE"""),"FALSO")</f>
        <v>FALSO</v>
      </c>
    </row>
    <row r="2659">
      <c r="B2659" s="186" t="str">
        <f>IFERROR(__xludf.DUMMYFUNCTION("""COMPUTED_VALUE"""),"PI2964Y")</f>
        <v>PI2964Y</v>
      </c>
      <c r="C2659" s="186" t="str">
        <f>IFERROR(__xludf.DUMMYFUNCTION("""COMPUTED_VALUE"""),"ALMOFADA MASSAGEADORA HP GRIFINORIA")</f>
        <v>ALMOFADA MASSAGEADORA HP GRIFINORIA</v>
      </c>
      <c r="D2659" s="186" t="str">
        <f>IFERROR(__xludf.DUMMYFUNCTION("""COMPUTED_VALUE"""),"FALSO")</f>
        <v>FALSO</v>
      </c>
    </row>
    <row r="2660">
      <c r="B2660" s="186" t="str">
        <f>IFERROR(__xludf.DUMMYFUNCTION("""COMPUTED_VALUE"""),"PI5065Y")</f>
        <v>PI5065Y</v>
      </c>
      <c r="C2660" s="186" t="str">
        <f>IFERROR(__xludf.DUMMYFUNCTION("""COMPUTED_VALUE"""),"ALMOFADA MASSAGEADORA ONCA TO ON")</f>
        <v>ALMOFADA MASSAGEADORA ONCA TO ON</v>
      </c>
      <c r="D2660" s="186" t="str">
        <f>IFERROR(__xludf.DUMMYFUNCTION("""COMPUTED_VALUE"""),"FALSO")</f>
        <v>FALSO</v>
      </c>
    </row>
    <row r="2661">
      <c r="B2661" s="186" t="str">
        <f>IFERROR(__xludf.DUMMYFUNCTION("""COMPUTED_VALUE"""),"PI5282Y")</f>
        <v>PI5282Y</v>
      </c>
      <c r="C2661" s="186" t="str">
        <f>IFERROR(__xludf.DUMMYFUNCTION("""COMPUTED_VALUE"""),"ALMOFADA MASSAGEADORA CAPUZ HP HOGWARTS")</f>
        <v>ALMOFADA MASSAGEADORA CAPUZ HP HOGWARTS</v>
      </c>
      <c r="D2661" s="186" t="str">
        <f>IFERROR(__xludf.DUMMYFUNCTION("""COMPUTED_VALUE"""),"FALSO")</f>
        <v>FALSO</v>
      </c>
    </row>
    <row r="2662">
      <c r="B2662" s="186" t="str">
        <f>IFERROR(__xludf.DUMMYFUNCTION("""COMPUTED_VALUE"""),"PI5282Y")</f>
        <v>PI5282Y</v>
      </c>
      <c r="C2662" s="186" t="str">
        <f>IFERROR(__xludf.DUMMYFUNCTION("""COMPUTED_VALUE"""),"ALMOFADA MASSAGEADORA CAPUZ HP HOGWARTS")</f>
        <v>ALMOFADA MASSAGEADORA CAPUZ HP HOGWARTS</v>
      </c>
      <c r="D2662" s="186" t="str">
        <f>IFERROR(__xludf.DUMMYFUNCTION("""COMPUTED_VALUE"""),"FALSO")</f>
        <v>FALSO</v>
      </c>
    </row>
    <row r="2663">
      <c r="B2663" s="186" t="str">
        <f>IFERROR(__xludf.DUMMYFUNCTION("""COMPUTED_VALUE"""),"PI4741Y")</f>
        <v>PI4741Y</v>
      </c>
      <c r="C2663" s="186" t="str">
        <f>IFERROR(__xludf.DUMMYFUNCTION("""COMPUTED_VALUE"""),"ALMOFADA MASSAGEADORA SPEAKER CARRO")</f>
        <v>ALMOFADA MASSAGEADORA SPEAKER CARRO</v>
      </c>
      <c r="D2663" s="186" t="str">
        <f>IFERROR(__xludf.DUMMYFUNCTION("""COMPUTED_VALUE"""),"FALSO")</f>
        <v>FALSO</v>
      </c>
    </row>
    <row r="2664">
      <c r="B2664" s="186" t="str">
        <f>IFERROR(__xludf.DUMMYFUNCTION("""COMPUTED_VALUE"""),"PI5181Y")</f>
        <v>PI5181Y</v>
      </c>
      <c r="C2664" s="186" t="str">
        <f>IFERROR(__xludf.DUMMYFUNCTION("""COMPUTED_VALUE"""),"PONCHO COM MASSAGEADOR COBERTA DE RAZAO")</f>
        <v>PONCHO COM MASSAGEADOR COBERTA DE RAZAO</v>
      </c>
      <c r="D2664" s="186" t="str">
        <f>IFERROR(__xludf.DUMMYFUNCTION("""COMPUTED_VALUE"""),"FALSO")</f>
        <v>FALSO</v>
      </c>
    </row>
    <row r="2665">
      <c r="B2665" s="186" t="str">
        <f>IFERROR(__xludf.DUMMYFUNCTION("""COMPUTED_VALUE"""),"PI5106Y")</f>
        <v>PI5106Y</v>
      </c>
      <c r="C2665" s="186" t="str">
        <f>IFERROR(__xludf.DUMMYFUNCTION("""COMPUTED_VALUE"""),"ROUPAO COM MASSAGEADOR NETFLIX VERMELHO")</f>
        <v>ROUPAO COM MASSAGEADOR NETFLIX VERMELHO</v>
      </c>
      <c r="D2665" s="186" t="str">
        <f>IFERROR(__xludf.DUMMYFUNCTION("""COMPUTED_VALUE"""),"FALSO")</f>
        <v>FALSO</v>
      </c>
    </row>
    <row r="2666">
      <c r="B2666" s="186" t="str">
        <f>IFERROR(__xludf.DUMMYFUNCTION("""COMPUTED_VALUE"""),"PI7945Y")</f>
        <v>PI7945Y</v>
      </c>
      <c r="C2666" s="186" t="str">
        <f>IFERROR(__xludf.DUMMYFUNCTION("""COMPUTED_VALUE"""),"MASSAGEADOR SHIATSU LUVAS")</f>
        <v>MASSAGEADOR SHIATSU LUVAS</v>
      </c>
      <c r="D2666" s="186" t="str">
        <f>IFERROR(__xludf.DUMMYFUNCTION("""COMPUTED_VALUE"""),"FALSO")</f>
        <v>FALSO</v>
      </c>
    </row>
    <row r="2667">
      <c r="B2667" s="186" t="str">
        <f>IFERROR(__xludf.DUMMYFUNCTION("""COMPUTED_VALUE"""),"CS2485")</f>
        <v>CS2485</v>
      </c>
      <c r="C2667" s="186" t="str">
        <f>IFERROR(__xludf.DUMMYFUNCTION("""COMPUTED_VALUE"""),"MEIA ADOCADINHOS DIA PE DIREITO")</f>
        <v>MEIA ADOCADINHOS DIA PE DIREITO</v>
      </c>
      <c r="D2667" s="186" t="str">
        <f>IFERROR(__xludf.DUMMYFUNCTION("""COMPUTED_VALUE"""),"FALSO")</f>
        <v>FALSO</v>
      </c>
    </row>
    <row r="2668">
      <c r="B2668" s="186" t="str">
        <f>IFERROR(__xludf.DUMMYFUNCTION("""COMPUTED_VALUE"""),"CS2480")</f>
        <v>CS2480</v>
      </c>
      <c r="C2668" s="186" t="str">
        <f>IFERROR(__xludf.DUMMYFUNCTION("""COMPUTED_VALUE"""),"MEIA ADOCADINHOS HOJE VAI SER INCRIVEL")</f>
        <v>MEIA ADOCADINHOS HOJE VAI SER INCRIVEL</v>
      </c>
      <c r="D2668" s="186" t="str">
        <f>IFERROR(__xludf.DUMMYFUNCTION("""COMPUTED_VALUE"""),"FALSO")</f>
        <v>FALSO</v>
      </c>
    </row>
    <row r="2669">
      <c r="B2669" s="186" t="str">
        <f>IFERROR(__xludf.DUMMYFUNCTION("""COMPUTED_VALUE"""),"CS2481")</f>
        <v>CS2481</v>
      </c>
      <c r="C2669" s="186" t="str">
        <f>IFERROR(__xludf.DUMMYFUNCTION("""COMPUTED_VALUE"""),"MEIA ADOCADINHOS MEIA DA SORTE")</f>
        <v>MEIA ADOCADINHOS MEIA DA SORTE</v>
      </c>
      <c r="D2669" s="186" t="str">
        <f>IFERROR(__xludf.DUMMYFUNCTION("""COMPUTED_VALUE"""),"FALSO")</f>
        <v>FALSO</v>
      </c>
    </row>
    <row r="2670">
      <c r="B2670" s="186" t="str">
        <f>IFERROR(__xludf.DUMMYFUNCTION("""COMPUTED_VALUE"""),"CS2484")</f>
        <v>CS2484</v>
      </c>
      <c r="C2670" s="186" t="str">
        <f>IFERROR(__xludf.DUMMYFUNCTION("""COMPUTED_VALUE"""),"MEIA ADOCADINHOS PRIMEIRO PASSO")</f>
        <v>MEIA ADOCADINHOS PRIMEIRO PASSO</v>
      </c>
      <c r="D2670" s="186" t="str">
        <f>IFERROR(__xludf.DUMMYFUNCTION("""COMPUTED_VALUE"""),"FALSO")</f>
        <v>FALSO</v>
      </c>
    </row>
    <row r="2671">
      <c r="B2671" s="186" t="str">
        <f>IFERROR(__xludf.DUMMYFUNCTION("""COMPUTED_VALUE"""),"CS2405")</f>
        <v>CS2405</v>
      </c>
      <c r="C2671" s="186" t="str">
        <f>IFERROR(__xludf.DUMMYFUNCTION("""COMPUTED_VALUE"""),"MEIA AMARGUINHOS AGRADECO A OPINIAO")</f>
        <v>MEIA AMARGUINHOS AGRADECO A OPINIAO</v>
      </c>
      <c r="D2671" s="186" t="str">
        <f>IFERROR(__xludf.DUMMYFUNCTION("""COMPUTED_VALUE"""),"FALSO")</f>
        <v>FALSO</v>
      </c>
    </row>
    <row r="2672">
      <c r="B2672" s="186" t="str">
        <f>IFERROR(__xludf.DUMMYFUNCTION("""COMPUTED_VALUE"""),"CS2406")</f>
        <v>CS2406</v>
      </c>
      <c r="C2672" s="186" t="str">
        <f>IFERROR(__xludf.DUMMYFUNCTION("""COMPUTED_VALUE"""),"MEIA AMARGUINHOS BOM DIA PARA TODOS")</f>
        <v>MEIA AMARGUINHOS BOM DIA PARA TODOS</v>
      </c>
      <c r="D2672" s="186" t="str">
        <f>IFERROR(__xludf.DUMMYFUNCTION("""COMPUTED_VALUE"""),"FALSO")</f>
        <v>FALSO</v>
      </c>
    </row>
    <row r="2673">
      <c r="B2673" s="186" t="str">
        <f>IFERROR(__xludf.DUMMYFUNCTION("""COMPUTED_VALUE"""),"CS2407")</f>
        <v>CS2407</v>
      </c>
      <c r="C2673" s="186" t="str">
        <f>IFERROR(__xludf.DUMMYFUNCTION("""COMPUTED_VALUE"""),"MEIA AMARGUINHOS DAQUI PRA FRENTE")</f>
        <v>MEIA AMARGUINHOS DAQUI PRA FRENTE</v>
      </c>
      <c r="D2673" s="186" t="str">
        <f>IFERROR(__xludf.DUMMYFUNCTION("""COMPUTED_VALUE"""),"FALSO")</f>
        <v>FALSO</v>
      </c>
    </row>
    <row r="2674">
      <c r="B2674" s="186" t="str">
        <f>IFERROR(__xludf.DUMMYFUNCTION("""COMPUTED_VALUE"""),"CS2408")</f>
        <v>CS2408</v>
      </c>
      <c r="C2674" s="358" t="str">
        <f>IFERROR(__xludf.DUMMYFUNCTION("""COMPUTED_VALUE"""),"MEIA AMARGUINHOS DIA PIOR QUE O OUTRO")</f>
        <v>MEIA AMARGUINHOS DIA PIOR QUE O OUTRO</v>
      </c>
      <c r="D2674" s="186" t="str">
        <f>IFERROR(__xludf.DUMMYFUNCTION("""COMPUTED_VALUE"""),"FALSO")</f>
        <v>FALSO</v>
      </c>
    </row>
    <row r="2675">
      <c r="B2675" s="186" t="str">
        <f>IFERROR(__xludf.DUMMYFUNCTION("""COMPUTED_VALUE"""),"CS2404")</f>
        <v>CS2404</v>
      </c>
      <c r="C2675" s="358" t="str">
        <f>IFERROR(__xludf.DUMMYFUNCTION("""COMPUTED_VALUE"""),"MEIA AMARGUINHOS NAO QUERO")</f>
        <v>MEIA AMARGUINHOS NAO QUERO</v>
      </c>
      <c r="D2675" s="186" t="str">
        <f>IFERROR(__xludf.DUMMYFUNCTION("""COMPUTED_VALUE"""),"FALSO")</f>
        <v>FALSO</v>
      </c>
    </row>
    <row r="2676">
      <c r="B2676" s="186" t="str">
        <f>IFERROR(__xludf.DUMMYFUNCTION("""COMPUTED_VALUE"""),"CS2411")</f>
        <v>CS2411</v>
      </c>
      <c r="C2676" s="358" t="str">
        <f>IFERROR(__xludf.DUMMYFUNCTION("""COMPUTED_VALUE"""),"MEIA AMARGUINHOS PUDE POUCO")</f>
        <v>MEIA AMARGUINHOS PUDE POUCO</v>
      </c>
      <c r="D2676" s="186" t="str">
        <f>IFERROR(__xludf.DUMMYFUNCTION("""COMPUTED_VALUE"""),"FALSO")</f>
        <v>FALSO</v>
      </c>
    </row>
    <row r="2677">
      <c r="B2677" s="186" t="str">
        <f>IFERROR(__xludf.DUMMYFUNCTION("""COMPUTED_VALUE"""),"CS2414")</f>
        <v>CS2414</v>
      </c>
      <c r="C2677" s="358" t="str">
        <f>IFERROR(__xludf.DUMMYFUNCTION("""COMPUTED_VALUE"""),"MEIA AMARGUINHOS QUERIA SURTAR")</f>
        <v>MEIA AMARGUINHOS QUERIA SURTAR</v>
      </c>
      <c r="D2677" s="186" t="str">
        <f>IFERROR(__xludf.DUMMYFUNCTION("""COMPUTED_VALUE"""),"FALSO")</f>
        <v>FALSO</v>
      </c>
    </row>
    <row r="2678">
      <c r="B2678" s="186" t="str">
        <f>IFERROR(__xludf.DUMMYFUNCTION("""COMPUTED_VALUE"""),"CS2409")</f>
        <v>CS2409</v>
      </c>
      <c r="C2678" s="358" t="str">
        <f>IFERROR(__xludf.DUMMYFUNCTION("""COMPUTED_VALUE"""),"MEIA AMARGUINHOS QUERO RECLAMAR")</f>
        <v>MEIA AMARGUINHOS QUERO RECLAMAR</v>
      </c>
      <c r="D2678" s="186" t="str">
        <f>IFERROR(__xludf.DUMMYFUNCTION("""COMPUTED_VALUE"""),"FALSO")</f>
        <v>FALSO</v>
      </c>
    </row>
    <row r="2679">
      <c r="B2679" s="186" t="str">
        <f>IFERROR(__xludf.DUMMYFUNCTION("""COMPUTED_VALUE"""),"CS2412")</f>
        <v>CS2412</v>
      </c>
      <c r="C2679" s="358" t="str">
        <f>IFERROR(__xludf.DUMMYFUNCTION("""COMPUTED_VALUE"""),"MEIA AMARGUINHOS RECLAMO MAS RESOLVO")</f>
        <v>MEIA AMARGUINHOS RECLAMO MAS RESOLVO</v>
      </c>
      <c r="D2679" s="186" t="str">
        <f>IFERROR(__xludf.DUMMYFUNCTION("""COMPUTED_VALUE"""),"FALSO")</f>
        <v>FALSO</v>
      </c>
    </row>
    <row r="2680">
      <c r="B2680" s="186" t="str">
        <f>IFERROR(__xludf.DUMMYFUNCTION("""COMPUTED_VALUE"""),"CS2410")</f>
        <v>CS2410</v>
      </c>
      <c r="C2680" s="186" t="str">
        <f>IFERROR(__xludf.DUMMYFUNCTION("""COMPUTED_VALUE"""),"MEIA AMARGUINHOS SE PRECISAREM DE MIM")</f>
        <v>MEIA AMARGUINHOS SE PRECISAREM DE MIM</v>
      </c>
      <c r="D2680" s="186" t="str">
        <f>IFERROR(__xludf.DUMMYFUNCTION("""COMPUTED_VALUE"""),"FALSO")</f>
        <v>FALSO</v>
      </c>
    </row>
    <row r="2681">
      <c r="B2681" s="186" t="str">
        <f>IFERROR(__xludf.DUMMYFUNCTION("""COMPUTED_VALUE"""),"CS2413")</f>
        <v>CS2413</v>
      </c>
      <c r="C2681" s="186" t="str">
        <f>IFERROR(__xludf.DUMMYFUNCTION("""COMPUTED_VALUE"""),"MEIA AMARGUINHOS SOCORRO")</f>
        <v>MEIA AMARGUINHOS SOCORRO</v>
      </c>
      <c r="D2681" s="186" t="str">
        <f>IFERROR(__xludf.DUMMYFUNCTION("""COMPUTED_VALUE"""),"FALSO")</f>
        <v>FALSO</v>
      </c>
    </row>
    <row r="2682">
      <c r="B2682" s="186" t="str">
        <f>IFERROR(__xludf.DUMMYFUNCTION("""COMPUTED_VALUE"""),"CS2415")</f>
        <v>CS2415</v>
      </c>
      <c r="C2682" s="186" t="str">
        <f>IFERROR(__xludf.DUMMYFUNCTION("""COMPUTED_VALUE"""),"MEIA AMARGUINHOS TOMARA QUE NAO DE")</f>
        <v>MEIA AMARGUINHOS TOMARA QUE NAO DE</v>
      </c>
      <c r="D2682" s="186" t="str">
        <f>IFERROR(__xludf.DUMMYFUNCTION("""COMPUTED_VALUE"""),"FALSO")</f>
        <v>FALSO</v>
      </c>
    </row>
    <row r="2683">
      <c r="B2683" s="186" t="str">
        <f>IFERROR(__xludf.DUMMYFUNCTION("""COMPUTED_VALUE"""),"PI5203Y")</f>
        <v>PI5203Y</v>
      </c>
      <c r="C2683" s="186" t="str">
        <f>IFERROR(__xludf.DUMMYFUNCTION("""COMPUTED_VALUE"""),"CAIXA DE LEMBRANCAS E FOTOS LED ​CORACAO")</f>
        <v>CAIXA DE LEMBRANCAS E FOTOS LED ​CORACAO</v>
      </c>
      <c r="D2683" s="186" t="str">
        <f>IFERROR(__xludf.DUMMYFUNCTION("""COMPUTED_VALUE"""),"FALSO")</f>
        <v>FALSO</v>
      </c>
    </row>
    <row r="2684">
      <c r="B2684" s="186" t="str">
        <f>IFERROR(__xludf.DUMMYFUNCTION("""COMPUTED_VALUE"""),"PI5203Y")</f>
        <v>PI5203Y</v>
      </c>
      <c r="C2684" s="186" t="str">
        <f>IFERROR(__xludf.DUMMYFUNCTION("""COMPUTED_VALUE"""),"CAIXA DE LEMBRANCAS E FOTOS LED ​CORACAO")</f>
        <v>CAIXA DE LEMBRANCAS E FOTOS LED ​CORACAO</v>
      </c>
      <c r="D2684" s="186" t="str">
        <f>IFERROR(__xludf.DUMMYFUNCTION("""COMPUTED_VALUE"""),"FALSO")</f>
        <v>FALSO</v>
      </c>
    </row>
    <row r="2685">
      <c r="B2685" s="186" t="str">
        <f>IFERROR(__xludf.DUMMYFUNCTION("""COMPUTED_VALUE"""),"PI7439Y")</f>
        <v>PI7439Y</v>
      </c>
      <c r="C2685" s="186" t="str">
        <f>IFERROR(__xludf.DUMMYFUNCTION("""COMPUTED_VALUE"""),"PANTUFA MASCULINA CANSADO ME DEITO")</f>
        <v>PANTUFA MASCULINA CANSADO ME DEITO</v>
      </c>
      <c r="D2685" s="186" t="str">
        <f>IFERROR(__xludf.DUMMYFUNCTION("""COMPUTED_VALUE"""),"FALSO")</f>
        <v>FALSO</v>
      </c>
    </row>
    <row r="2686">
      <c r="B2686" s="186" t="str">
        <f>IFERROR(__xludf.DUMMYFUNCTION("""COMPUTED_VALUE"""),"PI7982Y")</f>
        <v>PI7982Y</v>
      </c>
      <c r="C2686" s="186"/>
      <c r="D2686" s="186" t="str">
        <f>IFERROR(__xludf.DUMMYFUNCTION("""COMPUTED_VALUE"""),"FALSO")</f>
        <v>FALSO</v>
      </c>
    </row>
    <row r="2687">
      <c r="B2687" s="186" t="str">
        <f>IFERROR(__xludf.DUMMYFUNCTION("""COMPUTED_VALUE"""),"PI7983Y")</f>
        <v>PI7983Y</v>
      </c>
      <c r="C2687" s="186"/>
      <c r="D2687" s="186" t="str">
        <f>IFERROR(__xludf.DUMMYFUNCTION("""COMPUTED_VALUE"""),"FALSO")</f>
        <v>FALSO</v>
      </c>
    </row>
    <row r="2688">
      <c r="B2688" s="186" t="str">
        <f>IFERROR(__xludf.DUMMYFUNCTION("""COMPUTED_VALUE"""),"PI7984Y")</f>
        <v>PI7984Y</v>
      </c>
      <c r="C2688" s="186"/>
      <c r="D2688" s="186" t="str">
        <f>IFERROR(__xludf.DUMMYFUNCTION("""COMPUTED_VALUE"""),"FALSO")</f>
        <v>FALSO</v>
      </c>
    </row>
    <row r="2689">
      <c r="B2689" s="186" t="str">
        <f>IFERROR(__xludf.DUMMYFUNCTION("""COMPUTED_VALUE"""),"PI7825Y")</f>
        <v>PI7825Y</v>
      </c>
      <c r="C2689" s="186"/>
      <c r="D2689" s="186" t="str">
        <f>IFERROR(__xludf.DUMMYFUNCTION("""COMPUTED_VALUE"""),"FALSO")</f>
        <v>FALSO</v>
      </c>
    </row>
    <row r="2690">
      <c r="B2690" s="186" t="str">
        <f>IFERROR(__xludf.DUMMYFUNCTION("""COMPUTED_VALUE"""),"PI7989Y")</f>
        <v>PI7989Y</v>
      </c>
      <c r="C2690" s="186"/>
      <c r="D2690" s="186" t="str">
        <f>IFERROR(__xludf.DUMMYFUNCTION("""COMPUTED_VALUE"""),"FALSO")</f>
        <v>FALSO</v>
      </c>
    </row>
    <row r="2691">
      <c r="B2691" s="186" t="str">
        <f>IFERROR(__xludf.DUMMYFUNCTION("""COMPUTED_VALUE"""),"PI7985Y")</f>
        <v>PI7985Y</v>
      </c>
      <c r="C2691" s="186"/>
      <c r="D2691" s="186" t="str">
        <f>IFERROR(__xludf.DUMMYFUNCTION("""COMPUTED_VALUE"""),"FALSO")</f>
        <v>FALSO</v>
      </c>
    </row>
    <row r="2692">
      <c r="B2692" s="186" t="str">
        <f>IFERROR(__xludf.DUMMYFUNCTION("""COMPUTED_VALUE"""),"PI7986Y")</f>
        <v>PI7986Y</v>
      </c>
      <c r="C2692" s="186"/>
      <c r="D2692" s="186" t="str">
        <f>IFERROR(__xludf.DUMMYFUNCTION("""COMPUTED_VALUE"""),"FALSO")</f>
        <v>FALSO</v>
      </c>
    </row>
    <row r="2693">
      <c r="B2693" s="186" t="str">
        <f>IFERROR(__xludf.DUMMYFUNCTION("""COMPUTED_VALUE"""),"PI7987Y")</f>
        <v>PI7987Y</v>
      </c>
      <c r="C2693" s="186"/>
      <c r="D2693" s="186" t="str">
        <f>IFERROR(__xludf.DUMMYFUNCTION("""COMPUTED_VALUE"""),"FALSO")</f>
        <v>FALSO</v>
      </c>
    </row>
    <row r="2694">
      <c r="B2694" s="186" t="str">
        <f>IFERROR(__xludf.DUMMYFUNCTION("""COMPUTED_VALUE"""),"PI7988Y")</f>
        <v>PI7988Y</v>
      </c>
      <c r="C2694" s="186"/>
      <c r="D2694" s="186" t="str">
        <f>IFERROR(__xludf.DUMMYFUNCTION("""COMPUTED_VALUE"""),"FALSO")</f>
        <v>FALSO</v>
      </c>
    </row>
    <row r="2695">
      <c r="B2695" s="186" t="str">
        <f>IFERROR(__xludf.DUMMYFUNCTION("""COMPUTED_VALUE"""),"US0102")</f>
        <v>US0102</v>
      </c>
      <c r="C2695" s="186" t="str">
        <f>IFERROR(__xludf.DUMMYFUNCTION("""COMPUTED_VALUE"""),"LUMINARIA MICRO LAMP AMARELO")</f>
        <v>LUMINARIA MICRO LAMP AMARELO</v>
      </c>
      <c r="D2695" s="186" t="str">
        <f>IFERROR(__xludf.DUMMYFUNCTION("""COMPUTED_VALUE"""),"FALSO")</f>
        <v>FALSO</v>
      </c>
    </row>
    <row r="2696">
      <c r="B2696" s="186" t="str">
        <f>IFERROR(__xludf.DUMMYFUNCTION("""COMPUTED_VALUE"""),"PI6656Y")</f>
        <v>PI6656Y</v>
      </c>
      <c r="C2696" s="186" t="str">
        <f>IFERROR(__xludf.DUMMYFUNCTION("""COMPUTED_VALUE"""),"PANTUFA MASCULINA COM BAG VERDE MILITAR")</f>
        <v>PANTUFA MASCULINA COM BAG VERDE MILITAR</v>
      </c>
      <c r="D2696" s="186" t="str">
        <f>IFERROR(__xludf.DUMMYFUNCTION("""COMPUTED_VALUE"""),"FALSO")</f>
        <v>FALSO</v>
      </c>
    </row>
    <row r="2697">
      <c r="B2697" s="186" t="str">
        <f>IFERROR(__xludf.DUMMYFUNCTION("""COMPUTED_VALUE"""),"PI6685Y")</f>
        <v>PI6685Y</v>
      </c>
      <c r="C2697" s="186" t="str">
        <f>IFERROR(__xludf.DUMMYFUNCTION("""COMPUTED_VALUE"""),"ROUPAO VERDE MILITAR VARIOS NADAS")</f>
        <v>ROUPAO VERDE MILITAR VARIOS NADAS</v>
      </c>
      <c r="D2697" s="186" t="str">
        <f>IFERROR(__xludf.DUMMYFUNCTION("""COMPUTED_VALUE"""),"FALSO")</f>
        <v>FALSO</v>
      </c>
    </row>
    <row r="2698">
      <c r="B2698" s="186" t="str">
        <f>IFERROR(__xludf.DUMMYFUNCTION("""COMPUTED_VALUE"""),"PI6222Y")</f>
        <v>PI6222Y</v>
      </c>
      <c r="C2698" s="186" t="str">
        <f>IFERROR(__xludf.DUMMYFUNCTION("""COMPUTED_VALUE"""),"MINI PROJETOR DISCO")</f>
        <v>MINI PROJETOR DISCO</v>
      </c>
      <c r="D2698" s="186" t="str">
        <f>IFERROR(__xludf.DUMMYFUNCTION("""COMPUTED_VALUE"""),"FALSO")</f>
        <v>FALSO</v>
      </c>
    </row>
    <row r="2699">
      <c r="B2699" s="186" t="str">
        <f>IFERROR(__xludf.DUMMYFUNCTION("""COMPUTED_VALUE"""),"PI6457Y")</f>
        <v>PI6457Y</v>
      </c>
      <c r="C2699" s="186" t="str">
        <f>IFERROR(__xludf.DUMMYFUNCTION("""COMPUTED_VALUE"""),"MINI KARAOKE E MICROFONE ROSA")</f>
        <v>MINI KARAOKE E MICROFONE ROSA</v>
      </c>
      <c r="D2699" s="186" t="str">
        <f>IFERROR(__xludf.DUMMYFUNCTION("""COMPUTED_VALUE"""),"Anatel Category 2 - Bluetooth Module")</f>
        <v>Anatel Category 2 - Bluetooth Module</v>
      </c>
    </row>
    <row r="2700">
      <c r="B2700" s="186" t="str">
        <f>IFERROR(__xludf.DUMMYFUNCTION("""COMPUTED_VALUE"""),"PI6457Y")</f>
        <v>PI6457Y</v>
      </c>
      <c r="C2700" s="186" t="str">
        <f>IFERROR(__xludf.DUMMYFUNCTION("""COMPUTED_VALUE"""),"MINI KARAOKE E MICROFONE ROSA")</f>
        <v>MINI KARAOKE E MICROFONE ROSA</v>
      </c>
      <c r="D2700" s="186" t="str">
        <f>IFERROR(__xludf.DUMMYFUNCTION("""COMPUTED_VALUE"""),"Anatel Category 2 - Bluetooth Module")</f>
        <v>Anatel Category 2 - Bluetooth Module</v>
      </c>
    </row>
    <row r="2701">
      <c r="B2701" s="186" t="str">
        <f>IFERROR(__xludf.DUMMYFUNCTION("""COMPUTED_VALUE"""),"PI6457Y")</f>
        <v>PI6457Y</v>
      </c>
      <c r="C2701" s="186" t="str">
        <f>IFERROR(__xludf.DUMMYFUNCTION("""COMPUTED_VALUE"""),"MINI KARAOKE E MICROFONE ROSA")</f>
        <v>MINI KARAOKE E MICROFONE ROSA</v>
      </c>
      <c r="D2701" s="186" t="str">
        <f>IFERROR(__xludf.DUMMYFUNCTION("""COMPUTED_VALUE"""),"Anatel Category 2 - Bluetooth Module")</f>
        <v>Anatel Category 2 - Bluetooth Module</v>
      </c>
    </row>
    <row r="2702">
      <c r="B2702" s="186" t="str">
        <f>IFERROR(__xludf.DUMMYFUNCTION("""COMPUTED_VALUE"""),"PI6457Y")</f>
        <v>PI6457Y</v>
      </c>
      <c r="C2702" s="186" t="str">
        <f>IFERROR(__xludf.DUMMYFUNCTION("""COMPUTED_VALUE"""),"MINI KARAOKE E MICROFONE ROSA")</f>
        <v>MINI KARAOKE E MICROFONE ROSA</v>
      </c>
      <c r="D2702" s="186" t="str">
        <f>IFERROR(__xludf.DUMMYFUNCTION("""COMPUTED_VALUE"""),"Anatel Category 2 - Bluetooth Module")</f>
        <v>Anatel Category 2 - Bluetooth Module</v>
      </c>
    </row>
    <row r="2703">
      <c r="B2703" s="186" t="str">
        <f>IFERROR(__xludf.DUMMYFUNCTION("""COMPUTED_VALUE"""),"PI7212Y")</f>
        <v>PI7212Y</v>
      </c>
      <c r="C2703" s="186" t="str">
        <f>IFERROR(__xludf.DUMMYFUNCTION("""COMPUTED_VALUE"""),"MINI KARAOKE E MICROFONE BRANCO")</f>
        <v>MINI KARAOKE E MICROFONE BRANCO</v>
      </c>
      <c r="D2703" s="186" t="str">
        <f>IFERROR(__xludf.DUMMYFUNCTION("""COMPUTED_VALUE"""),"Anatel Category 2 - Bluetooth Module")</f>
        <v>Anatel Category 2 - Bluetooth Module</v>
      </c>
    </row>
    <row r="2704">
      <c r="B2704" s="186" t="str">
        <f>IFERROR(__xludf.DUMMYFUNCTION("""COMPUTED_VALUE"""),"PI7212Y")</f>
        <v>PI7212Y</v>
      </c>
      <c r="C2704" s="186" t="str">
        <f>IFERROR(__xludf.DUMMYFUNCTION("""COMPUTED_VALUE"""),"MINI KARAOKE E MICROFONE BRANCO")</f>
        <v>MINI KARAOKE E MICROFONE BRANCO</v>
      </c>
      <c r="D2704" s="186" t="str">
        <f>IFERROR(__xludf.DUMMYFUNCTION("""COMPUTED_VALUE"""),"Anatel Category 2 - Bluetooth Module")</f>
        <v>Anatel Category 2 - Bluetooth Module</v>
      </c>
    </row>
    <row r="2705">
      <c r="B2705" s="186" t="str">
        <f>IFERROR(__xludf.DUMMYFUNCTION("""COMPUTED_VALUE"""),"PI5422Y")</f>
        <v>PI5422Y</v>
      </c>
      <c r="C2705" s="186" t="str">
        <f>IFERROR(__xludf.DUMMYFUNCTION("""COMPUTED_VALUE"""),"MINILUMINARIA USB LUZ DE FESTA ROSA Y2K")</f>
        <v>MINILUMINARIA USB LUZ DE FESTA ROSA Y2K</v>
      </c>
      <c r="D2705" s="186" t="str">
        <f>IFERROR(__xludf.DUMMYFUNCTION("""COMPUTED_VALUE"""),"FALSO")</f>
        <v>FALSO</v>
      </c>
    </row>
    <row r="2706">
      <c r="B2706" s="186" t="str">
        <f>IFERROR(__xludf.DUMMYFUNCTION("""COMPUTED_VALUE"""),"PI6627Y")</f>
        <v>PI6627Y</v>
      </c>
      <c r="C2706" s="186" t="str">
        <f>IFERROR(__xludf.DUMMYFUNCTION("""COMPUTED_VALUE"""),"MINI MASSAGEADOR GATO")</f>
        <v>MINI MASSAGEADOR GATO</v>
      </c>
      <c r="D2706" s="186" t="str">
        <f>IFERROR(__xludf.DUMMYFUNCTION("""COMPUTED_VALUE"""),"FALSO")</f>
        <v>FALSO</v>
      </c>
    </row>
    <row r="2707">
      <c r="B2707" s="186" t="str">
        <f>IFERROR(__xludf.DUMMYFUNCTION("""COMPUTED_VALUE"""),"PI6473Y")</f>
        <v>PI6473Y</v>
      </c>
      <c r="C2707" s="186" t="str">
        <f>IFERROR(__xludf.DUMMYFUNCTION("""COMPUTED_VALUE"""),"MINI MASSAGEADOR SE CUIDAR")</f>
        <v>MINI MASSAGEADOR SE CUIDAR</v>
      </c>
      <c r="D2707" s="186" t="str">
        <f>IFERROR(__xludf.DUMMYFUNCTION("""COMPUTED_VALUE"""),"FALSO")</f>
        <v>FALSO</v>
      </c>
    </row>
    <row r="2708">
      <c r="B2708" s="186" t="str">
        <f>IFERROR(__xludf.DUMMYFUNCTION("""COMPUTED_VALUE"""),"PI6181Y")</f>
        <v>PI6181Y</v>
      </c>
      <c r="C2708" s="186" t="str">
        <f>IFERROR(__xludf.DUMMYFUNCTION("""COMPUTED_VALUE"""),"MINI LUMINARIA LUZINHA")</f>
        <v>MINI LUMINARIA LUZINHA</v>
      </c>
      <c r="D2708" s="186" t="str">
        <f>IFERROR(__xludf.DUMMYFUNCTION("""COMPUTED_VALUE"""),"FALSO")</f>
        <v>FALSO</v>
      </c>
    </row>
    <row r="2709">
      <c r="B2709" s="186" t="str">
        <f>IFERROR(__xludf.DUMMYFUNCTION("""COMPUTED_VALUE"""),"PI6181Y")</f>
        <v>PI6181Y</v>
      </c>
      <c r="C2709" s="186" t="str">
        <f>IFERROR(__xludf.DUMMYFUNCTION("""COMPUTED_VALUE"""),"MINI LUMINARIA LUZINHA")</f>
        <v>MINI LUMINARIA LUZINHA</v>
      </c>
      <c r="D2709" s="186" t="str">
        <f>IFERROR(__xludf.DUMMYFUNCTION("""COMPUTED_VALUE"""),"FALSO")</f>
        <v>FALSO</v>
      </c>
    </row>
    <row r="2710">
      <c r="B2710" s="186" t="str">
        <f>IFERROR(__xludf.DUMMYFUNCTION("""COMPUTED_VALUE"""),"PI6181Y")</f>
        <v>PI6181Y</v>
      </c>
      <c r="C2710" s="186" t="str">
        <f>IFERROR(__xludf.DUMMYFUNCTION("""COMPUTED_VALUE"""),"MINI LUMINARIA LUZINHA")</f>
        <v>MINI LUMINARIA LUZINHA</v>
      </c>
      <c r="D2710" s="186" t="str">
        <f>IFERROR(__xludf.DUMMYFUNCTION("""COMPUTED_VALUE"""),"FALSO")</f>
        <v>FALSO</v>
      </c>
    </row>
    <row r="2711">
      <c r="B2711" s="186" t="str">
        <f>IFERROR(__xludf.DUMMYFUNCTION("""COMPUTED_VALUE"""),"PI6181Y")</f>
        <v>PI6181Y</v>
      </c>
      <c r="C2711" s="186" t="str">
        <f>IFERROR(__xludf.DUMMYFUNCTION("""COMPUTED_VALUE"""),"MINI LUMINARIA LUZINHA")</f>
        <v>MINI LUMINARIA LUZINHA</v>
      </c>
      <c r="D2711" s="186" t="str">
        <f>IFERROR(__xludf.DUMMYFUNCTION("""COMPUTED_VALUE"""),"FALSO")</f>
        <v>FALSO</v>
      </c>
    </row>
    <row r="2712">
      <c r="B2712" s="186" t="str">
        <f>IFERROR(__xludf.DUMMYFUNCTION("""COMPUTED_VALUE"""),"PI6809Y")</f>
        <v>PI6809Y</v>
      </c>
      <c r="C2712" s="186" t="str">
        <f>IFERROR(__xludf.DUMMYFUNCTION("""COMPUTED_VALUE"""),"PORTA RETRATO ACRILICO VERDE MENTA")</f>
        <v>PORTA RETRATO ACRILICO VERDE MENTA</v>
      </c>
      <c r="D2712" s="186" t="str">
        <f>IFERROR(__xludf.DUMMYFUNCTION("""COMPUTED_VALUE"""),"FALSO")</f>
        <v>FALSO</v>
      </c>
    </row>
    <row r="2713">
      <c r="B2713" s="186" t="str">
        <f>IFERROR(__xludf.DUMMYFUNCTION("""COMPUTED_VALUE"""),"PI7951")</f>
        <v>PI7951</v>
      </c>
      <c r="C2713" s="186" t="str">
        <f>IFERROR(__xludf.DUMMYFUNCTION("""COMPUTED_VALUE"""),"ESPELHO PORTA BIJOUX NUVEM")</f>
        <v>ESPELHO PORTA BIJOUX NUVEM</v>
      </c>
      <c r="D2713" s="186" t="str">
        <f>IFERROR(__xludf.DUMMYFUNCTION("""COMPUTED_VALUE"""),"FALSO")</f>
        <v>FALSO</v>
      </c>
    </row>
    <row r="2714">
      <c r="B2714" s="186" t="str">
        <f>IFERROR(__xludf.DUMMYFUNCTION("""COMPUTED_VALUE"""),"PI4427Y")</f>
        <v>PI4427Y</v>
      </c>
      <c r="C2714" s="186" t="str">
        <f>IFERROR(__xludf.DUMMYFUNCTION("""COMPUTED_VALUE"""),"ESPELHO ARMARIO PARA BIJOUX LED BRILHO")</f>
        <v>ESPELHO ARMARIO PARA BIJOUX LED BRILHO</v>
      </c>
      <c r="D2714" s="186" t="str">
        <f>IFERROR(__xludf.DUMMYFUNCTION("""COMPUTED_VALUE"""),"FALSO")</f>
        <v>FALSO</v>
      </c>
    </row>
    <row r="2715">
      <c r="B2715" s="186" t="str">
        <f>IFERROR(__xludf.DUMMYFUNCTION("""COMPUTED_VALUE"""),"PI4427Y")</f>
        <v>PI4427Y</v>
      </c>
      <c r="C2715" s="186" t="str">
        <f>IFERROR(__xludf.DUMMYFUNCTION("""COMPUTED_VALUE"""),"ESPELHO ARMARIO PARA BIJOUX LED BRILHO")</f>
        <v>ESPELHO ARMARIO PARA BIJOUX LED BRILHO</v>
      </c>
      <c r="D2715" s="186" t="str">
        <f>IFERROR(__xludf.DUMMYFUNCTION("""COMPUTED_VALUE"""),"FALSO")</f>
        <v>FALSO</v>
      </c>
    </row>
    <row r="2716">
      <c r="B2716" s="186" t="str">
        <f>IFERROR(__xludf.DUMMYFUNCTION("""COMPUTED_VALUE"""),"PI4427Y")</f>
        <v>PI4427Y</v>
      </c>
      <c r="C2716" s="186" t="str">
        <f>IFERROR(__xludf.DUMMYFUNCTION("""COMPUTED_VALUE"""),"ESPELHO ARMARIO PARA BIJOUX LED BRILHO")</f>
        <v>ESPELHO ARMARIO PARA BIJOUX LED BRILHO</v>
      </c>
      <c r="D2716" s="186" t="str">
        <f>IFERROR(__xludf.DUMMYFUNCTION("""COMPUTED_VALUE"""),"FALSO")</f>
        <v>FALSO</v>
      </c>
    </row>
    <row r="2717">
      <c r="B2717" s="186" t="str">
        <f>IFERROR(__xludf.DUMMYFUNCTION("""COMPUTED_VALUE"""),"PI4427Y")</f>
        <v>PI4427Y</v>
      </c>
      <c r="C2717" s="186" t="str">
        <f>IFERROR(__xludf.DUMMYFUNCTION("""COMPUTED_VALUE"""),"ESPELHO ARMARIO PARA BIJOUX LED BRILHO")</f>
        <v>ESPELHO ARMARIO PARA BIJOUX LED BRILHO</v>
      </c>
      <c r="D2717" s="186" t="str">
        <f>IFERROR(__xludf.DUMMYFUNCTION("""COMPUTED_VALUE"""),"FALSO")</f>
        <v>FALSO</v>
      </c>
    </row>
    <row r="2718">
      <c r="B2718" s="186" t="str">
        <f>IFERROR(__xludf.DUMMYFUNCTION("""COMPUTED_VALUE"""),"PI4427Y")</f>
        <v>PI4427Y</v>
      </c>
      <c r="C2718" s="186" t="str">
        <f>IFERROR(__xludf.DUMMYFUNCTION("""COMPUTED_VALUE"""),"ESPELHO ARMARIO PARA BIJOUX LED BRILHO")</f>
        <v>ESPELHO ARMARIO PARA BIJOUX LED BRILHO</v>
      </c>
      <c r="D2718" s="186" t="str">
        <f>IFERROR(__xludf.DUMMYFUNCTION("""COMPUTED_VALUE"""),"FALSO")</f>
        <v>FALSO</v>
      </c>
    </row>
    <row r="2719">
      <c r="B2719" s="186" t="str">
        <f>IFERROR(__xludf.DUMMYFUNCTION("""COMPUTED_VALUE"""),"PI4427Y")</f>
        <v>PI4427Y</v>
      </c>
      <c r="C2719" s="186" t="str">
        <f>IFERROR(__xludf.DUMMYFUNCTION("""COMPUTED_VALUE"""),"ESPELHO ARMARIO PARA BIJOUX LED BRILHO")</f>
        <v>ESPELHO ARMARIO PARA BIJOUX LED BRILHO</v>
      </c>
      <c r="D2719" s="186" t="str">
        <f>IFERROR(__xludf.DUMMYFUNCTION("""COMPUTED_VALUE"""),"FALSO")</f>
        <v>FALSO</v>
      </c>
    </row>
    <row r="2720">
      <c r="B2720" s="186" t="str">
        <f>IFERROR(__xludf.DUMMYFUNCTION("""COMPUTED_VALUE"""),"PI4655Y")</f>
        <v>PI4655Y</v>
      </c>
      <c r="C2720" s="186" t="str">
        <f>IFERROR(__xludf.DUMMYFUNCTION("""COMPUTED_VALUE"""),"PORTA BIJOUX COM ESPELHO PRO QUE QUISER")</f>
        <v>PORTA BIJOUX COM ESPELHO PRO QUE QUISER</v>
      </c>
      <c r="D2720" s="186" t="str">
        <f>IFERROR(__xludf.DUMMYFUNCTION("""COMPUTED_VALUE"""),"FALSO")</f>
        <v>FALSO</v>
      </c>
    </row>
    <row r="2721">
      <c r="B2721" s="186" t="str">
        <f>IFERROR(__xludf.DUMMYFUNCTION("""COMPUTED_VALUE"""),"PI4655Y")</f>
        <v>PI4655Y</v>
      </c>
      <c r="C2721" s="186" t="str">
        <f>IFERROR(__xludf.DUMMYFUNCTION("""COMPUTED_VALUE"""),"PORTA BIJOUX COM ESPELHO PRO QUE QUISER")</f>
        <v>PORTA BIJOUX COM ESPELHO PRO QUE QUISER</v>
      </c>
      <c r="D2721" s="186" t="str">
        <f>IFERROR(__xludf.DUMMYFUNCTION("""COMPUTED_VALUE"""),"FALSO")</f>
        <v>FALSO</v>
      </c>
    </row>
    <row r="2722">
      <c r="B2722" s="186" t="str">
        <f>IFERROR(__xludf.DUMMYFUNCTION("""COMPUTED_VALUE"""),"PI5644Y")</f>
        <v>PI5644Y</v>
      </c>
      <c r="C2722" s="186" t="str">
        <f>IFERROR(__xludf.DUMMYFUNCTION("""COMPUTED_VALUE"""),"PORTA BIJOUX ESPELHADO SMILE")</f>
        <v>PORTA BIJOUX ESPELHADO SMILE</v>
      </c>
      <c r="D2722" s="186" t="str">
        <f>IFERROR(__xludf.DUMMYFUNCTION("""COMPUTED_VALUE"""),"FALSO")</f>
        <v>FALSO</v>
      </c>
    </row>
    <row r="2723">
      <c r="B2723" s="186" t="str">
        <f>IFERROR(__xludf.DUMMYFUNCTION("""COMPUTED_VALUE"""),"PI5175Y")</f>
        <v>PI5175Y</v>
      </c>
      <c r="C2723" s="186" t="str">
        <f>IFERROR(__xludf.DUMMYFUNCTION("""COMPUTED_VALUE"""),"PORTA RETRATO ESPELHADO LED MIL EM UMA")</f>
        <v>PORTA RETRATO ESPELHADO LED MIL EM UMA</v>
      </c>
      <c r="D2723" s="186" t="str">
        <f>IFERROR(__xludf.DUMMYFUNCTION("""COMPUTED_VALUE"""),"FALSO")</f>
        <v>FALSO</v>
      </c>
    </row>
    <row r="2724">
      <c r="B2724" s="186" t="str">
        <f>IFERROR(__xludf.DUMMYFUNCTION("""COMPUTED_VALUE"""),"PI5842Y")</f>
        <v>PI5842Y</v>
      </c>
      <c r="C2724" s="186" t="str">
        <f>IFERROR(__xludf.DUMMYFUNCTION("""COMPUTED_VALUE"""),"ESPELHO PORTA BIJOUX E FOTO LUZ PROPRIA")</f>
        <v>ESPELHO PORTA BIJOUX E FOTO LUZ PROPRIA</v>
      </c>
      <c r="D2724" s="186" t="str">
        <f>IFERROR(__xludf.DUMMYFUNCTION("""COMPUTED_VALUE"""),"FALSO")</f>
        <v>FALSO</v>
      </c>
    </row>
    <row r="2725">
      <c r="B2725" s="186" t="str">
        <f>IFERROR(__xludf.DUMMYFUNCTION("""COMPUTED_VALUE"""),"PI5842Y")</f>
        <v>PI5842Y</v>
      </c>
      <c r="C2725" s="186" t="str">
        <f>IFERROR(__xludf.DUMMYFUNCTION("""COMPUTED_VALUE"""),"ESPELHO PORTA BIJOUX E FOTO LUZ PROPRIA")</f>
        <v>ESPELHO PORTA BIJOUX E FOTO LUZ PROPRIA</v>
      </c>
      <c r="D2725" s="186" t="str">
        <f>IFERROR(__xludf.DUMMYFUNCTION("""COMPUTED_VALUE"""),"FALSO")</f>
        <v>FALSO</v>
      </c>
    </row>
    <row r="2726">
      <c r="B2726" s="186" t="str">
        <f>IFERROR(__xludf.DUMMYFUNCTION("""COMPUTED_VALUE"""),"PI5842Y")</f>
        <v>PI5842Y</v>
      </c>
      <c r="C2726" s="186" t="str">
        <f>IFERROR(__xludf.DUMMYFUNCTION("""COMPUTED_VALUE"""),"ESPELHO PORTA BIJOUX E FOTO LUZ PROPRIA")</f>
        <v>ESPELHO PORTA BIJOUX E FOTO LUZ PROPRIA</v>
      </c>
      <c r="D2726" s="186" t="str">
        <f>IFERROR(__xludf.DUMMYFUNCTION("""COMPUTED_VALUE"""),"FALSO")</f>
        <v>FALSO</v>
      </c>
    </row>
    <row r="2727">
      <c r="B2727" s="186" t="str">
        <f>IFERROR(__xludf.DUMMYFUNCTION("""COMPUTED_VALUE"""),"PI5842Y")</f>
        <v>PI5842Y</v>
      </c>
      <c r="C2727" s="186" t="str">
        <f>IFERROR(__xludf.DUMMYFUNCTION("""COMPUTED_VALUE"""),"ESPELHO PORTA BIJOUX E FOTO LUZ PROPRIA")</f>
        <v>ESPELHO PORTA BIJOUX E FOTO LUZ PROPRIA</v>
      </c>
      <c r="D2727" s="186" t="str">
        <f>IFERROR(__xludf.DUMMYFUNCTION("""COMPUTED_VALUE"""),"FALSO")</f>
        <v>FALSO</v>
      </c>
    </row>
    <row r="2728">
      <c r="B2728" s="186" t="str">
        <f>IFERROR(__xludf.DUMMYFUNCTION("""COMPUTED_VALUE"""),"PI5842Y")</f>
        <v>PI5842Y</v>
      </c>
      <c r="C2728" s="186" t="str">
        <f>IFERROR(__xludf.DUMMYFUNCTION("""COMPUTED_VALUE"""),"ESPELHO PORTA BIJOUX E FOTO LUZ PROPRIA")</f>
        <v>ESPELHO PORTA BIJOUX E FOTO LUZ PROPRIA</v>
      </c>
      <c r="D2728" s="186" t="str">
        <f>IFERROR(__xludf.DUMMYFUNCTION("""COMPUTED_VALUE"""),"FALSO")</f>
        <v>FALSO</v>
      </c>
    </row>
    <row r="2729">
      <c r="B2729" s="186" t="str">
        <f>IFERROR(__xludf.DUMMYFUNCTION("""COMPUTED_VALUE"""),"PI5842Y")</f>
        <v>PI5842Y</v>
      </c>
      <c r="C2729" s="186" t="str">
        <f>IFERROR(__xludf.DUMMYFUNCTION("""COMPUTED_VALUE"""),"ESPELHO PORTA BIJOUX E FOTO LUZ PROPRIA")</f>
        <v>ESPELHO PORTA BIJOUX E FOTO LUZ PROPRIA</v>
      </c>
      <c r="D2729" s="186" t="str">
        <f>IFERROR(__xludf.DUMMYFUNCTION("""COMPUTED_VALUE"""),"FALSO")</f>
        <v>FALSO</v>
      </c>
    </row>
    <row r="2730">
      <c r="B2730" s="186" t="str">
        <f>IFERROR(__xludf.DUMMYFUNCTION("""COMPUTED_VALUE"""),"PI6696Y")</f>
        <v>PI6696Y</v>
      </c>
      <c r="C2730" s="186" t="str">
        <f>IFERROR(__xludf.DUMMYFUNCTION("""COMPUTED_VALUE"""),"ESPELHO PORTA RETRATO ME ESPELHO EM VOCE")</f>
        <v>ESPELHO PORTA RETRATO ME ESPELHO EM VOCE</v>
      </c>
      <c r="D2730" s="186" t="str">
        <f>IFERROR(__xludf.DUMMYFUNCTION("""COMPUTED_VALUE"""),"FALSO")</f>
        <v>FALSO</v>
      </c>
    </row>
    <row r="2731">
      <c r="B2731" s="186" t="str">
        <f>IFERROR(__xludf.DUMMYFUNCTION("""COMPUTED_VALUE"""),"PI6031")</f>
        <v>PI6031</v>
      </c>
      <c r="C2731" s="186" t="str">
        <f>IFERROR(__xludf.DUMMYFUNCTION("""COMPUTED_VALUE"""),"ESPELHO POSTER HARRY POTTER")</f>
        <v>ESPELHO POSTER HARRY POTTER</v>
      </c>
      <c r="D2731" s="186" t="str">
        <f>IFERROR(__xludf.DUMMYFUNCTION("""COMPUTED_VALUE"""),"FALSO")</f>
        <v>FALSO</v>
      </c>
    </row>
    <row r="2732">
      <c r="B2732" s="186" t="str">
        <f>IFERROR(__xludf.DUMMYFUNCTION("""COMPUTED_VALUE"""),"PI6594Y")</f>
        <v>PI6594Y</v>
      </c>
      <c r="C2732" s="186" t="str">
        <f>IFERROR(__xludf.DUMMYFUNCTION("""COMPUTED_VALUE"""),"ESPELHO COM MOLDURA HOLOGRAFICA FLOR")</f>
        <v>ESPELHO COM MOLDURA HOLOGRAFICA FLOR</v>
      </c>
      <c r="D2732" s="186" t="str">
        <f>IFERROR(__xludf.DUMMYFUNCTION("""COMPUTED_VALUE"""),"FALSO")</f>
        <v>FALSO</v>
      </c>
    </row>
    <row r="2733">
      <c r="B2733" s="186" t="str">
        <f>IFERROR(__xludf.DUMMYFUNCTION("""COMPUTED_VALUE"""),"PI6893Y")</f>
        <v>PI6893Y</v>
      </c>
      <c r="C2733" s="186" t="str">
        <f>IFERROR(__xludf.DUMMYFUNCTION("""COMPUTED_VALUE"""),"CANECA MIXER MIX DE ENERGIA")</f>
        <v>CANECA MIXER MIX DE ENERGIA</v>
      </c>
      <c r="D2733" s="186" t="str">
        <f>IFERROR(__xludf.DUMMYFUNCTION("""COMPUTED_VALUE"""),"FALSO")</f>
        <v>FALSO</v>
      </c>
    </row>
    <row r="2734">
      <c r="B2734" s="186" t="str">
        <f>IFERROR(__xludf.DUMMYFUNCTION("""COMPUTED_VALUE"""),"PI5081Y")</f>
        <v>PI5081Y</v>
      </c>
      <c r="C2734" s="186" t="str">
        <f>IFERROR(__xludf.DUMMYFUNCTION("""COMPUTED_VALUE"""),"KIT MIXER COM COPOS 127V AMARELO")</f>
        <v>KIT MIXER COM COPOS 127V AMARELO</v>
      </c>
      <c r="D2734" s="186" t="str">
        <f>IFERROR(__xludf.DUMMYFUNCTION("""COMPUTED_VALUE"""),"INMETRO Electrical Security System 5 (Factory)")</f>
        <v>INMETRO Electrical Security System 5 (Factory)</v>
      </c>
    </row>
    <row r="2735">
      <c r="B2735" s="186" t="str">
        <f>IFERROR(__xludf.DUMMYFUNCTION("""COMPUTED_VALUE"""),"PI5082Y")</f>
        <v>PI5082Y</v>
      </c>
      <c r="C2735" s="186" t="str">
        <f>IFERROR(__xludf.DUMMYFUNCTION("""COMPUTED_VALUE"""),"KIT MIXER COM COPOS 220V AMARELO")</f>
        <v>KIT MIXER COM COPOS 220V AMARELO</v>
      </c>
      <c r="D2735" s="186" t="str">
        <f>IFERROR(__xludf.DUMMYFUNCTION("""COMPUTED_VALUE"""),"INMETRO Electrical Security System 5 (Factory)")</f>
        <v>INMETRO Electrical Security System 5 (Factory)</v>
      </c>
    </row>
    <row r="2736">
      <c r="B2736" s="186" t="str">
        <f>IFERROR(__xludf.DUMMYFUNCTION("""COMPUTED_VALUE"""),"PI4839Y")</f>
        <v>PI4839Y</v>
      </c>
      <c r="C2736" s="186" t="str">
        <f>IFERROR(__xludf.DUMMYFUNCTION("""COMPUTED_VALUE"""),"CAFETEIRA ITALIANA CAFE VA BENE")</f>
        <v>CAFETEIRA ITALIANA CAFE VA BENE</v>
      </c>
      <c r="D2736" s="186" t="str">
        <f>IFERROR(__xludf.DUMMYFUNCTION("""COMPUTED_VALUE"""),"INMETRO - PANELAS METÁLICAS")</f>
        <v>INMETRO - PANELAS METÁLICAS</v>
      </c>
    </row>
    <row r="2737">
      <c r="B2737" s="186" t="str">
        <f>IFERROR(__xludf.DUMMYFUNCTION("""COMPUTED_VALUE"""),"PI7044Y")</f>
        <v>PI7044Y</v>
      </c>
      <c r="C2737" s="186" t="str">
        <f>IFERROR(__xludf.DUMMYFUNCTION("""COMPUTED_VALUE"""),"CORTADOR DE PIZZA MOTOCICLETA")</f>
        <v>CORTADOR DE PIZZA MOTOCICLETA</v>
      </c>
      <c r="D2737" s="186" t="str">
        <f>IFERROR(__xludf.DUMMYFUNCTION("""COMPUTED_VALUE"""),"FALSO")</f>
        <v>FALSO</v>
      </c>
    </row>
    <row r="2738">
      <c r="B2738" s="186" t="str">
        <f>IFERROR(__xludf.DUMMYFUNCTION("""COMPUTED_VALUE"""),"PI7044Y")</f>
        <v>PI7044Y</v>
      </c>
      <c r="C2738" s="186" t="str">
        <f>IFERROR(__xludf.DUMMYFUNCTION("""COMPUTED_VALUE"""),"CORTADOR DE PIZZA MOTOCICLETA")</f>
        <v>CORTADOR DE PIZZA MOTOCICLETA</v>
      </c>
      <c r="D2738" s="186" t="str">
        <f>IFERROR(__xludf.DUMMYFUNCTION("""COMPUTED_VALUE"""),"FALSO")</f>
        <v>FALSO</v>
      </c>
    </row>
    <row r="2739">
      <c r="B2739" s="186" t="str">
        <f>IFERROR(__xludf.DUMMYFUNCTION("""COMPUTED_VALUE"""),"PI5046Y")</f>
        <v>PI5046Y</v>
      </c>
      <c r="C2739" s="186" t="str">
        <f>IFERROR(__xludf.DUMMYFUNCTION("""COMPUTED_VALUE"""),"MOUSE SEM FIO GLITTER MANDA JOBS")</f>
        <v>MOUSE SEM FIO GLITTER MANDA JOBS</v>
      </c>
      <c r="D2739" s="186" t="str">
        <f>IFERROR(__xludf.DUMMYFUNCTION("""COMPUTED_VALUE"""),"Anatel Category 2 - Bluetooth and Radiofrequency Comms")</f>
        <v>Anatel Category 2 - Bluetooth and Radiofrequency Comms</v>
      </c>
    </row>
    <row r="2740">
      <c r="B2740" s="186" t="str">
        <f>IFERROR(__xludf.DUMMYFUNCTION("""COMPUTED_VALUE"""),"PI6763Y")</f>
        <v>PI6763Y</v>
      </c>
      <c r="C2740" s="186" t="str">
        <f>IFERROR(__xludf.DUMMYFUNCTION("""COMPUTED_VALUE"""),"CANECA AMARGUINHOS PEDE PRO SEU PAI")</f>
        <v>CANECA AMARGUINHOS PEDE PRO SEU PAI</v>
      </c>
      <c r="D2740" s="186" t="str">
        <f>IFERROR(__xludf.DUMMYFUNCTION("""COMPUTED_VALUE"""),"FALSO")</f>
        <v>FALSO</v>
      </c>
    </row>
    <row r="2741">
      <c r="B2741" s="186" t="str">
        <f>IFERROR(__xludf.DUMMYFUNCTION("""COMPUTED_VALUE"""),"PI6763Y")</f>
        <v>PI6763Y</v>
      </c>
      <c r="C2741" s="186" t="str">
        <f>IFERROR(__xludf.DUMMYFUNCTION("""COMPUTED_VALUE"""),"CANECA AMARGUINHOS PEDE PRO SEU PAI")</f>
        <v>CANECA AMARGUINHOS PEDE PRO SEU PAI</v>
      </c>
      <c r="D2741" s="186" t="str">
        <f>IFERROR(__xludf.DUMMYFUNCTION("""COMPUTED_VALUE"""),"FALSO")</f>
        <v>FALSO</v>
      </c>
    </row>
    <row r="2742">
      <c r="B2742" s="186" t="str">
        <f>IFERROR(__xludf.DUMMYFUNCTION("""COMPUTED_VALUE"""),"PI6758Y")</f>
        <v>PI6758Y</v>
      </c>
      <c r="C2742" s="186" t="str">
        <f>IFERROR(__xludf.DUMMYFUNCTION("""COMPUTED_VALUE"""),"CANECA AMARGUINHOS PEDE PRA SUA MAE")</f>
        <v>CANECA AMARGUINHOS PEDE PRA SUA MAE</v>
      </c>
      <c r="D2742" s="186" t="str">
        <f>IFERROR(__xludf.DUMMYFUNCTION("""COMPUTED_VALUE"""),"FALSO")</f>
        <v>FALSO</v>
      </c>
    </row>
    <row r="2743">
      <c r="B2743" s="186" t="str">
        <f>IFERROR(__xludf.DUMMYFUNCTION("""COMPUTED_VALUE"""),"PI6758Y")</f>
        <v>PI6758Y</v>
      </c>
      <c r="C2743" s="186" t="str">
        <f>IFERROR(__xludf.DUMMYFUNCTION("""COMPUTED_VALUE"""),"CANECA AMARGUINHOS PEDE PRA SUA MAE")</f>
        <v>CANECA AMARGUINHOS PEDE PRA SUA MAE</v>
      </c>
      <c r="D2743" s="186" t="str">
        <f>IFERROR(__xludf.DUMMYFUNCTION("""COMPUTED_VALUE"""),"FALSO")</f>
        <v>FALSO</v>
      </c>
    </row>
    <row r="2744">
      <c r="B2744" s="186" t="str">
        <f>IFERROR(__xludf.DUMMYFUNCTION("""COMPUTED_VALUE"""),"PI6762Y")</f>
        <v>PI6762Y</v>
      </c>
      <c r="C2744" s="186" t="str">
        <f>IFERROR(__xludf.DUMMYFUNCTION("""COMPUTED_VALUE"""),"CANECA AMARGUINHOS DO QUE VAMOS RECLAMAR")</f>
        <v>CANECA AMARGUINHOS DO QUE VAMOS RECLAMAR</v>
      </c>
      <c r="D2744" s="186" t="str">
        <f>IFERROR(__xludf.DUMMYFUNCTION("""COMPUTED_VALUE"""),"FALSO")</f>
        <v>FALSO</v>
      </c>
    </row>
    <row r="2745">
      <c r="B2745" s="186" t="str">
        <f>IFERROR(__xludf.DUMMYFUNCTION("""COMPUTED_VALUE"""),"PI6762Y")</f>
        <v>PI6762Y</v>
      </c>
      <c r="C2745" s="186" t="str">
        <f>IFERROR(__xludf.DUMMYFUNCTION("""COMPUTED_VALUE"""),"CANECA AMARGUINHOS DO QUE VAMOS RECLAMAR")</f>
        <v>CANECA AMARGUINHOS DO QUE VAMOS RECLAMAR</v>
      </c>
      <c r="D2745" s="186" t="str">
        <f>IFERROR(__xludf.DUMMYFUNCTION("""COMPUTED_VALUE"""),"FALSO")</f>
        <v>FALSO</v>
      </c>
    </row>
    <row r="2746">
      <c r="B2746" s="186"/>
      <c r="C2746" s="186"/>
      <c r="D2746" s="186"/>
    </row>
    <row r="2747">
      <c r="B2747" s="186" t="str">
        <f>IFERROR(__xludf.DUMMYFUNCTION("""COMPUTED_VALUE"""),"PI6762Y")</f>
        <v>PI6762Y</v>
      </c>
      <c r="C2747" s="186" t="str">
        <f>IFERROR(__xludf.DUMMYFUNCTION("""COMPUTED_VALUE"""),"CANECA AMARGUINHOS DO QUE VAMOS RECLAMAR")</f>
        <v>CANECA AMARGUINHOS DO QUE VAMOS RECLAMAR</v>
      </c>
      <c r="D2747" s="186" t="str">
        <f>IFERROR(__xludf.DUMMYFUNCTION("""COMPUTED_VALUE"""),"FALSO")</f>
        <v>FALSO</v>
      </c>
    </row>
    <row r="2748">
      <c r="B2748" s="186" t="str">
        <f>IFERROR(__xludf.DUMMYFUNCTION("""COMPUTED_VALUE"""),"PI6808Y")</f>
        <v>PI6808Y</v>
      </c>
      <c r="C2748" s="186" t="str">
        <f>IFERROR(__xludf.DUMMYFUNCTION("""COMPUTED_VALUE"""),"CANECA AMARGUINHOS DIA PIOR QUE O OUTRO")</f>
        <v>CANECA AMARGUINHOS DIA PIOR QUE O OUTRO</v>
      </c>
      <c r="D2748" s="186" t="str">
        <f>IFERROR(__xludf.DUMMYFUNCTION("""COMPUTED_VALUE"""),"FALSO")</f>
        <v>FALSO</v>
      </c>
    </row>
    <row r="2749">
      <c r="B2749" s="186" t="str">
        <f>IFERROR(__xludf.DUMMYFUNCTION("""COMPUTED_VALUE"""),"PI6807Y")</f>
        <v>PI6807Y</v>
      </c>
      <c r="C2749" s="186" t="str">
        <f>IFERROR(__xludf.DUMMYFUNCTION("""COMPUTED_VALUE"""),"CANECA AMARGUINHOS LUTANDO COMO NUNCA")</f>
        <v>CANECA AMARGUINHOS LUTANDO COMO NUNCA</v>
      </c>
      <c r="D2749" s="186" t="str">
        <f>IFERROR(__xludf.DUMMYFUNCTION("""COMPUTED_VALUE"""),"FALSO")</f>
        <v>FALSO</v>
      </c>
    </row>
    <row r="2750">
      <c r="B2750" s="186" t="str">
        <f>IFERROR(__xludf.DUMMYFUNCTION("""COMPUTED_VALUE"""),"PI6759Y")</f>
        <v>PI6759Y</v>
      </c>
      <c r="C2750" s="186" t="str">
        <f>IFERROR(__xludf.DUMMYFUNCTION("""COMPUTED_VALUE"""),"CANECA AMARGUINHOS NAO QUERO")</f>
        <v>CANECA AMARGUINHOS NAO QUERO</v>
      </c>
      <c r="D2750" s="186" t="str">
        <f>IFERROR(__xludf.DUMMYFUNCTION("""COMPUTED_VALUE"""),"FALSO")</f>
        <v>FALSO</v>
      </c>
    </row>
    <row r="2751">
      <c r="B2751" s="186" t="str">
        <f>IFERROR(__xludf.DUMMYFUNCTION("""COMPUTED_VALUE"""),"PI6760Y")</f>
        <v>PI6760Y</v>
      </c>
      <c r="C2751" s="186" t="str">
        <f>IFERROR(__xludf.DUMMYFUNCTION("""COMPUTED_VALUE"""),"CANECA AMARGUINHOS SE DER EU VOU")</f>
        <v>CANECA AMARGUINHOS SE DER EU VOU</v>
      </c>
      <c r="D2751" s="186" t="str">
        <f>IFERROR(__xludf.DUMMYFUNCTION("""COMPUTED_VALUE"""),"FALSO")</f>
        <v>FALSO</v>
      </c>
    </row>
    <row r="2752">
      <c r="B2752" s="186" t="str">
        <f>IFERROR(__xludf.DUMMYFUNCTION("""COMPUTED_VALUE"""),"PI6760Y")</f>
        <v>PI6760Y</v>
      </c>
      <c r="C2752" s="186" t="str">
        <f>IFERROR(__xludf.DUMMYFUNCTION("""COMPUTED_VALUE"""),"CANECA AMARGUINHOS SE DER EU VOU")</f>
        <v>CANECA AMARGUINHOS SE DER EU VOU</v>
      </c>
      <c r="D2752" s="186" t="str">
        <f>IFERROR(__xludf.DUMMYFUNCTION("""COMPUTED_VALUE"""),"FALSO")</f>
        <v>FALSO</v>
      </c>
    </row>
    <row r="2753">
      <c r="B2753" s="186" t="str">
        <f>IFERROR(__xludf.DUMMYFUNCTION("""COMPUTED_VALUE"""),"PI6760Y")</f>
        <v>PI6760Y</v>
      </c>
      <c r="C2753" s="186" t="str">
        <f>IFERROR(__xludf.DUMMYFUNCTION("""COMPUTED_VALUE"""),"CANECA AMARGUINHOS SE DER EU VOU")</f>
        <v>CANECA AMARGUINHOS SE DER EU VOU</v>
      </c>
      <c r="D2753" s="186" t="str">
        <f>IFERROR(__xludf.DUMMYFUNCTION("""COMPUTED_VALUE"""),"FALSO")</f>
        <v>FALSO</v>
      </c>
    </row>
    <row r="2754">
      <c r="B2754" s="186" t="str">
        <f>IFERROR(__xludf.DUMMYFUNCTION("""COMPUTED_VALUE"""),"PI6761Y")</f>
        <v>PI6761Y</v>
      </c>
      <c r="C2754" s="358" t="str">
        <f>IFERROR(__xludf.DUMMYFUNCTION("""COMPUTED_VALUE"""),"CANECA AMARGUINHOS MUITO BOM NOTA 2")</f>
        <v>CANECA AMARGUINHOS MUITO BOM NOTA 2</v>
      </c>
      <c r="D2754" s="186" t="str">
        <f>IFERROR(__xludf.DUMMYFUNCTION("""COMPUTED_VALUE"""),"FALSO")</f>
        <v>FALSO</v>
      </c>
    </row>
    <row r="2755">
      <c r="B2755" s="186" t="str">
        <f>IFERROR(__xludf.DUMMYFUNCTION("""COMPUTED_VALUE"""),"CS2237")</f>
        <v>CS2237</v>
      </c>
      <c r="C2755" s="358" t="str">
        <f>IFERROR(__xludf.DUMMYFUNCTION("""COMPUTED_VALUE"""),"CANECA MELHOR AVO DO MUNDO")</f>
        <v>CANECA MELHOR AVO DO MUNDO</v>
      </c>
      <c r="D2755" s="186" t="str">
        <f>IFERROR(__xludf.DUMMYFUNCTION("""COMPUTED_VALUE"""),"FALSO")</f>
        <v>FALSO</v>
      </c>
    </row>
    <row r="2756">
      <c r="B2756" s="186" t="str">
        <f>IFERROR(__xludf.DUMMYFUNCTION("""COMPUTED_VALUE"""),"PI5657Y")</f>
        <v>PI5657Y</v>
      </c>
      <c r="C2756" s="186" t="str">
        <f>IFERROR(__xludf.DUMMYFUNCTION("""COMPUTED_VALUE"""),"CANECA CUPIDO GRANDE AMOR")</f>
        <v>CANECA CUPIDO GRANDE AMOR</v>
      </c>
      <c r="D2756" s="186" t="str">
        <f>IFERROR(__xludf.DUMMYFUNCTION("""COMPUTED_VALUE"""),"FALSO")</f>
        <v>FALSO</v>
      </c>
    </row>
    <row r="2757">
      <c r="B2757" s="186" t="str">
        <f>IFERROR(__xludf.DUMMYFUNCTION("""COMPUTED_VALUE"""),"PI5659Y")</f>
        <v>PI5659Y</v>
      </c>
      <c r="C2757" s="186" t="str">
        <f>IFERROR(__xludf.DUMMYFUNCTION("""COMPUTED_VALUE"""),"CANECA POR ONDE FLOR")</f>
        <v>CANECA POR ONDE FLOR</v>
      </c>
      <c r="D2757" s="186" t="str">
        <f>IFERROR(__xludf.DUMMYFUNCTION("""COMPUTED_VALUE"""),"FALSO")</f>
        <v>FALSO</v>
      </c>
    </row>
    <row r="2758">
      <c r="B2758" s="186" t="str">
        <f>IFERROR(__xludf.DUMMYFUNCTION("""COMPUTED_VALUE"""),"PI6026Y")</f>
        <v>PI6026Y</v>
      </c>
      <c r="C2758" s="186" t="str">
        <f>IFERROR(__xludf.DUMMYFUNCTION("""COMPUTED_VALUE"""),"CANECO PRA VIAGEM NAO ESQUENTA TA GELADA")</f>
        <v>CANECO PRA VIAGEM NAO ESQUENTA TA GELADA</v>
      </c>
      <c r="D2758" s="186" t="str">
        <f>IFERROR(__xludf.DUMMYFUNCTION("""COMPUTED_VALUE"""),"FALSO")</f>
        <v>FALSO</v>
      </c>
    </row>
    <row r="2759">
      <c r="B2759" s="186" t="str">
        <f>IFERROR(__xludf.DUMMYFUNCTION("""COMPUTED_VALUE"""),"PI5658Y")</f>
        <v>PI5658Y</v>
      </c>
      <c r="C2759" s="186" t="str">
        <f>IFERROR(__xludf.DUMMYFUNCTION("""COMPUTED_VALUE"""),"CANECA MEDIDAS NECESSARIAS")</f>
        <v>CANECA MEDIDAS NECESSARIAS</v>
      </c>
      <c r="D2759" s="186" t="str">
        <f>IFERROR(__xludf.DUMMYFUNCTION("""COMPUTED_VALUE"""),"FALSO")</f>
        <v>FALSO</v>
      </c>
    </row>
    <row r="2760">
      <c r="B2760" s="186" t="str">
        <f>IFERROR(__xludf.DUMMYFUNCTION("""COMPUTED_VALUE"""),"PI5660Y")</f>
        <v>PI5660Y</v>
      </c>
      <c r="C2760" s="186" t="str">
        <f>IFERROR(__xludf.DUMMYFUNCTION("""COMPUTED_VALUE"""),"CANECA SOL QUENTINHO")</f>
        <v>CANECA SOL QUENTINHO</v>
      </c>
      <c r="D2760" s="186" t="str">
        <f>IFERROR(__xludf.DUMMYFUNCTION("""COMPUTED_VALUE"""),"FALSO")</f>
        <v>FALSO</v>
      </c>
    </row>
    <row r="2761">
      <c r="B2761" s="186" t="str">
        <f>IFERROR(__xludf.DUMMYFUNCTION("""COMPUTED_VALUE"""),"PI5872Y")</f>
        <v>PI5872Y</v>
      </c>
      <c r="C2761" s="186" t="str">
        <f>IFERROR(__xludf.DUMMYFUNCTION("""COMPUTED_VALUE"""),"CANECA LOUSA COM CANETA CORAZONER")</f>
        <v>CANECA LOUSA COM CANETA CORAZONER</v>
      </c>
      <c r="D2761" s="186" t="str">
        <f>IFERROR(__xludf.DUMMYFUNCTION("""COMPUTED_VALUE"""),"FALSO")</f>
        <v>FALSO</v>
      </c>
    </row>
    <row r="2762">
      <c r="B2762" s="186" t="str">
        <f>IFERROR(__xludf.DUMMYFUNCTION("""COMPUTED_VALUE"""),"PI4950Y")</f>
        <v>PI4950Y</v>
      </c>
      <c r="C2762" s="186" t="str">
        <f>IFERROR(__xludf.DUMMYFUNCTION("""COMPUTED_VALUE"""),"CANECA LOUSA FRIENDS CENTRAL PERK")</f>
        <v>CANECA LOUSA FRIENDS CENTRAL PERK</v>
      </c>
      <c r="D2762" s="186" t="str">
        <f>IFERROR(__xludf.DUMMYFUNCTION("""COMPUTED_VALUE"""),"FALSO")</f>
        <v>FALSO</v>
      </c>
    </row>
    <row r="2763">
      <c r="B2763" s="186" t="str">
        <f>IFERROR(__xludf.DUMMYFUNCTION("""COMPUTED_VALUE"""),"PI5169Y")</f>
        <v>PI5169Y</v>
      </c>
      <c r="C2763" s="186" t="str">
        <f>IFERROR(__xludf.DUMMYFUNCTION("""COMPUTED_VALUE"""),"CANECA ALCA DE MOSQUETAO TOMAR UM AR")</f>
        <v>CANECA ALCA DE MOSQUETAO TOMAR UM AR</v>
      </c>
      <c r="D2763" s="186" t="str">
        <f>IFERROR(__xludf.DUMMYFUNCTION("""COMPUTED_VALUE"""),"FALSO")</f>
        <v>FALSO</v>
      </c>
    </row>
    <row r="2764">
      <c r="B2764" s="186" t="str">
        <f>IFERROR(__xludf.DUMMYFUNCTION("""COMPUTED_VALUE"""),"PI7274Y")</f>
        <v>PI7274Y</v>
      </c>
      <c r="C2764" s="186" t="str">
        <f>IFERROR(__xludf.DUMMYFUNCTION("""COMPUTED_VALUE"""),"CANECA COM INFUSOR ABELHAS")</f>
        <v>CANECA COM INFUSOR ABELHAS</v>
      </c>
      <c r="D2764" s="186" t="str">
        <f>IFERROR(__xludf.DUMMYFUNCTION("""COMPUTED_VALUE"""),"FALSO")</f>
        <v>FALSO</v>
      </c>
    </row>
    <row r="2765">
      <c r="B2765" s="186" t="str">
        <f>IFERROR(__xludf.DUMMYFUNCTION("""COMPUTED_VALUE"""),"PI7324Y")</f>
        <v>PI7324Y</v>
      </c>
      <c r="C2765" s="186" t="str">
        <f>IFERROR(__xludf.DUMMYFUNCTION("""COMPUTED_VALUE"""),"CANECA COM INFUSOR TERRAZZO")</f>
        <v>CANECA COM INFUSOR TERRAZZO</v>
      </c>
      <c r="D2765" s="186" t="str">
        <f>IFERROR(__xludf.DUMMYFUNCTION("""COMPUTED_VALUE"""),"FALSO")</f>
        <v>FALSO</v>
      </c>
    </row>
    <row r="2766">
      <c r="B2766" s="186" t="str">
        <f>IFERROR(__xludf.DUMMYFUNCTION("""COMPUTED_VALUE"""),"PI6507Y")</f>
        <v>PI6507Y</v>
      </c>
      <c r="C2766" s="186" t="str">
        <f>IFERROR(__xludf.DUMMYFUNCTION("""COMPUTED_VALUE"""),"CANECA COM INFUSOR RELACHA")</f>
        <v>CANECA COM INFUSOR RELACHA</v>
      </c>
      <c r="D2766" s="186" t="str">
        <f>IFERROR(__xludf.DUMMYFUNCTION("""COMPUTED_VALUE"""),"FALSO")</f>
        <v>FALSO</v>
      </c>
    </row>
    <row r="2767">
      <c r="B2767" s="186" t="str">
        <f>IFERROR(__xludf.DUMMYFUNCTION("""COMPUTED_VALUE"""),"PI7349Y")</f>
        <v>PI7349Y</v>
      </c>
      <c r="C2767" s="186" t="str">
        <f>IFERROR(__xludf.DUMMYFUNCTION("""COMPUTED_VALUE"""),"CANECA COM TAMPA E COLHER BOTANICA")</f>
        <v>CANECA COM TAMPA E COLHER BOTANICA</v>
      </c>
      <c r="D2767" s="186" t="str">
        <f>IFERROR(__xludf.DUMMYFUNCTION("""COMPUTED_VALUE"""),"FALSO")</f>
        <v>FALSO</v>
      </c>
    </row>
    <row r="2768">
      <c r="B2768" s="186" t="str">
        <f>IFERROR(__xludf.DUMMYFUNCTION("""COMPUTED_VALUE"""),"PI6020Y")</f>
        <v>PI6020Y</v>
      </c>
      <c r="C2768" s="186" t="str">
        <f>IFERROR(__xludf.DUMMYFUNCTION("""COMPUTED_VALUE"""),"CANECA COM TAMPA SAPO CHOCOLATE HP")</f>
        <v>CANECA COM TAMPA SAPO CHOCOLATE HP</v>
      </c>
      <c r="D2768" s="186" t="str">
        <f>IFERROR(__xludf.DUMMYFUNCTION("""COMPUTED_VALUE"""),"FALSO")</f>
        <v>FALSO</v>
      </c>
    </row>
    <row r="2769">
      <c r="B2769" s="186" t="str">
        <f>IFERROR(__xludf.DUMMYFUNCTION("""COMPUTED_VALUE"""),"PI7476Y")</f>
        <v>PI7476Y</v>
      </c>
      <c r="C2769" s="186" t="str">
        <f>IFERROR(__xludf.DUMMYFUNCTION("""COMPUTED_VALUE"""),"CANIVETE MULTIFUNCIONAL HEROI DE BOLSO")</f>
        <v>CANIVETE MULTIFUNCIONAL HEROI DE BOLSO</v>
      </c>
      <c r="D2769" s="186" t="str">
        <f>IFERROR(__xludf.DUMMYFUNCTION("""COMPUTED_VALUE"""),"FALSO")</f>
        <v>FALSO</v>
      </c>
    </row>
    <row r="2770">
      <c r="B2770" s="186" t="str">
        <f>IFERROR(__xludf.DUMMYFUNCTION("""COMPUTED_VALUE"""),"PI7476Y")</f>
        <v>PI7476Y</v>
      </c>
      <c r="C2770" s="186" t="str">
        <f>IFERROR(__xludf.DUMMYFUNCTION("""COMPUTED_VALUE"""),"CANIVETE MULTIFUNCIONAL HEROI DE BOLSO")</f>
        <v>CANIVETE MULTIFUNCIONAL HEROI DE BOLSO</v>
      </c>
      <c r="D2770" s="186" t="str">
        <f>IFERROR(__xludf.DUMMYFUNCTION("""COMPUTED_VALUE"""),"FALSO")</f>
        <v>FALSO</v>
      </c>
    </row>
    <row r="2771">
      <c r="B2771" s="186" t="str">
        <f>IFERROR(__xludf.DUMMYFUNCTION("""COMPUTED_VALUE"""),"PI7260Y")</f>
        <v>PI7260Y</v>
      </c>
      <c r="C2771" s="186" t="str">
        <f>IFERROR(__xludf.DUMMYFUNCTION("""COMPUTED_VALUE"""),"MASSAGEADOR MULTIFUNCIONAL MIME SE")</f>
        <v>MASSAGEADOR MULTIFUNCIONAL MIME SE</v>
      </c>
      <c r="D2771" s="186" t="str">
        <f>IFERROR(__xludf.DUMMYFUNCTION("""COMPUTED_VALUE"""),"FALSO")</f>
        <v>FALSO</v>
      </c>
    </row>
    <row r="2772">
      <c r="B2772" s="186" t="str">
        <f>IFERROR(__xludf.DUMMYFUNCTION("""COMPUTED_VALUE"""),"PI6475Y")</f>
        <v>PI6475Y</v>
      </c>
      <c r="C2772" s="186" t="str">
        <f>IFERROR(__xludf.DUMMYFUNCTION("""COMPUTED_VALUE"""),"MASSAGEADOR MULTIFUNCIONAL BEM ME QUERO")</f>
        <v>MASSAGEADOR MULTIFUNCIONAL BEM ME QUERO</v>
      </c>
      <c r="D2772" s="186" t="str">
        <f>IFERROR(__xludf.DUMMYFUNCTION("""COMPUTED_VALUE"""),"FALSO")</f>
        <v>FALSO</v>
      </c>
    </row>
    <row r="2773">
      <c r="B2773" s="186" t="str">
        <f>IFERROR(__xludf.DUMMYFUNCTION("""COMPUTED_VALUE"""),"PI5210Y")</f>
        <v>PI5210Y</v>
      </c>
      <c r="C2773" s="186" t="str">
        <f>IFERROR(__xludf.DUMMYFUNCTION("""COMPUTED_VALUE"""),"MASSAGEADOR MULTIFUNCIONAL CORPO E ALMA")</f>
        <v>MASSAGEADOR MULTIFUNCIONAL CORPO E ALMA</v>
      </c>
      <c r="D2773" s="186" t="str">
        <f>IFERROR(__xludf.DUMMYFUNCTION("""COMPUTED_VALUE"""),"FALSO")</f>
        <v>FALSO</v>
      </c>
    </row>
    <row r="2774">
      <c r="B2774" s="186" t="str">
        <f>IFERROR(__xludf.DUMMYFUNCTION("""COMPUTED_VALUE"""),"PI5210Y")</f>
        <v>PI5210Y</v>
      </c>
      <c r="C2774" s="186" t="str">
        <f>IFERROR(__xludf.DUMMYFUNCTION("""COMPUTED_VALUE"""),"MASSAGEADOR MULTIFUNCIONAL CORPO E ALMA")</f>
        <v>MASSAGEADOR MULTIFUNCIONAL CORPO E ALMA</v>
      </c>
      <c r="D2774" s="186" t="str">
        <f>IFERROR(__xludf.DUMMYFUNCTION("""COMPUTED_VALUE"""),"FALSO")</f>
        <v>FALSO</v>
      </c>
    </row>
    <row r="2775">
      <c r="B2775" s="186" t="str">
        <f>IFERROR(__xludf.DUMMYFUNCTION("""COMPUTED_VALUE"""),"PI5809Y")</f>
        <v>PI5809Y</v>
      </c>
      <c r="C2775" s="186" t="str">
        <f>IFERROR(__xludf.DUMMYFUNCTION("""COMPUTED_VALUE"""),"MASSAGEADOR MULTIFUNCIONAL MAE SOL")</f>
        <v>MASSAGEADOR MULTIFUNCIONAL MAE SOL</v>
      </c>
      <c r="D2775" s="186" t="str">
        <f>IFERROR(__xludf.DUMMYFUNCTION("""COMPUTED_VALUE"""),"FALSO")</f>
        <v>FALSO</v>
      </c>
    </row>
    <row r="2776">
      <c r="B2776" s="186" t="str">
        <f>IFERROR(__xludf.DUMMYFUNCTION("""COMPUTED_VALUE"""),"PI5830Y")</f>
        <v>PI5830Y</v>
      </c>
      <c r="C2776" s="186" t="str">
        <f>IFERROR(__xludf.DUMMYFUNCTION("""COMPUTED_VALUE"""),"MASSAGEADOR MULTIFUNCIONAL MEU RITUAL")</f>
        <v>MASSAGEADOR MULTIFUNCIONAL MEU RITUAL</v>
      </c>
      <c r="D2776" s="186" t="str">
        <f>IFERROR(__xludf.DUMMYFUNCTION("""COMPUTED_VALUE"""),"FALSO")</f>
        <v>FALSO</v>
      </c>
    </row>
    <row r="2777">
      <c r="B2777" s="186" t="str">
        <f>IFERROR(__xludf.DUMMYFUNCTION("""COMPUTED_VALUE"""),"PI5209Y")</f>
        <v>PI5209Y</v>
      </c>
      <c r="C2777" s="186" t="str">
        <f>IFERROR(__xludf.DUMMYFUNCTION("""COMPUTED_VALUE"""),"MASSAGEADOR MULTIFUNCIONAL ESPAIRECER")</f>
        <v>MASSAGEADOR MULTIFUNCIONAL ESPAIRECER</v>
      </c>
      <c r="D2777" s="186" t="str">
        <f>IFERROR(__xludf.DUMMYFUNCTION("""COMPUTED_VALUE"""),"FALSO")</f>
        <v>FALSO</v>
      </c>
    </row>
    <row r="2778">
      <c r="B2778" s="186" t="str">
        <f>IFERROR(__xludf.DUMMYFUNCTION("""COMPUTED_VALUE"""),"PI5209Y")</f>
        <v>PI5209Y</v>
      </c>
      <c r="C2778" s="186" t="str">
        <f>IFERROR(__xludf.DUMMYFUNCTION("""COMPUTED_VALUE"""),"MASSAGEADOR MULTIFUNCIONAL ESPAIRECER")</f>
        <v>MASSAGEADOR MULTIFUNCIONAL ESPAIRECER</v>
      </c>
      <c r="D2778" s="186" t="str">
        <f>IFERROR(__xludf.DUMMYFUNCTION("""COMPUTED_VALUE"""),"FALSO")</f>
        <v>FALSO</v>
      </c>
    </row>
    <row r="2779">
      <c r="B2779" s="186" t="str">
        <f>IFERROR(__xludf.DUMMYFUNCTION("""COMPUTED_VALUE"""),"PI7823Y")</f>
        <v>PI7823Y</v>
      </c>
      <c r="C2779" s="186"/>
      <c r="D2779" s="186" t="str">
        <f>IFERROR(__xludf.DUMMYFUNCTION("""COMPUTED_VALUE"""),"FALSO")</f>
        <v>FALSO</v>
      </c>
    </row>
    <row r="2780">
      <c r="B2780" s="186" t="str">
        <f>IFERROR(__xludf.DUMMYFUNCTION("""COMPUTED_VALUE"""),"PI6057Y")</f>
        <v>PI6057Y</v>
      </c>
      <c r="C2780" s="186" t="str">
        <f>IFERROR(__xludf.DUMMYFUNCTION("""COMPUTED_VALUE"""),"CANETA MULTIUSO PARAFUSADA CINZA")</f>
        <v>CANETA MULTIUSO PARAFUSADA CINZA</v>
      </c>
      <c r="D2780" s="186" t="str">
        <f>IFERROR(__xludf.DUMMYFUNCTION("""COMPUTED_VALUE"""),"FALSO")</f>
        <v>FALSO</v>
      </c>
    </row>
    <row r="2781">
      <c r="B2781" s="186" t="str">
        <f>IFERROR(__xludf.DUMMYFUNCTION("""COMPUTED_VALUE"""),"PI6057Y")</f>
        <v>PI6057Y</v>
      </c>
      <c r="C2781" s="186" t="str">
        <f>IFERROR(__xludf.DUMMYFUNCTION("""COMPUTED_VALUE"""),"CANETA MULTIUSO PARAFUSADA CINZA")</f>
        <v>CANETA MULTIUSO PARAFUSADA CINZA</v>
      </c>
      <c r="D2781" s="186" t="str">
        <f>IFERROR(__xludf.DUMMYFUNCTION("""COMPUTED_VALUE"""),"FALSO")</f>
        <v>FALSO</v>
      </c>
    </row>
    <row r="2782">
      <c r="B2782" s="186" t="str">
        <f>IFERROR(__xludf.DUMMYFUNCTION("""COMPUTED_VALUE"""),"PI6057Y")</f>
        <v>PI6057Y</v>
      </c>
      <c r="C2782" s="186" t="str">
        <f>IFERROR(__xludf.DUMMYFUNCTION("""COMPUTED_VALUE"""),"CANETA MULTIUSO PARAFUSADA CINZA")</f>
        <v>CANETA MULTIUSO PARAFUSADA CINZA</v>
      </c>
      <c r="D2782" s="186" t="str">
        <f>IFERROR(__xludf.DUMMYFUNCTION("""COMPUTED_VALUE"""),"FALSO")</f>
        <v>FALSO</v>
      </c>
    </row>
    <row r="2783">
      <c r="B2783" s="186" t="str">
        <f>IFERROR(__xludf.DUMMYFUNCTION("""COMPUTED_VALUE"""),"PI6057Y")</f>
        <v>PI6057Y</v>
      </c>
      <c r="C2783" s="186" t="str">
        <f>IFERROR(__xludf.DUMMYFUNCTION("""COMPUTED_VALUE"""),"CANETA MULTIUSO PARAFUSADA CINZA")</f>
        <v>CANETA MULTIUSO PARAFUSADA CINZA</v>
      </c>
      <c r="D2783" s="186" t="str">
        <f>IFERROR(__xludf.DUMMYFUNCTION("""COMPUTED_VALUE"""),"FALSO")</f>
        <v>FALSO</v>
      </c>
    </row>
    <row r="2784">
      <c r="B2784" s="186" t="str">
        <f>IFERROR(__xludf.DUMMYFUNCTION("""COMPUTED_VALUE"""),"PI6057Y")</f>
        <v>PI6057Y</v>
      </c>
      <c r="C2784" s="186" t="str">
        <f>IFERROR(__xludf.DUMMYFUNCTION("""COMPUTED_VALUE"""),"CANETA MULTIUSO PARAFUSADA CINZA")</f>
        <v>CANETA MULTIUSO PARAFUSADA CINZA</v>
      </c>
      <c r="D2784" s="186" t="str">
        <f>IFERROR(__xludf.DUMMYFUNCTION("""COMPUTED_VALUE"""),"FALSO")</f>
        <v>FALSO</v>
      </c>
    </row>
    <row r="2785">
      <c r="B2785" s="186" t="str">
        <f>IFERROR(__xludf.DUMMYFUNCTION("""COMPUTED_VALUE"""),"PI6166Y")</f>
        <v>PI6166Y</v>
      </c>
      <c r="C2785" s="186" t="str">
        <f>IFERROR(__xludf.DUMMYFUNCTION("""COMPUTED_VALUE"""),"KIT MULTIUSO CHAVE MESTRA")</f>
        <v>KIT MULTIUSO CHAVE MESTRA</v>
      </c>
      <c r="D2785" s="186" t="str">
        <f>IFERROR(__xludf.DUMMYFUNCTION("""COMPUTED_VALUE"""),"FALSO")</f>
        <v>FALSO</v>
      </c>
    </row>
    <row r="2786">
      <c r="B2786" s="186"/>
      <c r="C2786" s="186"/>
      <c r="D2786" s="186"/>
    </row>
    <row r="2787">
      <c r="B2787" s="186" t="str">
        <f>IFERROR(__xludf.DUMMYFUNCTION("""COMPUTED_VALUE"""),"PI6675Y")</f>
        <v>PI6675Y</v>
      </c>
      <c r="C2787" s="186" t="str">
        <f>IFERROR(__xludf.DUMMYFUNCTION("""COMPUTED_VALUE"""),"PORTA RETRATO MULTIUSO 365 DIAS")</f>
        <v>PORTA RETRATO MULTIUSO 365 DIAS</v>
      </c>
      <c r="D2787" s="186" t="str">
        <f>IFERROR(__xludf.DUMMYFUNCTION("""COMPUTED_VALUE"""),"FALSO")</f>
        <v>FALSO</v>
      </c>
    </row>
    <row r="2788">
      <c r="B2788" s="186" t="str">
        <f>IFERROR(__xludf.DUMMYFUNCTION("""COMPUTED_VALUE"""),"PI6675Y")</f>
        <v>PI6675Y</v>
      </c>
      <c r="C2788" s="186" t="str">
        <f>IFERROR(__xludf.DUMMYFUNCTION("""COMPUTED_VALUE"""),"PORTA RETRATO MULTIUSO 365 DIAS")</f>
        <v>PORTA RETRATO MULTIUSO 365 DIAS</v>
      </c>
      <c r="D2788" s="186" t="str">
        <f>IFERROR(__xludf.DUMMYFUNCTION("""COMPUTED_VALUE"""),"FALSO")</f>
        <v>FALSO</v>
      </c>
    </row>
    <row r="2789">
      <c r="B2789" s="186" t="str">
        <f>IFERROR(__xludf.DUMMYFUNCTION("""COMPUTED_VALUE"""),"PI6657Y")</f>
        <v>PI6657Y</v>
      </c>
      <c r="C2789" s="186" t="str">
        <f>IFERROR(__xludf.DUMMYFUNCTION("""COMPUTED_VALUE"""),"FERRAMENTA MULTIUSO TA NA MAO")</f>
        <v>FERRAMENTA MULTIUSO TA NA MAO</v>
      </c>
      <c r="D2789" s="186" t="str">
        <f>IFERROR(__xludf.DUMMYFUNCTION("""COMPUTED_VALUE"""),"FALSO")</f>
        <v>FALSO</v>
      </c>
    </row>
    <row r="2790">
      <c r="B2790" s="186" t="str">
        <f>IFERROR(__xludf.DUMMYFUNCTION("""COMPUTED_VALUE"""),"PI6657Y")</f>
        <v>PI6657Y</v>
      </c>
      <c r="C2790" s="186" t="str">
        <f>IFERROR(__xludf.DUMMYFUNCTION("""COMPUTED_VALUE"""),"FERRAMENTA MULTIUSO TA NA MAO")</f>
        <v>FERRAMENTA MULTIUSO TA NA MAO</v>
      </c>
      <c r="D2790" s="186" t="str">
        <f>IFERROR(__xludf.DUMMYFUNCTION("""COMPUTED_VALUE"""),"FALSO")</f>
        <v>FALSO</v>
      </c>
    </row>
    <row r="2791">
      <c r="B2791" s="186" t="str">
        <f>IFERROR(__xludf.DUMMYFUNCTION("""COMPUTED_VALUE"""),"PI6657Y")</f>
        <v>PI6657Y</v>
      </c>
      <c r="C2791" s="186" t="str">
        <f>IFERROR(__xludf.DUMMYFUNCTION("""COMPUTED_VALUE"""),"FERRAMENTA MULTIUSO TA NA MAO")</f>
        <v>FERRAMENTA MULTIUSO TA NA MAO</v>
      </c>
      <c r="D2791" s="186" t="str">
        <f>IFERROR(__xludf.DUMMYFUNCTION("""COMPUTED_VALUE"""),"FALSO")</f>
        <v>FALSO</v>
      </c>
    </row>
    <row r="2792">
      <c r="B2792" s="186"/>
      <c r="C2792" s="186"/>
      <c r="D2792" s="186"/>
    </row>
    <row r="2793">
      <c r="B2793" s="186" t="str">
        <f>IFERROR(__xludf.DUMMYFUNCTION("""COMPUTED_VALUE"""),"PI6018Y")</f>
        <v>PI6018Y</v>
      </c>
      <c r="C2793" s="186" t="str">
        <f>IFERROR(__xludf.DUMMYFUNCTION("""COMPUTED_VALUE"""),"MASSAGEADOR MUSCULAR TA NA MIRA")</f>
        <v>MASSAGEADOR MUSCULAR TA NA MIRA</v>
      </c>
      <c r="D2793" s="186" t="str">
        <f>IFERROR(__xludf.DUMMYFUNCTION("""COMPUTED_VALUE"""),"FALSO")</f>
        <v>FALSO</v>
      </c>
    </row>
    <row r="2794">
      <c r="B2794" s="186" t="str">
        <f>IFERROR(__xludf.DUMMYFUNCTION("""COMPUTED_VALUE"""),"PI6018Y")</f>
        <v>PI6018Y</v>
      </c>
      <c r="C2794" s="186" t="str">
        <f>IFERROR(__xludf.DUMMYFUNCTION("""COMPUTED_VALUE"""),"MASSAGEADOR MUSCULAR TA NA MIRA")</f>
        <v>MASSAGEADOR MUSCULAR TA NA MIRA</v>
      </c>
      <c r="D2794" s="186" t="str">
        <f>IFERROR(__xludf.DUMMYFUNCTION("""COMPUTED_VALUE"""),"FALSO")</f>
        <v>FALSO</v>
      </c>
    </row>
    <row r="2795">
      <c r="B2795" s="186" t="str">
        <f>IFERROR(__xludf.DUMMYFUNCTION("""COMPUTED_VALUE"""),"PI6256Y")</f>
        <v>PI6256Y</v>
      </c>
      <c r="C2795" s="186" t="str">
        <f>IFERROR(__xludf.DUMMYFUNCTION("""COMPUTED_VALUE"""),"LUMINÁRIA DE PAPEL COGUMELO")</f>
        <v>LUMINÁRIA DE PAPEL COGUMELO</v>
      </c>
      <c r="D2795" s="186" t="str">
        <f>IFERROR(__xludf.DUMMYFUNCTION("""COMPUTED_VALUE"""),"FALSO")</f>
        <v>FALSO</v>
      </c>
    </row>
    <row r="2796">
      <c r="B2796" s="186" t="str">
        <f>IFERROR(__xludf.DUMMYFUNCTION("""COMPUTED_VALUE"""),"PI5871Y")</f>
        <v>PI5871Y</v>
      </c>
      <c r="C2796" s="186" t="str">
        <f>IFERROR(__xludf.DUMMYFUNCTION("""COMPUTED_VALUE"""),"KIT MEIAS MEU PAR PERFEITO")</f>
        <v>KIT MEIAS MEU PAR PERFEITO</v>
      </c>
      <c r="D2796" s="186" t="str">
        <f>IFERROR(__xludf.DUMMYFUNCTION("""COMPUTED_VALUE"""),"FALSO")</f>
        <v>FALSO</v>
      </c>
    </row>
    <row r="2797">
      <c r="B2797" s="186" t="str">
        <f>IFERROR(__xludf.DUMMYFUNCTION("""COMPUTED_VALUE"""),"PI7716Y")</f>
        <v>PI7716Y</v>
      </c>
      <c r="C2797" s="186" t="str">
        <f>IFERROR(__xludf.DUMMYFUNCTION("""COMPUTED_VALUE"""),"ALMOFADA DE PESCOCO CAPIVARA")</f>
        <v>ALMOFADA DE PESCOCO CAPIVARA</v>
      </c>
      <c r="D2797" s="186" t="str">
        <f>IFERROR(__xludf.DUMMYFUNCTION("""COMPUTED_VALUE"""),"FALSO")</f>
        <v>FALSO</v>
      </c>
    </row>
    <row r="2798">
      <c r="B2798" s="186" t="str">
        <f>IFERROR(__xludf.DUMMYFUNCTION("""COMPUTED_VALUE"""),"PI7840Y")</f>
        <v>PI7840Y</v>
      </c>
      <c r="C2798" s="186" t="str">
        <f>IFERROR(__xludf.DUMMYFUNCTION("""COMPUTED_VALUE"""),"ALMOFADA DE PESCOCO LAGARTINHA")</f>
        <v>ALMOFADA DE PESCOCO LAGARTINHA</v>
      </c>
      <c r="D2798" s="186" t="str">
        <f>IFERROR(__xludf.DUMMYFUNCTION("""COMPUTED_VALUE"""),"FALSO")</f>
        <v>FALSO</v>
      </c>
    </row>
    <row r="2799">
      <c r="B2799" s="186" t="str">
        <f>IFERROR(__xludf.DUMMYFUNCTION("""COMPUTED_VALUE"""),"PI7836Y")</f>
        <v>PI7836Y</v>
      </c>
      <c r="C2799" s="186" t="str">
        <f>IFERROR(__xludf.DUMMYFUNCTION("""COMPUTED_VALUE"""),"ALMOFADA DE PESCOCO PATINHO")</f>
        <v>ALMOFADA DE PESCOCO PATINHO</v>
      </c>
      <c r="D2799" s="186" t="str">
        <f>IFERROR(__xludf.DUMMYFUNCTION("""COMPUTED_VALUE"""),"FALSO")</f>
        <v>FALSO</v>
      </c>
    </row>
    <row r="2800">
      <c r="B2800" s="186" t="str">
        <f>IFERROR(__xludf.DUMMYFUNCTION("""COMPUTED_VALUE"""),"PI7841Y")</f>
        <v>PI7841Y</v>
      </c>
      <c r="C2800" s="186" t="str">
        <f>IFERROR(__xludf.DUMMYFUNCTION("""COMPUTED_VALUE"""),"ALMOFADA DE PESCOCO SAPO")</f>
        <v>ALMOFADA DE PESCOCO SAPO</v>
      </c>
      <c r="D2800" s="186" t="str">
        <f>IFERROR(__xludf.DUMMYFUNCTION("""COMPUTED_VALUE"""),"FALSO")</f>
        <v>FALSO</v>
      </c>
    </row>
    <row r="2801">
      <c r="B2801" s="186" t="str">
        <f>IFERROR(__xludf.DUMMYFUNCTION("""COMPUTED_VALUE"""),"PI6478Y")</f>
        <v>PI6478Y</v>
      </c>
      <c r="C2801" s="186" t="str">
        <f>IFERROR(__xludf.DUMMYFUNCTION("""COMPUTED_VALUE"""),"ALMOFADA DE PESCOCO TO NO MOOD VIAGEM")</f>
        <v>ALMOFADA DE PESCOCO TO NO MOOD VIAGEM</v>
      </c>
      <c r="D2801" s="186" t="str">
        <f>IFERROR(__xludf.DUMMYFUNCTION("""COMPUTED_VALUE"""),"FALSO")</f>
        <v>FALSO</v>
      </c>
    </row>
    <row r="2802">
      <c r="B2802" s="186" t="str">
        <f>IFERROR(__xludf.DUMMYFUNCTION("""COMPUTED_VALUE"""),"PI5866Y")</f>
        <v>PI5866Y</v>
      </c>
      <c r="C2802" s="186" t="str">
        <f>IFERROR(__xludf.DUMMYFUNCTION("""COMPUTED_VALUE"""),"ALMOFADA DE PESCOCO IMA ATRAIR ENERGIA")</f>
        <v>ALMOFADA DE PESCOCO IMA ATRAIR ENERGIA</v>
      </c>
      <c r="D2802" s="186" t="str">
        <f>IFERROR(__xludf.DUMMYFUNCTION("""COMPUTED_VALUE"""),"FALSO")</f>
        <v>FALSO</v>
      </c>
    </row>
    <row r="2803">
      <c r="B2803" s="186" t="str">
        <f>IFERROR(__xludf.DUMMYFUNCTION("""COMPUTED_VALUE"""),"PI7717Y")</f>
        <v>PI7717Y</v>
      </c>
      <c r="C2803" s="186" t="str">
        <f>IFERROR(__xludf.DUMMYFUNCTION("""COMPUTED_VALUE"""),"ALMOFADA DE PESCOCO AZUL MARINHO")</f>
        <v>ALMOFADA DE PESCOCO AZUL MARINHO</v>
      </c>
      <c r="D2803" s="186" t="str">
        <f>IFERROR(__xludf.DUMMYFUNCTION("""COMPUTED_VALUE"""),"FALSO")</f>
        <v>FALSO</v>
      </c>
    </row>
    <row r="2804">
      <c r="B2804" s="186" t="str">
        <f>IFERROR(__xludf.DUMMYFUNCTION("""COMPUTED_VALUE"""),"PI7839Y")</f>
        <v>PI7839Y</v>
      </c>
      <c r="C2804" s="186" t="str">
        <f>IFERROR(__xludf.DUMMYFUNCTION("""COMPUTED_VALUE"""),"ALMOFADA DE PESCOCO PESSEGO")</f>
        <v>ALMOFADA DE PESCOCO PESSEGO</v>
      </c>
      <c r="D2804" s="186" t="str">
        <f>IFERROR(__xludf.DUMMYFUNCTION("""COMPUTED_VALUE"""),"FALSO")</f>
        <v>FALSO</v>
      </c>
    </row>
    <row r="2805">
      <c r="B2805" s="186" t="str">
        <f>IFERROR(__xludf.DUMMYFUNCTION("""COMPUTED_VALUE"""),"PI7838Y")</f>
        <v>PI7838Y</v>
      </c>
      <c r="C2805" s="186" t="str">
        <f>IFERROR(__xludf.DUMMYFUNCTION("""COMPUTED_VALUE"""),"ALMOFADA DE PESCOCO ABACAXI")</f>
        <v>ALMOFADA DE PESCOCO ABACAXI</v>
      </c>
      <c r="D2805" s="186" t="str">
        <f>IFERROR(__xludf.DUMMYFUNCTION("""COMPUTED_VALUE"""),"FALSO")</f>
        <v>FALSO</v>
      </c>
    </row>
    <row r="2806">
      <c r="B2806" s="186" t="str">
        <f>IFERROR(__xludf.DUMMYFUNCTION("""COMPUTED_VALUE"""),"PI5653Y")</f>
        <v>PI5653Y</v>
      </c>
      <c r="C2806" s="186" t="str">
        <f>IFERROR(__xludf.DUMMYFUNCTION("""COMPUTED_VALUE"""),"ALMOFADA DE PESCOCO PREGUICA")</f>
        <v>ALMOFADA DE PESCOCO PREGUICA</v>
      </c>
      <c r="D2806" s="186" t="str">
        <f>IFERROR(__xludf.DUMMYFUNCTION("""COMPUTED_VALUE"""),"FALSO")</f>
        <v>FALSO</v>
      </c>
    </row>
    <row r="2807">
      <c r="B2807" s="186" t="str">
        <f>IFERROR(__xludf.DUMMYFUNCTION("""COMPUTED_VALUE"""),"PI7837Y")</f>
        <v>PI7837Y</v>
      </c>
      <c r="C2807" s="186" t="str">
        <f>IFERROR(__xludf.DUMMYFUNCTION("""COMPUTED_VALUE"""),"ALMOFADA DE PESCOCO MELANCIA")</f>
        <v>ALMOFADA DE PESCOCO MELANCIA</v>
      </c>
      <c r="D2807" s="186" t="str">
        <f>IFERROR(__xludf.DUMMYFUNCTION("""COMPUTED_VALUE"""),"FALSO")</f>
        <v>FALSO</v>
      </c>
    </row>
    <row r="2808">
      <c r="B2808" s="186" t="str">
        <f>IFERROR(__xludf.DUMMYFUNCTION("""COMPUTED_VALUE"""),"PI7232Y")</f>
        <v>PI7232Y</v>
      </c>
      <c r="C2808" s="186" t="str">
        <f>IFERROR(__xludf.DUMMYFUNCTION("""COMPUTED_VALUE"""),"ALMOFADA DE PESCOCO FUI ALI")</f>
        <v>ALMOFADA DE PESCOCO FUI ALI</v>
      </c>
      <c r="D2808" s="186" t="str">
        <f>IFERROR(__xludf.DUMMYFUNCTION("""COMPUTED_VALUE"""),"FALSO")</f>
        <v>FALSO</v>
      </c>
    </row>
    <row r="2809">
      <c r="B2809" s="186" t="str">
        <f>IFERROR(__xludf.DUMMYFUNCTION("""COMPUTED_VALUE"""),"PI7233Y")</f>
        <v>PI7233Y</v>
      </c>
      <c r="C2809" s="186" t="str">
        <f>IFERROR(__xludf.DUMMYFUNCTION("""COMPUTED_VALUE"""),"ALMOFADA DE PESCOCO MEU DESTINO")</f>
        <v>ALMOFADA DE PESCOCO MEU DESTINO</v>
      </c>
      <c r="D2809" s="186" t="str">
        <f>IFERROR(__xludf.DUMMYFUNCTION("""COMPUTED_VALUE"""),"FALSO")</f>
        <v>FALSO</v>
      </c>
    </row>
    <row r="2810">
      <c r="B2810" s="186" t="str">
        <f>IFERROR(__xludf.DUMMYFUNCTION("""COMPUTED_VALUE"""),"PI5564Y")</f>
        <v>PI5564Y</v>
      </c>
      <c r="C2810" s="186" t="str">
        <f>IFERROR(__xludf.DUMMYFUNCTION("""COMPUTED_VALUE"""),"CAPA DE NOTEBOOK 13 DE LA PRA CA")</f>
        <v>CAPA DE NOTEBOOK 13 DE LA PRA CA</v>
      </c>
      <c r="D2810" s="186" t="str">
        <f>IFERROR(__xludf.DUMMYFUNCTION("""COMPUTED_VALUE"""),"FALSO")</f>
        <v>FALSO</v>
      </c>
    </row>
    <row r="2811">
      <c r="B2811" s="186" t="str">
        <f>IFERROR(__xludf.DUMMYFUNCTION("""COMPUTED_VALUE"""),"PI5565Y")</f>
        <v>PI5565Y</v>
      </c>
      <c r="C2811" s="186" t="str">
        <f>IFERROR(__xludf.DUMMYFUNCTION("""COMPUTED_VALUE"""),"CAPA DE NOTEBOOK 15 DE LA PRA CA")</f>
        <v>CAPA DE NOTEBOOK 15 DE LA PRA CA</v>
      </c>
      <c r="D2811" s="186" t="str">
        <f>IFERROR(__xludf.DUMMYFUNCTION("""COMPUTED_VALUE"""),"FALSO")</f>
        <v>FALSO</v>
      </c>
    </row>
    <row r="2812">
      <c r="B2812" s="186" t="str">
        <f>IFERROR(__xludf.DUMMYFUNCTION("""COMPUTED_VALUE"""),"PI5563Y")</f>
        <v>PI5563Y</v>
      </c>
      <c r="C2812" s="186" t="str">
        <f>IFERROR(__xludf.DUMMYFUNCTION("""COMPUTED_VALUE"""),"CAPA DE NOTEBOOK 15 VAI MAS VOLTA")</f>
        <v>CAPA DE NOTEBOOK 15 VAI MAS VOLTA</v>
      </c>
      <c r="D2812" s="186" t="str">
        <f>IFERROR(__xludf.DUMMYFUNCTION("""COMPUTED_VALUE"""),"FALSO")</f>
        <v>FALSO</v>
      </c>
    </row>
    <row r="2813">
      <c r="B2813" s="186" t="str">
        <f>IFERROR(__xludf.DUMMYFUNCTION("""COMPUTED_VALUE"""),"PI5562Y")</f>
        <v>PI5562Y</v>
      </c>
      <c r="C2813" s="186" t="str">
        <f>IFERROR(__xludf.DUMMYFUNCTION("""COMPUTED_VALUE"""),"CAPA DE NOTEBOOK 15 HP MALA DE HOGWARTS")</f>
        <v>CAPA DE NOTEBOOK 15 HP MALA DE HOGWARTS</v>
      </c>
      <c r="D2813" s="186" t="str">
        <f>IFERROR(__xludf.DUMMYFUNCTION("""COMPUTED_VALUE"""),"FALSO")</f>
        <v>FALSO</v>
      </c>
    </row>
    <row r="2814">
      <c r="B2814" s="186" t="str">
        <f>IFERROR(__xludf.DUMMYFUNCTION("""COMPUTED_VALUE"""),"PI5561Y")</f>
        <v>PI5561Y</v>
      </c>
      <c r="C2814" s="186" t="str">
        <f>IFERROR(__xludf.DUMMYFUNCTION("""COMPUTED_VALUE"""),"CAPA DE NOTEBOOK 15 ESTAMPA DEIXA FLUIR")</f>
        <v>CAPA DE NOTEBOOK 15 ESTAMPA DEIXA FLUIR</v>
      </c>
      <c r="D2814" s="186" t="str">
        <f>IFERROR(__xludf.DUMMYFUNCTION("""COMPUTED_VALUE"""),"FALSO")</f>
        <v>FALSO</v>
      </c>
    </row>
    <row r="2815">
      <c r="B2815" s="186" t="str">
        <f>IFERROR(__xludf.DUMMYFUNCTION("""COMPUTED_VALUE"""),"PI5566Y")</f>
        <v>PI5566Y</v>
      </c>
      <c r="C2815" s="186" t="str">
        <f>IFERROR(__xludf.DUMMYFUNCTION("""COMPUTED_VALUE"""),"CAPA DE NOTEBOOK 15 SMILE")</f>
        <v>CAPA DE NOTEBOOK 15 SMILE</v>
      </c>
      <c r="D2815" s="186" t="str">
        <f>IFERROR(__xludf.DUMMYFUNCTION("""COMPUTED_VALUE"""),"FALSO")</f>
        <v>FALSO</v>
      </c>
    </row>
    <row r="2816">
      <c r="B2816" s="186" t="str">
        <f>IFERROR(__xludf.DUMMYFUNCTION("""COMPUTED_VALUE"""),"PI5816Y")</f>
        <v>PI5816Y</v>
      </c>
      <c r="C2816" s="186" t="str">
        <f>IFERROR(__xludf.DUMMYFUNCTION("""COMPUTED_VALUE"""),"CADERNO GRACINHAS QUE VOCE DIZ")</f>
        <v>CADERNO GRACINHAS QUE VOCE DIZ</v>
      </c>
      <c r="D2816" s="186" t="str">
        <f>IFERROR(__xludf.DUMMYFUNCTION("""COMPUTED_VALUE"""),"FALSO")</f>
        <v>FALSO</v>
      </c>
    </row>
    <row r="2817">
      <c r="B2817" s="186" t="str">
        <f>IFERROR(__xludf.DUMMYFUNCTION("""COMPUTED_VALUE"""),"PI7920Y")</f>
        <v>PI7920Y</v>
      </c>
      <c r="C2817" s="186" t="str">
        <f>IFERROR(__xludf.DUMMYFUNCTION("""COMPUTED_VALUE"""),"CADERNO XADREZ MACA")</f>
        <v>CADERNO XADREZ MACA</v>
      </c>
      <c r="D2817" s="186" t="str">
        <f>IFERROR(__xludf.DUMMYFUNCTION("""COMPUTED_VALUE"""),"FALSO")</f>
        <v>FALSO</v>
      </c>
    </row>
    <row r="2818">
      <c r="B2818" s="186" t="str">
        <f>IFERROR(__xludf.DUMMYFUNCTION("""COMPUTED_VALUE"""),"PI7921Y")</f>
        <v>PI7921Y</v>
      </c>
      <c r="C2818" s="186" t="str">
        <f>IFERROR(__xludf.DUMMYFUNCTION("""COMPUTED_VALUE"""),"CADERNO XADREZ CEREJA")</f>
        <v>CADERNO XADREZ CEREJA</v>
      </c>
      <c r="D2818" s="186" t="str">
        <f>IFERROR(__xludf.DUMMYFUNCTION("""COMPUTED_VALUE"""),"FALSO")</f>
        <v>FALSO</v>
      </c>
    </row>
    <row r="2819">
      <c r="B2819" s="186" t="str">
        <f>IFERROR(__xludf.DUMMYFUNCTION("""COMPUTED_VALUE"""),"PI7922Y")</f>
        <v>PI7922Y</v>
      </c>
      <c r="C2819" s="186" t="str">
        <f>IFERROR(__xludf.DUMMYFUNCTION("""COMPUTED_VALUE"""),"CADERNO XADREZ LARANJA")</f>
        <v>CADERNO XADREZ LARANJA</v>
      </c>
      <c r="D2819" s="186" t="str">
        <f>IFERROR(__xludf.DUMMYFUNCTION("""COMPUTED_VALUE"""),"FALSO")</f>
        <v>FALSO</v>
      </c>
    </row>
    <row r="2820">
      <c r="B2820" s="186" t="str">
        <f>IFERROR(__xludf.DUMMYFUNCTION("""COMPUTED_VALUE"""),"PI5664Y")</f>
        <v>PI5664Y</v>
      </c>
      <c r="C2820" s="186" t="str">
        <f>IFERROR(__xludf.DUMMYFUNCTION("""COMPUTED_VALUE"""),"CADERNO ANOTACOES HP FEITICO LUMOS")</f>
        <v>CADERNO ANOTACOES HP FEITICO LUMOS</v>
      </c>
      <c r="D2820" s="186" t="str">
        <f>IFERROR(__xludf.DUMMYFUNCTION("""COMPUTED_VALUE"""),"FALSO")</f>
        <v>FALSO</v>
      </c>
    </row>
    <row r="2821">
      <c r="B2821" s="186" t="str">
        <f>IFERROR(__xludf.DUMMYFUNCTION("""COMPUTED_VALUE"""),"PI5776Y")</f>
        <v>PI5776Y</v>
      </c>
      <c r="C2821" s="186" t="str">
        <f>IFERROR(__xludf.DUMMYFUNCTION("""COMPUTED_VALUE"""),"CADERNO MISTICO SIGNOS MAPEANDO PLANOS")</f>
        <v>CADERNO MISTICO SIGNOS MAPEANDO PLANOS</v>
      </c>
      <c r="D2821" s="186" t="str">
        <f>IFERROR(__xludf.DUMMYFUNCTION("""COMPUTED_VALUE"""),"FALSO")</f>
        <v>FALSO</v>
      </c>
    </row>
    <row r="2822">
      <c r="B2822" s="186" t="str">
        <f>IFERROR(__xludf.DUMMYFUNCTION("""COMPUTED_VALUE"""),"PI4658Y")</f>
        <v>PI4658Y</v>
      </c>
      <c r="C2822" s="186" t="str">
        <f>IFERROR(__xludf.DUMMYFUNCTION("""COMPUTED_VALUE"""),"CADERNO 3 MOTIVOS PARA AGRADECER")</f>
        <v>CADERNO 3 MOTIVOS PARA AGRADECER</v>
      </c>
      <c r="D2822" s="186" t="str">
        <f>IFERROR(__xludf.DUMMYFUNCTION("""COMPUTED_VALUE"""),"FALSO")</f>
        <v>FALSO</v>
      </c>
    </row>
    <row r="2823">
      <c r="B2823" s="186" t="str">
        <f>IFERROR(__xludf.DUMMYFUNCTION("""COMPUTED_VALUE"""),"PI5666Y")</f>
        <v>PI5666Y</v>
      </c>
      <c r="C2823" s="186" t="str">
        <f>IFERROR(__xludf.DUMMYFUNCTION("""COMPUTED_VALUE"""),"CADERNO ANOTACOES RELEVO AVENTURA")</f>
        <v>CADERNO ANOTACOES RELEVO AVENTURA</v>
      </c>
      <c r="D2823" s="186" t="str">
        <f>IFERROR(__xludf.DUMMYFUNCTION("""COMPUTED_VALUE"""),"FALSO")</f>
        <v>FALSO</v>
      </c>
    </row>
    <row r="2824">
      <c r="B2824" s="186" t="str">
        <f>IFERROR(__xludf.DUMMYFUNCTION("""COMPUTED_VALUE"""),"PI5661Y")</f>
        <v>PI5661Y</v>
      </c>
      <c r="C2824" s="186" t="str">
        <f>IFERROR(__xludf.DUMMYFUNCTION("""COMPUTED_VALUE"""),"KIT DE CADERNOS HP MATERIAS DE HOGWARTS")</f>
        <v>KIT DE CADERNOS HP MATERIAS DE HOGWARTS</v>
      </c>
      <c r="D2824" s="186" t="str">
        <f>IFERROR(__xludf.DUMMYFUNCTION("""COMPUTED_VALUE"""),"FALSO")</f>
        <v>FALSO</v>
      </c>
    </row>
    <row r="2825">
      <c r="B2825" s="186" t="str">
        <f>IFERROR(__xludf.DUMMYFUNCTION("""COMPUTED_VALUE"""),"PI5661Y")</f>
        <v>PI5661Y</v>
      </c>
      <c r="C2825" s="186" t="str">
        <f>IFERROR(__xludf.DUMMYFUNCTION("""COMPUTED_VALUE"""),"KIT DE CADERNOS HP MATERIAS DE HOGWARTS")</f>
        <v>KIT DE CADERNOS HP MATERIAS DE HOGWARTS</v>
      </c>
      <c r="D2825" s="186" t="str">
        <f>IFERROR(__xludf.DUMMYFUNCTION("""COMPUTED_VALUE"""),"FALSO")</f>
        <v>FALSO</v>
      </c>
    </row>
    <row r="2826">
      <c r="B2826" s="186" t="str">
        <f>IFERROR(__xludf.DUMMYFUNCTION("""COMPUTED_VALUE"""),"PI7896Y")</f>
        <v>PI7896Y</v>
      </c>
      <c r="C2826" s="186" t="str">
        <f>IFERROR(__xludf.DUMMYFUNCTION("""COMPUTED_VALUE"""),"CARDERNO SHERPA PRETO")</f>
        <v>CARDERNO SHERPA PRETO</v>
      </c>
      <c r="D2826" s="186" t="str">
        <f>IFERROR(__xludf.DUMMYFUNCTION("""COMPUTED_VALUE"""),"FALSO")</f>
        <v>FALSO</v>
      </c>
    </row>
    <row r="2827">
      <c r="B2827" s="186" t="str">
        <f>IFERROR(__xludf.DUMMYFUNCTION("""COMPUTED_VALUE"""),"PI7898Y")</f>
        <v>PI7898Y</v>
      </c>
      <c r="C2827" s="186" t="str">
        <f>IFERROR(__xludf.DUMMYFUNCTION("""COMPUTED_VALUE"""),"CADERNO SHERPA MARROM")</f>
        <v>CADERNO SHERPA MARROM</v>
      </c>
      <c r="D2827" s="186" t="str">
        <f>IFERROR(__xludf.DUMMYFUNCTION("""COMPUTED_VALUE"""),"FALSO")</f>
        <v>FALSO</v>
      </c>
    </row>
    <row r="2828">
      <c r="B2828" s="186" t="str">
        <f>IFERROR(__xludf.DUMMYFUNCTION("""COMPUTED_VALUE"""),"PI7897Y")</f>
        <v>PI7897Y</v>
      </c>
      <c r="C2828" s="186" t="str">
        <f>IFERROR(__xludf.DUMMYFUNCTION("""COMPUTED_VALUE"""),"CADERNO SHERPA CINZA")</f>
        <v>CADERNO SHERPA CINZA</v>
      </c>
      <c r="D2828" s="186" t="str">
        <f>IFERROR(__xludf.DUMMYFUNCTION("""COMPUTED_VALUE"""),"FALSO")</f>
        <v>FALSO</v>
      </c>
    </row>
    <row r="2829">
      <c r="B2829" s="186" t="str">
        <f>IFERROR(__xludf.DUMMYFUNCTION("""COMPUTED_VALUE"""),"PI6065Y")</f>
        <v>PI6065Y</v>
      </c>
      <c r="C2829" s="186" t="str">
        <f>IFERROR(__xludf.DUMMYFUNCTION("""COMPUTED_VALUE"""),"CAPA PARA NOTEBOOK CARTA HP")</f>
        <v>CAPA PARA NOTEBOOK CARTA HP</v>
      </c>
      <c r="D2829" s="186" t="str">
        <f>IFERROR(__xludf.DUMMYFUNCTION("""COMPUTED_VALUE"""),"FALSO")</f>
        <v>FALSO</v>
      </c>
    </row>
    <row r="2830">
      <c r="B2830" s="186"/>
      <c r="C2830" s="186"/>
      <c r="D2830" s="186"/>
    </row>
    <row r="2831">
      <c r="B2831" s="186" t="str">
        <f>IFERROR(__xludf.DUMMYFUNCTION("""COMPUTED_VALUE"""),"PI5662Y")</f>
        <v>PI5662Y</v>
      </c>
      <c r="C2831" s="186" t="str">
        <f>IFERROR(__xludf.DUMMYFUNCTION("""COMPUTED_VALUE"""),"KIT DE CADERNOS PRO QUE DER E VIER")</f>
        <v>KIT DE CADERNOS PRO QUE DER E VIER</v>
      </c>
      <c r="D2831" s="186" t="str">
        <f>IFERROR(__xludf.DUMMYFUNCTION("""COMPUTED_VALUE"""),"FALSO")</f>
        <v>FALSO</v>
      </c>
    </row>
    <row r="2832">
      <c r="B2832" s="186" t="str">
        <f>IFERROR(__xludf.DUMMYFUNCTION("""COMPUTED_VALUE"""),"PI5663Y")</f>
        <v>PI5663Y</v>
      </c>
      <c r="C2832" s="186" t="str">
        <f>IFERROR(__xludf.DUMMYFUNCTION("""COMPUTED_VALUE"""),"KIT DE CADERNOS SMILE")</f>
        <v>KIT DE CADERNOS SMILE</v>
      </c>
      <c r="D2832" s="186" t="str">
        <f>IFERROR(__xludf.DUMMYFUNCTION("""COMPUTED_VALUE"""),"FALSO")</f>
        <v>FALSO</v>
      </c>
    </row>
    <row r="2833">
      <c r="B2833" s="186" t="str">
        <f>IFERROR(__xludf.DUMMYFUNCTION("""COMPUTED_VALUE"""),"PI5665Y")</f>
        <v>PI5665Y</v>
      </c>
      <c r="C2833" s="186" t="str">
        <f>IFERROR(__xludf.DUMMYFUNCTION("""COMPUTED_VALUE"""),"CADERNO ANOTACOES SOL PEQUENAS REFLEXOES")</f>
        <v>CADERNO ANOTACOES SOL PEQUENAS REFLEXOES</v>
      </c>
      <c r="D2833" s="186" t="str">
        <f>IFERROR(__xludf.DUMMYFUNCTION("""COMPUTED_VALUE"""),"FALSO")</f>
        <v>FALSO</v>
      </c>
    </row>
    <row r="2834">
      <c r="B2834" s="186" t="str">
        <f>IFERROR(__xludf.DUMMYFUNCTION("""COMPUTED_VALUE"""),"PI6056Y")</f>
        <v>PI6056Y</v>
      </c>
      <c r="C2834" s="186" t="str">
        <f>IFERROR(__xludf.DUMMYFUNCTION("""COMPUTED_VALUE"""),"CADERNO COM CANETA INVISIVEL PATRONUM HP")</f>
        <v>CADERNO COM CANETA INVISIVEL PATRONUM HP</v>
      </c>
      <c r="D2834" s="186" t="str">
        <f>IFERROR(__xludf.DUMMYFUNCTION("""COMPUTED_VALUE"""),"INMETRO Toys System 5 - Ordinance 302")</f>
        <v>INMETRO Toys System 5 - Ordinance 302</v>
      </c>
    </row>
    <row r="2835">
      <c r="B2835" s="186" t="str">
        <f>IFERROR(__xludf.DUMMYFUNCTION("""COMPUTED_VALUE"""),"PI5038Y")</f>
        <v>PI5038Y</v>
      </c>
      <c r="C2835" s="186" t="str">
        <f>IFERROR(__xludf.DUMMYFUNCTION("""COMPUTED_VALUE"""),"CADERNO ZECA SOU FELIZ E AGRADECO")</f>
        <v>CADERNO ZECA SOU FELIZ E AGRADECO</v>
      </c>
      <c r="D2835" s="186" t="str">
        <f>IFERROR(__xludf.DUMMYFUNCTION("""COMPUTED_VALUE"""),"FALSO")</f>
        <v>FALSO</v>
      </c>
    </row>
    <row r="2836">
      <c r="B2836" s="186" t="str">
        <f>IFERROR(__xludf.DUMMYFUNCTION("""COMPUTED_VALUE"""),"PI7742Y")</f>
        <v>PI7742Y</v>
      </c>
      <c r="C2836" s="186" t="str">
        <f>IFERROR(__xludf.DUMMYFUNCTION("""COMPUTED_VALUE"""),"KIT BLOCO DE NOTAS HP HOGWARTS")</f>
        <v>KIT BLOCO DE NOTAS HP HOGWARTS</v>
      </c>
      <c r="D2836" s="186" t="str">
        <f>IFERROR(__xludf.DUMMYFUNCTION("""COMPUTED_VALUE"""),"FALSO")</f>
        <v>FALSO</v>
      </c>
    </row>
    <row r="2837">
      <c r="B2837" s="186" t="str">
        <f>IFERROR(__xludf.DUMMYFUNCTION("""COMPUTED_VALUE"""),"PI4311Y")</f>
        <v>PI4311Y</v>
      </c>
      <c r="C2837" s="186" t="str">
        <f>IFERROR(__xludf.DUMMYFUNCTION("""COMPUTED_VALUE"""),"PORTA RETRATO RECADO")</f>
        <v>PORTA RETRATO RECADO</v>
      </c>
      <c r="D2837" s="186" t="str">
        <f>IFERROR(__xludf.DUMMYFUNCTION("""COMPUTED_VALUE"""),"FALSO")</f>
        <v>FALSO</v>
      </c>
    </row>
    <row r="2838">
      <c r="B2838" s="186" t="str">
        <f>IFERROR(__xludf.DUMMYFUNCTION("""COMPUTED_VALUE"""),"PI4311Y")</f>
        <v>PI4311Y</v>
      </c>
      <c r="C2838" s="186" t="str">
        <f>IFERROR(__xludf.DUMMYFUNCTION("""COMPUTED_VALUE"""),"PORTA RETRATO RECADO")</f>
        <v>PORTA RETRATO RECADO</v>
      </c>
      <c r="D2838" s="186" t="str">
        <f>IFERROR(__xludf.DUMMYFUNCTION("""COMPUTED_VALUE"""),"FALSO")</f>
        <v>FALSO</v>
      </c>
    </row>
    <row r="2839">
      <c r="B2839" s="186" t="str">
        <f>IFERROR(__xludf.DUMMYFUNCTION("""COMPUTED_VALUE"""),"PI4311Y")</f>
        <v>PI4311Y</v>
      </c>
      <c r="C2839" s="186" t="str">
        <f>IFERROR(__xludf.DUMMYFUNCTION("""COMPUTED_VALUE"""),"PORTA RETRATO RECADO")</f>
        <v>PORTA RETRATO RECADO</v>
      </c>
      <c r="D2839" s="186" t="str">
        <f>IFERROR(__xludf.DUMMYFUNCTION("""COMPUTED_VALUE"""),"FALSO")</f>
        <v>FALSO</v>
      </c>
    </row>
    <row r="2840">
      <c r="B2840" s="186" t="str">
        <f>IFERROR(__xludf.DUMMYFUNCTION("""COMPUTED_VALUE"""),"PI4311Y")</f>
        <v>PI4311Y</v>
      </c>
      <c r="C2840" s="186" t="str">
        <f>IFERROR(__xludf.DUMMYFUNCTION("""COMPUTED_VALUE"""),"PORTA RETRATO RECADO")</f>
        <v>PORTA RETRATO RECADO</v>
      </c>
      <c r="D2840" s="186" t="str">
        <f>IFERROR(__xludf.DUMMYFUNCTION("""COMPUTED_VALUE"""),"FALSO")</f>
        <v>FALSO</v>
      </c>
    </row>
    <row r="2841">
      <c r="B2841" s="186" t="str">
        <f>IFERROR(__xludf.DUMMYFUNCTION("""COMPUTED_VALUE"""),"PI4311Y")</f>
        <v>PI4311Y</v>
      </c>
      <c r="C2841" s="186" t="str">
        <f>IFERROR(__xludf.DUMMYFUNCTION("""COMPUTED_VALUE"""),"PORTA RETRATO RECADO")</f>
        <v>PORTA RETRATO RECADO</v>
      </c>
      <c r="D2841" s="186" t="str">
        <f>IFERROR(__xludf.DUMMYFUNCTION("""COMPUTED_VALUE"""),"FALSO")</f>
        <v>FALSO</v>
      </c>
    </row>
    <row r="2842">
      <c r="B2842" s="186" t="str">
        <f>IFERROR(__xludf.DUMMYFUNCTION("""COMPUTED_VALUE"""),"US0103")</f>
        <v>US0103</v>
      </c>
      <c r="C2842" s="186" t="str">
        <f>IFERROR(__xludf.DUMMYFUNCTION("""COMPUTED_VALUE"""),"LUMINARIA DE MESA NUVEM")</f>
        <v>LUMINARIA DE MESA NUVEM</v>
      </c>
      <c r="D2842" s="186" t="str">
        <f>IFERROR(__xludf.DUMMYFUNCTION("""COMPUTED_VALUE"""),"FALSO")</f>
        <v>FALSO</v>
      </c>
    </row>
    <row r="2843">
      <c r="B2843" s="186" t="str">
        <f>IFERROR(__xludf.DUMMYFUNCTION("""COMPUTED_VALUE"""),"US0104")</f>
        <v>US0104</v>
      </c>
      <c r="C2843" s="186" t="str">
        <f>IFERROR(__xludf.DUMMYFUNCTION("""COMPUTED_VALUE"""),"LUMINARIA NUVEM KAWAII")</f>
        <v>LUMINARIA NUVEM KAWAII</v>
      </c>
      <c r="D2843" s="186" t="str">
        <f>IFERROR(__xludf.DUMMYFUNCTION("""COMPUTED_VALUE"""),"FALSO")</f>
        <v>FALSO</v>
      </c>
    </row>
    <row r="2844">
      <c r="B2844" s="186" t="str">
        <f>IFERROR(__xludf.DUMMYFUNCTION("""COMPUTED_VALUE"""),"PI6161")</f>
        <v>PI6161</v>
      </c>
      <c r="C2844" s="186" t="str">
        <f>IFERROR(__xludf.DUMMYFUNCTION("""COMPUTED_VALUE"""),"ESPELHO DE MESA OCTOGONO")</f>
        <v>ESPELHO DE MESA OCTOGONO</v>
      </c>
      <c r="D2844" s="186" t="str">
        <f>IFERROR(__xludf.DUMMYFUNCTION("""COMPUTED_VALUE"""),"FALSO")</f>
        <v>FALSO</v>
      </c>
    </row>
    <row r="2845">
      <c r="B2845" s="186" t="str">
        <f>IFERROR(__xludf.DUMMYFUNCTION("""COMPUTED_VALUE"""),"PI5785Y")</f>
        <v>PI5785Y</v>
      </c>
      <c r="C2845" s="186" t="str">
        <f>IFERROR(__xludf.DUMMYFUNCTION("""COMPUTED_VALUE"""),"GARRAFA GALHETEIRO DOSE EXTRA DE SABOR")</f>
        <v>GARRAFA GALHETEIRO DOSE EXTRA DE SABOR</v>
      </c>
      <c r="D2845" s="186" t="str">
        <f>IFERROR(__xludf.DUMMYFUNCTION("""COMPUTED_VALUE"""),"FALSO")</f>
        <v>FALSO</v>
      </c>
    </row>
    <row r="2846">
      <c r="B2846" s="186" t="str">
        <f>IFERROR(__xludf.DUMMYFUNCTION("""COMPUTED_VALUE"""),"PI5319Y")</f>
        <v>PI5319Y</v>
      </c>
      <c r="C2846" s="186" t="str">
        <f>IFERROR(__xludf.DUMMYFUNCTION("""COMPUTED_VALUE"""),"ABRIDOR LANCA TAMPINHAS ABRINDO VANTAGEM")</f>
        <v>ABRIDOR LANCA TAMPINHAS ABRINDO VANTAGEM</v>
      </c>
      <c r="D2846" s="186" t="str">
        <f>IFERROR(__xludf.DUMMYFUNCTION("""COMPUTED_VALUE"""),"FALSO")</f>
        <v>FALSO</v>
      </c>
    </row>
    <row r="2847">
      <c r="B2847" s="186" t="str">
        <f>IFERROR(__xludf.DUMMYFUNCTION("""COMPUTED_VALUE"""),"PI4753Y")</f>
        <v>PI4753Y</v>
      </c>
      <c r="C2847" s="186" t="str">
        <f>IFERROR(__xludf.DUMMYFUNCTION("""COMPUTED_VALUE"""),"KIT ABRIDOR GARRAFA O PINOT ESTA NOIR")</f>
        <v>KIT ABRIDOR GARRAFA O PINOT ESTA NOIR</v>
      </c>
      <c r="D2847" s="186" t="str">
        <f>IFERROR(__xludf.DUMMYFUNCTION("""COMPUTED_VALUE"""),"FALSO")</f>
        <v>FALSO</v>
      </c>
    </row>
    <row r="2848">
      <c r="B2848" s="186" t="str">
        <f>IFERROR(__xludf.DUMMYFUNCTION("""COMPUTED_VALUE"""),"PI4753Y")</f>
        <v>PI4753Y</v>
      </c>
      <c r="C2848" s="186" t="str">
        <f>IFERROR(__xludf.DUMMYFUNCTION("""COMPUTED_VALUE"""),"KIT ABRIDOR GARRAFA O PINOT ESTA NOIR")</f>
        <v>KIT ABRIDOR GARRAFA O PINOT ESTA NOIR</v>
      </c>
      <c r="D2848" s="186" t="str">
        <f>IFERROR(__xludf.DUMMYFUNCTION("""COMPUTED_VALUE"""),"FALSO")</f>
        <v>FALSO</v>
      </c>
    </row>
    <row r="2849">
      <c r="B2849" s="186" t="str">
        <f>IFERROR(__xludf.DUMMYFUNCTION("""COMPUTED_VALUE"""),"PI4753Y")</f>
        <v>PI4753Y</v>
      </c>
      <c r="C2849" s="186" t="str">
        <f>IFERROR(__xludf.DUMMYFUNCTION("""COMPUTED_VALUE"""),"KIT ABRIDOR GARRAFA O PINOT ESTA NOIR")</f>
        <v>KIT ABRIDOR GARRAFA O PINOT ESTA NOIR</v>
      </c>
      <c r="D2849" s="186" t="str">
        <f>IFERROR(__xludf.DUMMYFUNCTION("""COMPUTED_VALUE"""),"FALSO")</f>
        <v>FALSO</v>
      </c>
    </row>
    <row r="2850">
      <c r="B2850" s="186" t="str">
        <f>IFERROR(__xludf.DUMMYFUNCTION("""COMPUTED_VALUE"""),"PI4753Y")</f>
        <v>PI4753Y</v>
      </c>
      <c r="C2850" s="186" t="str">
        <f>IFERROR(__xludf.DUMMYFUNCTION("""COMPUTED_VALUE"""),"KIT ABRIDOR GARRAFA O PINOT ESTA NOIR")</f>
        <v>KIT ABRIDOR GARRAFA O PINOT ESTA NOIR</v>
      </c>
      <c r="D2850" s="186" t="str">
        <f>IFERROR(__xludf.DUMMYFUNCTION("""COMPUTED_VALUE"""),"FALSO")</f>
        <v>FALSO</v>
      </c>
    </row>
    <row r="2851">
      <c r="B2851" s="186" t="str">
        <f>IFERROR(__xludf.DUMMYFUNCTION("""COMPUTED_VALUE"""),"PI4753Y")</f>
        <v>PI4753Y</v>
      </c>
      <c r="C2851" s="186" t="str">
        <f>IFERROR(__xludf.DUMMYFUNCTION("""COMPUTED_VALUE"""),"KIT ABRIDOR GARRAFA O PINOT ESTA NOIR")</f>
        <v>KIT ABRIDOR GARRAFA O PINOT ESTA NOIR</v>
      </c>
      <c r="D2851" s="186" t="str">
        <f>IFERROR(__xludf.DUMMYFUNCTION("""COMPUTED_VALUE"""),"FALSO")</f>
        <v>FALSO</v>
      </c>
    </row>
    <row r="2852">
      <c r="B2852" s="186" t="str">
        <f>IFERROR(__xludf.DUMMYFUNCTION("""COMPUTED_VALUE"""),"PI4853Y")</f>
        <v>PI4853Y</v>
      </c>
      <c r="C2852" s="186" t="str">
        <f>IFERROR(__xludf.DUMMYFUNCTION("""COMPUTED_VALUE"""),"KIT VINHO E JOGO DE XADREZ VERDE")</f>
        <v>KIT VINHO E JOGO DE XADREZ VERDE</v>
      </c>
      <c r="D2852" s="186" t="str">
        <f>IFERROR(__xludf.DUMMYFUNCTION("""COMPUTED_VALUE"""),"FALSO")</f>
        <v>FALSO</v>
      </c>
    </row>
    <row r="2853">
      <c r="B2853" s="186" t="str">
        <f>IFERROR(__xludf.DUMMYFUNCTION("""COMPUTED_VALUE"""),"PI6292Y")</f>
        <v>PI6292Y</v>
      </c>
      <c r="C2853" s="186" t="str">
        <f>IFERROR(__xludf.DUMMYFUNCTION("""COMPUTED_VALUE"""),"LÍNGUA SOLTA O JOGO")</f>
        <v>LÍNGUA SOLTA O JOGO</v>
      </c>
      <c r="D2853" s="186" t="str">
        <f>IFERROR(__xludf.DUMMYFUNCTION("""COMPUTED_VALUE"""),"FALSO")</f>
        <v>FALSO</v>
      </c>
    </row>
    <row r="2854">
      <c r="B2854" s="186" t="str">
        <f>IFERROR(__xludf.DUMMYFUNCTION("""COMPUTED_VALUE"""),"PI6048Y")</f>
        <v>PI6048Y</v>
      </c>
      <c r="C2854" s="186" t="str">
        <f>IFERROR(__xludf.DUMMYFUNCTION("""COMPUTED_VALUE"""),"ORGANIZADOR DE MESA PENSE FORA DA CAIXA")</f>
        <v>ORGANIZADOR DE MESA PENSE FORA DA CAIXA</v>
      </c>
      <c r="D2854" s="186" t="str">
        <f>IFERROR(__xludf.DUMMYFUNCTION("""COMPUTED_VALUE"""),"FALSO")</f>
        <v>FALSO</v>
      </c>
    </row>
    <row r="2855">
      <c r="B2855" s="186" t="str">
        <f>IFERROR(__xludf.DUMMYFUNCTION("""COMPUTED_VALUE"""),"PI6234Y")</f>
        <v>PI6234Y</v>
      </c>
      <c r="C2855" s="186" t="str">
        <f>IFERROR(__xludf.DUMMYFUNCTION("""COMPUTED_VALUE"""),"KIT ORGANIZADOR DE MALA SÓ O NECESSÁRIO")</f>
        <v>KIT ORGANIZADOR DE MALA SÓ O NECESSÁRIO</v>
      </c>
      <c r="D2855" s="186" t="str">
        <f>IFERROR(__xludf.DUMMYFUNCTION("""COMPUTED_VALUE"""),"FALSO")</f>
        <v>FALSO</v>
      </c>
    </row>
    <row r="2856">
      <c r="B2856" s="186" t="str">
        <f>IFERROR(__xludf.DUMMYFUNCTION("""COMPUTED_VALUE"""),"PI6235Y")</f>
        <v>PI6235Y</v>
      </c>
      <c r="C2856" s="186" t="str">
        <f>IFERROR(__xludf.DUMMYFUNCTION("""COMPUTED_VALUE"""),"KIT ORGANIZADOR DE MALA ORGANIZAR")</f>
        <v>KIT ORGANIZADOR DE MALA ORGANIZAR</v>
      </c>
      <c r="D2856" s="186" t="str">
        <f>IFERROR(__xludf.DUMMYFUNCTION("""COMPUTED_VALUE"""),"FALSO")</f>
        <v>FALSO</v>
      </c>
    </row>
    <row r="2857">
      <c r="B2857" s="186" t="str">
        <f>IFERROR(__xludf.DUMMYFUNCTION("""COMPUTED_VALUE"""),"US0105")</f>
        <v>US0105</v>
      </c>
      <c r="C2857" s="186" t="str">
        <f>IFERROR(__xludf.DUMMYFUNCTION("""COMPUTED_VALUE"""),"LUMINARIA OVELHINHA")</f>
        <v>LUMINARIA OVELHINHA</v>
      </c>
      <c r="D2857" s="186" t="str">
        <f>IFERROR(__xludf.DUMMYFUNCTION("""COMPUTED_VALUE"""),"FALSO")</f>
        <v>FALSO</v>
      </c>
    </row>
    <row r="2858">
      <c r="B2858" s="186" t="str">
        <f>IFERROR(__xludf.DUMMYFUNCTION("""COMPUTED_VALUE"""),"US0106")</f>
        <v>US0106</v>
      </c>
      <c r="C2858" s="186" t="str">
        <f>IFERROR(__xludf.DUMMYFUNCTION("""COMPUTED_VALUE"""),"LUMINARIA OVNI")</f>
        <v>LUMINARIA OVNI</v>
      </c>
      <c r="D2858" s="186" t="str">
        <f>IFERROR(__xludf.DUMMYFUNCTION("""COMPUTED_VALUE"""),"FALSO")</f>
        <v>FALSO</v>
      </c>
    </row>
    <row r="2859">
      <c r="B2859" s="186" t="str">
        <f>IFERROR(__xludf.DUMMYFUNCTION("""COMPUTED_VALUE"""),"CS2254")</f>
        <v>CS2254</v>
      </c>
      <c r="C2859" s="186" t="str">
        <f>IFERROR(__xludf.DUMMYFUNCTION("""COMPUTED_VALUE"""),"DUPLA TACAS MEDIDAS CORAZONES")</f>
        <v>DUPLA TACAS MEDIDAS CORAZONES</v>
      </c>
      <c r="D2859" s="186" t="str">
        <f>IFERROR(__xludf.DUMMYFUNCTION("""COMPUTED_VALUE"""),"FALSO")</f>
        <v>FALSO</v>
      </c>
    </row>
    <row r="2860">
      <c r="B2860" s="186" t="str">
        <f>IFERROR(__xludf.DUMMYFUNCTION("""COMPUTED_VALUE"""),"PI5437Y")</f>
        <v>PI5437Y</v>
      </c>
      <c r="C2860" s="186" t="str">
        <f>IFERROR(__xludf.DUMMYFUNCTION("""COMPUTED_VALUE"""),"LUMINARIA LED NEON PALMEIRA")</f>
        <v>LUMINARIA LED NEON PALMEIRA</v>
      </c>
      <c r="D2860" s="186" t="str">
        <f>IFERROR(__xludf.DUMMYFUNCTION("""COMPUTED_VALUE"""),"FALSO")</f>
        <v>FALSO</v>
      </c>
    </row>
    <row r="2861">
      <c r="B2861" s="186" t="str">
        <f>IFERROR(__xludf.DUMMYFUNCTION("""COMPUTED_VALUE"""),"PI7560Y")</f>
        <v>PI7560Y</v>
      </c>
      <c r="C2861" s="186" t="str">
        <f>IFERROR(__xludf.DUMMYFUNCTION("""COMPUTED_VALUE"""),"CANETA PANDA AMIGOS")</f>
        <v>CANETA PANDA AMIGOS</v>
      </c>
      <c r="D2861" s="186" t="str">
        <f>IFERROR(__xludf.DUMMYFUNCTION("""COMPUTED_VALUE"""),"INMETRO SCHOOL ARTICLES SYSTEM 5 - ORDINANCE 481")</f>
        <v>INMETRO SCHOOL ARTICLES SYSTEM 5 - ORDINANCE 481</v>
      </c>
    </row>
    <row r="2862">
      <c r="B2862" s="186" t="str">
        <f>IFERROR(__xludf.DUMMYFUNCTION("""COMPUTED_VALUE"""),"PI5349Y")</f>
        <v>PI5349Y</v>
      </c>
      <c r="C2862" s="186" t="str">
        <f>IFERROR(__xludf.DUMMYFUNCTION("""COMPUTED_VALUE"""),"PAINEL PORTA RETRATO 4 FOTOS PRETO")</f>
        <v>PAINEL PORTA RETRATO 4 FOTOS PRETO</v>
      </c>
      <c r="D2862" s="186" t="str">
        <f>IFERROR(__xludf.DUMMYFUNCTION("""COMPUTED_VALUE"""),"FALSO")</f>
        <v>FALSO</v>
      </c>
    </row>
    <row r="2863">
      <c r="B2863" s="186" t="str">
        <f>IFERROR(__xludf.DUMMYFUNCTION("""COMPUTED_VALUE"""),"CS2229")</f>
        <v>CS2229</v>
      </c>
      <c r="C2863" s="186" t="str">
        <f>IFERROR(__xludf.DUMMYFUNCTION("""COMPUTED_VALUE"""),"PANTUFA COGUMELO")</f>
        <v>PANTUFA COGUMELO</v>
      </c>
      <c r="D2863" s="186" t="str">
        <f>IFERROR(__xludf.DUMMYFUNCTION("""COMPUTED_VALUE"""),"FALSO")</f>
        <v>FALSO</v>
      </c>
    </row>
    <row r="2864">
      <c r="B2864" s="186" t="str">
        <f>IFERROR(__xludf.DUMMYFUNCTION("""COMPUTED_VALUE"""),"CS2228")</f>
        <v>CS2228</v>
      </c>
      <c r="C2864" s="186" t="str">
        <f>IFERROR(__xludf.DUMMYFUNCTION("""COMPUTED_VALUE"""),"PANTUFA SOL")</f>
        <v>PANTUFA SOL</v>
      </c>
      <c r="D2864" s="186" t="str">
        <f>IFERROR(__xludf.DUMMYFUNCTION("""COMPUTED_VALUE"""),"FALSO")</f>
        <v>FALSO</v>
      </c>
    </row>
    <row r="2865">
      <c r="B2865" s="186" t="str">
        <f>IFERROR(__xludf.DUMMYFUNCTION("""COMPUTED_VALUE"""),"CS2230")</f>
        <v>CS2230</v>
      </c>
      <c r="C2865" s="186" t="str">
        <f>IFERROR(__xludf.DUMMYFUNCTION("""COMPUTED_VALUE"""),"PANTUFA SORRISO")</f>
        <v>PANTUFA SORRISO</v>
      </c>
      <c r="D2865" s="186" t="str">
        <f>IFERROR(__xludf.DUMMYFUNCTION("""COMPUTED_VALUE"""),"FALSO")</f>
        <v>FALSO</v>
      </c>
    </row>
    <row r="2866">
      <c r="B2866" s="186" t="str">
        <f>IFERROR(__xludf.DUMMYFUNCTION("""COMPUTED_VALUE"""),"AC2222")</f>
        <v>AC2222</v>
      </c>
      <c r="C2866" s="186" t="str">
        <f>IFERROR(__xludf.DUMMYFUNCTION("""COMPUTED_VALUE"""),"Papel Sublimatico Pacote 100 Folhas")</f>
        <v>Papel Sublimatico Pacote 100 Folhas</v>
      </c>
      <c r="D2866" s="186" t="str">
        <f>IFERROR(__xludf.DUMMYFUNCTION("""COMPUTED_VALUE"""),"FALSO")</f>
        <v>FALSO</v>
      </c>
    </row>
    <row r="2867">
      <c r="B2867" s="186" t="str">
        <f>IFERROR(__xludf.DUMMYFUNCTION("""COMPUTED_VALUE"""),"CS2037")</f>
        <v>CS2037</v>
      </c>
      <c r="C2867" s="186" t="str">
        <f>IFERROR(__xludf.DUMMYFUNCTION("""COMPUTED_VALUE"""),"PAR DE CHAVEIROS COM ABRIDOR MUSICA")</f>
        <v>PAR DE CHAVEIROS COM ABRIDOR MUSICA</v>
      </c>
      <c r="D2867" s="186" t="str">
        <f>IFERROR(__xludf.DUMMYFUNCTION("""COMPUTED_VALUE"""),"FALSO")</f>
        <v>FALSO</v>
      </c>
    </row>
    <row r="2868">
      <c r="B2868" s="186" t="str">
        <f>IFERROR(__xludf.DUMMYFUNCTION("""COMPUTED_VALUE"""),"CS2034")</f>
        <v>CS2034</v>
      </c>
      <c r="C2868" s="186" t="str">
        <f>IFERROR(__xludf.DUMMYFUNCTION("""COMPUTED_VALUE"""),"PAR DE CHAVEIROS PAO E OVO")</f>
        <v>PAR DE CHAVEIROS PAO E OVO</v>
      </c>
      <c r="D2868" s="186" t="str">
        <f>IFERROR(__xludf.DUMMYFUNCTION("""COMPUTED_VALUE"""),"FALSO")</f>
        <v>FALSO</v>
      </c>
    </row>
    <row r="2869">
      <c r="B2869" s="186" t="str">
        <f>IFERROR(__xludf.DUMMYFUNCTION("""COMPUTED_VALUE"""),"CS2046")</f>
        <v>CS2046</v>
      </c>
      <c r="C2869" s="186" t="str">
        <f>IFERROR(__xludf.DUMMYFUNCTION("""COMPUTED_VALUE"""),"PAR DE PINS STRANGER THINGS UPSIDE DOWN")</f>
        <v>PAR DE PINS STRANGER THINGS UPSIDE DOWN</v>
      </c>
      <c r="D2869" s="186" t="str">
        <f>IFERROR(__xludf.DUMMYFUNCTION("""COMPUTED_VALUE"""),"FALSO")</f>
        <v>FALSO</v>
      </c>
    </row>
    <row r="2870">
      <c r="B2870" s="186" t="str">
        <f>IFERROR(__xludf.DUMMYFUNCTION("""COMPUTED_VALUE"""),"AC2223")</f>
        <v>AC2223</v>
      </c>
      <c r="C2870" s="186" t="str">
        <f>IFERROR(__xludf.DUMMYFUNCTION("""COMPUTED_VALUE"""),"Pares de Luva Termica Para Manuseio")</f>
        <v>Pares de Luva Termica Para Manuseio</v>
      </c>
      <c r="D2870" s="186" t="str">
        <f>IFERROR(__xludf.DUMMYFUNCTION("""COMPUTED_VALUE"""),"FALSO")</f>
        <v>FALSO</v>
      </c>
    </row>
    <row r="2871">
      <c r="B2871" s="186" t="str">
        <f>IFERROR(__xludf.DUMMYFUNCTION("""COMPUTED_VALUE"""),"PI6105Y")</f>
        <v>PI6105Y</v>
      </c>
      <c r="C2871" s="186" t="str">
        <f>IFERROR(__xludf.DUMMYFUNCTION("""COMPUTED_VALUE"""),"PORTA PASSAPORTE E IDENTIFICADOR BAGAGEM")</f>
        <v>PORTA PASSAPORTE E IDENTIFICADOR BAGAGEM</v>
      </c>
      <c r="D2871" s="186" t="str">
        <f>IFERROR(__xludf.DUMMYFUNCTION("""COMPUTED_VALUE"""),"FALSO")</f>
        <v>FALSO</v>
      </c>
    </row>
    <row r="2872">
      <c r="B2872" s="186" t="str">
        <f>IFERROR(__xludf.DUMMYFUNCTION("""COMPUTED_VALUE"""),"PI7602Y")</f>
        <v>PI7602Y</v>
      </c>
      <c r="C2872" s="186" t="str">
        <f>IFERROR(__xludf.DUMMYFUNCTION("""COMPUTED_VALUE"""),"PORTA PASSAPORTE E TAGS DE MALA MAPA")</f>
        <v>PORTA PASSAPORTE E TAGS DE MALA MAPA</v>
      </c>
      <c r="D2872" s="186" t="str">
        <f>IFERROR(__xludf.DUMMYFUNCTION("""COMPUTED_VALUE"""),"FALSO")</f>
        <v>FALSO</v>
      </c>
    </row>
    <row r="2873">
      <c r="B2873" s="186" t="str">
        <f>IFERROR(__xludf.DUMMYFUNCTION("""COMPUTED_VALUE"""),"PI7304Y")</f>
        <v>PI7304Y</v>
      </c>
      <c r="C2873" s="186" t="str">
        <f>IFERROR(__xludf.DUMMYFUNCTION("""COMPUTED_VALUE"""),"PORTA PASSAPORTE CARIMBO")</f>
        <v>PORTA PASSAPORTE CARIMBO</v>
      </c>
      <c r="D2873" s="186" t="str">
        <f>IFERROR(__xludf.DUMMYFUNCTION("""COMPUTED_VALUE"""),"FALSO")</f>
        <v>FALSO</v>
      </c>
    </row>
    <row r="2874">
      <c r="B2874" s="186" t="str">
        <f>IFERROR(__xludf.DUMMYFUNCTION("""COMPUTED_VALUE"""),"PI6211Y")</f>
        <v>PI6211Y</v>
      </c>
      <c r="C2874" s="186" t="str">
        <f>IFERROR(__xludf.DUMMYFUNCTION("""COMPUTED_VALUE"""),"PORTA-PASSAPORTE PONTO CRUZ")</f>
        <v>PORTA-PASSAPORTE PONTO CRUZ</v>
      </c>
      <c r="D2874" s="186" t="str">
        <f>IFERROR(__xludf.DUMMYFUNCTION("""COMPUTED_VALUE"""),"FALSO")</f>
        <v>FALSO</v>
      </c>
    </row>
    <row r="2875">
      <c r="B2875" s="186" t="str">
        <f>IFERROR(__xludf.DUMMYFUNCTION("""COMPUTED_VALUE"""),"PI6211Y")</f>
        <v>PI6211Y</v>
      </c>
      <c r="C2875" s="186" t="str">
        <f>IFERROR(__xludf.DUMMYFUNCTION("""COMPUTED_VALUE"""),"PORTA-PASSAPORTE PONTO CRUZ")</f>
        <v>PORTA-PASSAPORTE PONTO CRUZ</v>
      </c>
      <c r="D2875" s="186" t="str">
        <f>IFERROR(__xludf.DUMMYFUNCTION("""COMPUTED_VALUE"""),"FALSO")</f>
        <v>FALSO</v>
      </c>
    </row>
    <row r="2876">
      <c r="B2876" s="186" t="str">
        <f>IFERROR(__xludf.DUMMYFUNCTION("""COMPUTED_VALUE"""),"AC2152Y")</f>
        <v>AC2152Y</v>
      </c>
      <c r="C2876" s="186" t="str">
        <f>IFERROR(__xludf.DUMMYFUNCTION("""COMPUTED_VALUE"""),"PCB CONTROLADOR PARA PI5097Y")</f>
        <v>PCB CONTROLADOR PARA PI5097Y</v>
      </c>
      <c r="D2876" s="186" t="str">
        <f>IFERROR(__xludf.DUMMYFUNCTION("""COMPUTED_VALUE"""),"FALSO")</f>
        <v>FALSO</v>
      </c>
    </row>
    <row r="2877">
      <c r="B2877" s="186" t="str">
        <f>IFERROR(__xludf.DUMMYFUNCTION("""COMPUTED_VALUE"""),"AC2185Y")</f>
        <v>AC2185Y</v>
      </c>
      <c r="C2877" s="186" t="str">
        <f>IFERROR(__xludf.DUMMYFUNCTION("""COMPUTED_VALUE"""),"PCB PARA PI4882Y")</f>
        <v>PCB PARA PI4882Y</v>
      </c>
      <c r="D2877" s="186" t="str">
        <f>IFERROR(__xludf.DUMMYFUNCTION("""COMPUTED_VALUE"""),"FALSO")</f>
        <v>FALSO</v>
      </c>
    </row>
    <row r="2878">
      <c r="B2878" s="186" t="str">
        <f>IFERROR(__xludf.DUMMYFUNCTION("""COMPUTED_VALUE"""),"AC2188Y")</f>
        <v>AC2188Y</v>
      </c>
      <c r="C2878" s="186" t="str">
        <f>IFERROR(__xludf.DUMMYFUNCTION("""COMPUTED_VALUE"""),"PCB PARA PI4995Y")</f>
        <v>PCB PARA PI4995Y</v>
      </c>
      <c r="D2878" s="186" t="str">
        <f>IFERROR(__xludf.DUMMYFUNCTION("""COMPUTED_VALUE"""),"FALSO")</f>
        <v>FALSO</v>
      </c>
    </row>
    <row r="2879">
      <c r="B2879" s="186" t="str">
        <f>IFERROR(__xludf.DUMMYFUNCTION("""COMPUTED_VALUE"""),"AC2150Y")</f>
        <v>AC2150Y</v>
      </c>
      <c r="C2879" s="186" t="str">
        <f>IFERROR(__xludf.DUMMYFUNCTION("""COMPUTED_VALUE"""),"PCB CARREGADOR INDUCAO PI5097Y")</f>
        <v>PCB CARREGADOR INDUCAO PI5097Y</v>
      </c>
      <c r="D2879" s="186" t="str">
        <f>IFERROR(__xludf.DUMMYFUNCTION("""COMPUTED_VALUE"""),"FALSO")</f>
        <v>FALSO</v>
      </c>
    </row>
    <row r="2880">
      <c r="B2880" s="186" t="str">
        <f>IFERROR(__xludf.DUMMYFUNCTION("""COMPUTED_VALUE"""),"PI7886Y")</f>
        <v>PI7886Y</v>
      </c>
      <c r="C2880" s="186" t="str">
        <f>IFERROR(__xludf.DUMMYFUNCTION("""COMPUTED_VALUE"""),"RELOGIO PEDESTAL PRETO")</f>
        <v>RELOGIO PEDESTAL PRETO</v>
      </c>
      <c r="D2880" s="186" t="str">
        <f>IFERROR(__xludf.DUMMYFUNCTION("""COMPUTED_VALUE"""),"FALSO")</f>
        <v>FALSO</v>
      </c>
    </row>
    <row r="2881">
      <c r="B2881" s="186" t="str">
        <f>IFERROR(__xludf.DUMMYFUNCTION("""COMPUTED_VALUE"""),"PI7885Y")</f>
        <v>PI7885Y</v>
      </c>
      <c r="C2881" s="186" t="str">
        <f>IFERROR(__xludf.DUMMYFUNCTION("""COMPUTED_VALUE"""),"RELOGIO PEDESTAL BRANCO")</f>
        <v>RELOGIO PEDESTAL BRANCO</v>
      </c>
      <c r="D2881" s="186" t="str">
        <f>IFERROR(__xludf.DUMMYFUNCTION("""COMPUTED_VALUE"""),"FALSO")</f>
        <v>FALSO</v>
      </c>
    </row>
    <row r="2882">
      <c r="B2882" s="186" t="str">
        <f>IFERROR(__xludf.DUMMYFUNCTION("""COMPUTED_VALUE"""),"PI7562Y")</f>
        <v>PI7562Y</v>
      </c>
      <c r="C2882" s="186" t="str">
        <f>IFERROR(__xludf.DUMMYFUNCTION("""COMPUTED_VALUE"""),"CANETA GATO MARROM")</f>
        <v>CANETA GATO MARROM</v>
      </c>
      <c r="D2882" s="186" t="str">
        <f>IFERROR(__xludf.DUMMYFUNCTION("""COMPUTED_VALUE"""),"INMETRO SCHOOL ARTICLES SYSTEM 5 - ORDINANCE 481")</f>
        <v>INMETRO SCHOOL ARTICLES SYSTEM 5 - ORDINANCE 481</v>
      </c>
    </row>
    <row r="2883">
      <c r="B2883" s="186" t="str">
        <f>IFERROR(__xludf.DUMMYFUNCTION("""COMPUTED_VALUE"""),"PI4940Y")</f>
        <v>PI4940Y</v>
      </c>
      <c r="C2883" s="186" t="str">
        <f>IFERROR(__xludf.DUMMYFUNCTION("""COMPUTED_VALUE"""),"CANETA GATINHO")</f>
        <v>CANETA GATINHO</v>
      </c>
      <c r="D2883" s="186" t="str">
        <f>IFERROR(__xludf.DUMMYFUNCTION("""COMPUTED_VALUE"""),"INMETRO SCHOOL ARTICLES SYSTEM 5 - ORDINANCE 481")</f>
        <v>INMETRO SCHOOL ARTICLES SYSTEM 5 - ORDINANCE 481</v>
      </c>
    </row>
    <row r="2884">
      <c r="B2884" s="186" t="str">
        <f>IFERROR(__xludf.DUMMYFUNCTION("""COMPUTED_VALUE"""),"PI4511Y")</f>
        <v>PI4511Y</v>
      </c>
      <c r="C2884" s="186" t="str">
        <f>IFERROR(__xludf.DUMMYFUNCTION("""COMPUTED_VALUE"""),"CANETA MUDA FRASES HP FEITICOS")</f>
        <v>CANETA MUDA FRASES HP FEITICOS</v>
      </c>
      <c r="D2884" s="186" t="str">
        <f>IFERROR(__xludf.DUMMYFUNCTION("""COMPUTED_VALUE"""),"FALSO")</f>
        <v>FALSO</v>
      </c>
    </row>
    <row r="2885">
      <c r="B2885" s="186" t="str">
        <f>IFERROR(__xludf.DUMMYFUNCTION("""COMPUTED_VALUE"""),"PI4511Y")</f>
        <v>PI4511Y</v>
      </c>
      <c r="C2885" s="186" t="str">
        <f>IFERROR(__xludf.DUMMYFUNCTION("""COMPUTED_VALUE"""),"CANETA MUDA FRASES HP FEITICOS")</f>
        <v>CANETA MUDA FRASES HP FEITICOS</v>
      </c>
      <c r="D2885" s="186" t="str">
        <f>IFERROR(__xludf.DUMMYFUNCTION("""COMPUTED_VALUE"""),"FALSO")</f>
        <v>FALSO</v>
      </c>
    </row>
    <row r="2886">
      <c r="B2886" s="186" t="str">
        <f>IFERROR(__xludf.DUMMYFUNCTION("""COMPUTED_VALUE"""),"PI4511Y")</f>
        <v>PI4511Y</v>
      </c>
      <c r="C2886" s="186" t="str">
        <f>IFERROR(__xludf.DUMMYFUNCTION("""COMPUTED_VALUE"""),"CANETA MUDA FRASES HP FEITICOS")</f>
        <v>CANETA MUDA FRASES HP FEITICOS</v>
      </c>
      <c r="D2886" s="186" t="str">
        <f>IFERROR(__xludf.DUMMYFUNCTION("""COMPUTED_VALUE"""),"INMETRO SCHOOL ARTICLES SYSTEM 5 - ORDINANCE 481")</f>
        <v>INMETRO SCHOOL ARTICLES SYSTEM 5 - ORDINANCE 481</v>
      </c>
    </row>
    <row r="2887">
      <c r="B2887" s="186" t="str">
        <f>IFERROR(__xludf.DUMMYFUNCTION("""COMPUTED_VALUE"""),"PI4511Y")</f>
        <v>PI4511Y</v>
      </c>
      <c r="C2887" s="186" t="str">
        <f>IFERROR(__xludf.DUMMYFUNCTION("""COMPUTED_VALUE"""),"CANETA MUDA FRASES HP FEITICOS")</f>
        <v>CANETA MUDA FRASES HP FEITICOS</v>
      </c>
      <c r="D2887" s="186" t="str">
        <f>IFERROR(__xludf.DUMMYFUNCTION("""COMPUTED_VALUE"""),"FALSO")</f>
        <v>FALSO</v>
      </c>
    </row>
    <row r="2888">
      <c r="B2888" s="186" t="str">
        <f>IFERROR(__xludf.DUMMYFUNCTION("""COMPUTED_VALUE"""),"PI4511Y")</f>
        <v>PI4511Y</v>
      </c>
      <c r="C2888" s="186" t="str">
        <f>IFERROR(__xludf.DUMMYFUNCTION("""COMPUTED_VALUE"""),"CANETA MUDA FRASES HP FEITICOS")</f>
        <v>CANETA MUDA FRASES HP FEITICOS</v>
      </c>
      <c r="D2888" s="186" t="str">
        <f>IFERROR(__xludf.DUMMYFUNCTION("""COMPUTED_VALUE"""),"INMETRO SCHOOL ARTICLES SYSTEM 5 - ORDINANCE 481")</f>
        <v>INMETRO SCHOOL ARTICLES SYSTEM 5 - ORDINANCE 481</v>
      </c>
    </row>
    <row r="2889">
      <c r="B2889" s="186" t="str">
        <f>IFERROR(__xludf.DUMMYFUNCTION("""COMPUTED_VALUE"""),"PI4511Y")</f>
        <v>PI4511Y</v>
      </c>
      <c r="C2889" s="186" t="str">
        <f>IFERROR(__xludf.DUMMYFUNCTION("""COMPUTED_VALUE"""),"CANETA MUDA FRASES HP FEITICOS")</f>
        <v>CANETA MUDA FRASES HP FEITICOS</v>
      </c>
      <c r="D2889" s="186" t="str">
        <f>IFERROR(__xludf.DUMMYFUNCTION("""COMPUTED_VALUE"""),"INMETRO SCHOOL ARTICLES SYSTEM 5 - ORDINANCE 481")</f>
        <v>INMETRO SCHOOL ARTICLES SYSTEM 5 - ORDINANCE 481</v>
      </c>
    </row>
    <row r="2890">
      <c r="B2890" s="186" t="str">
        <f>IFERROR(__xludf.DUMMYFUNCTION("""COMPUTED_VALUE"""),"PI4990Y")</f>
        <v>PI4990Y</v>
      </c>
      <c r="C2890" s="186" t="str">
        <f>IFERROR(__xludf.DUMMYFUNCTION("""COMPUTED_VALUE"""),"CANETA MUDA FRASES SORTE DO DIA")</f>
        <v>CANETA MUDA FRASES SORTE DO DIA</v>
      </c>
      <c r="D2890" s="186" t="str">
        <f>IFERROR(__xludf.DUMMYFUNCTION("""COMPUTED_VALUE"""),"FALSO")</f>
        <v>FALSO</v>
      </c>
    </row>
    <row r="2891">
      <c r="B2891" s="186" t="str">
        <f>IFERROR(__xludf.DUMMYFUNCTION("""COMPUTED_VALUE"""),"PI4890Y")</f>
        <v>PI4890Y</v>
      </c>
      <c r="C2891" s="186" t="str">
        <f>IFERROR(__xludf.DUMMYFUNCTION("""COMPUTED_VALUE"""),"ESTOJO TROCA INSERTS HP PROFETA DIARIO")</f>
        <v>ESTOJO TROCA INSERTS HP PROFETA DIARIO</v>
      </c>
      <c r="D2891" s="186" t="str">
        <f>IFERROR(__xludf.DUMMYFUNCTION("""COMPUTED_VALUE"""),"FALSO")</f>
        <v>FALSO</v>
      </c>
    </row>
    <row r="2892">
      <c r="B2892" s="186" t="str">
        <f>IFERROR(__xludf.DUMMYFUNCTION("""COMPUTED_VALUE"""),"US0107")</f>
        <v>US0107</v>
      </c>
      <c r="C2892" s="186" t="str">
        <f>IFERROR(__xludf.DUMMYFUNCTION("""COMPUTED_VALUE"""),"LUMINARIA PENDENTE SATURNO AZUL")</f>
        <v>LUMINARIA PENDENTE SATURNO AZUL</v>
      </c>
      <c r="D2892" s="186" t="str">
        <f>IFERROR(__xludf.DUMMYFUNCTION("""COMPUTED_VALUE"""),"FALSO")</f>
        <v>FALSO</v>
      </c>
    </row>
    <row r="2893">
      <c r="B2893" s="186" t="str">
        <f>IFERROR(__xludf.DUMMYFUNCTION("""COMPUTED_VALUE"""),"AC2158Y")</f>
        <v>AC2158Y</v>
      </c>
      <c r="C2893" s="186" t="str">
        <f>IFERROR(__xludf.DUMMYFUNCTION("""COMPUTED_VALUE"""),"AC CANETA PARA PI5037Y")</f>
        <v>AC CANETA PARA PI5037Y</v>
      </c>
      <c r="D2893" s="186" t="str">
        <f>IFERROR(__xludf.DUMMYFUNCTION("""COMPUTED_VALUE"""),"FALSO")</f>
        <v>FALSO</v>
      </c>
    </row>
    <row r="2894">
      <c r="B2894" s="186" t="str">
        <f>IFERROR(__xludf.DUMMYFUNCTION("""COMPUTED_VALUE"""),"AC2157Y")</f>
        <v>AC2157Y</v>
      </c>
      <c r="C2894" s="186" t="str">
        <f>IFERROR(__xludf.DUMMYFUNCTION("""COMPUTED_VALUE"""),"AC CANETA PARA PI5052Y")</f>
        <v>AC CANETA PARA PI5052Y</v>
      </c>
      <c r="D2894" s="186" t="str">
        <f>IFERROR(__xludf.DUMMYFUNCTION("""COMPUTED_VALUE"""),"FALSO")</f>
        <v>FALSO</v>
      </c>
    </row>
    <row r="2895">
      <c r="B2895" s="186" t="str">
        <f>IFERROR(__xludf.DUMMYFUNCTION("""COMPUTED_VALUE"""),"AC2182Y")</f>
        <v>AC2182Y</v>
      </c>
      <c r="C2895" s="186" t="str">
        <f>IFERROR(__xludf.DUMMYFUNCTION("""COMPUTED_VALUE"""),"AC CANETA PARA PI5093Y")</f>
        <v>AC CANETA PARA PI5093Y</v>
      </c>
      <c r="D2895" s="186" t="str">
        <f>IFERROR(__xludf.DUMMYFUNCTION("""COMPUTED_VALUE"""),"FALSO")</f>
        <v>FALSO</v>
      </c>
    </row>
    <row r="2896">
      <c r="B2896" s="186" t="str">
        <f>IFERROR(__xludf.DUMMYFUNCTION("""COMPUTED_VALUE"""),"AC2182Y")</f>
        <v>AC2182Y</v>
      </c>
      <c r="C2896" s="186" t="str">
        <f>IFERROR(__xludf.DUMMYFUNCTION("""COMPUTED_VALUE"""),"AC CANETA PARA PI5093Y")</f>
        <v>AC CANETA PARA PI5093Y</v>
      </c>
      <c r="D2896" s="186" t="str">
        <f>IFERROR(__xludf.DUMMYFUNCTION("""COMPUTED_VALUE"""),"FALSO")</f>
        <v>FALSO</v>
      </c>
    </row>
    <row r="2897">
      <c r="B2897" s="186" t="str">
        <f>IFERROR(__xludf.DUMMYFUNCTION("""COMPUTED_VALUE"""),"AC2160Y")</f>
        <v>AC2160Y</v>
      </c>
      <c r="C2897" s="186" t="str">
        <f>IFERROR(__xludf.DUMMYFUNCTION("""COMPUTED_VALUE"""),"CANETA PARA PI5093Y")</f>
        <v>CANETA PARA PI5093Y</v>
      </c>
      <c r="D2897" s="186" t="str">
        <f>IFERROR(__xludf.DUMMYFUNCTION("""COMPUTED_VALUE"""),"FALSO")</f>
        <v>FALSO</v>
      </c>
    </row>
    <row r="2898">
      <c r="B2898" s="186" t="str">
        <f>IFERROR(__xludf.DUMMYFUNCTION("""COMPUTED_VALUE"""),"AC2182Y")</f>
        <v>AC2182Y</v>
      </c>
      <c r="C2898" s="186" t="str">
        <f>IFERROR(__xludf.DUMMYFUNCTION("""COMPUTED_VALUE"""),"AC CANETA PARA PI5093Y")</f>
        <v>AC CANETA PARA PI5093Y</v>
      </c>
      <c r="D2898" s="186" t="str">
        <f>IFERROR(__xludf.DUMMYFUNCTION("""COMPUTED_VALUE"""),"FALSO")</f>
        <v>FALSO</v>
      </c>
    </row>
    <row r="2899">
      <c r="B2899" s="186" t="str">
        <f>IFERROR(__xludf.DUMMYFUNCTION("""COMPUTED_VALUE"""),"AC2207Y")</f>
        <v>AC2207Y</v>
      </c>
      <c r="C2899" s="186" t="str">
        <f>IFERROR(__xludf.DUMMYFUNCTION("""COMPUTED_VALUE"""),"CANETA PARA PI5879Y")</f>
        <v>CANETA PARA PI5879Y</v>
      </c>
      <c r="D2899" s="186" t="str">
        <f>IFERROR(__xludf.DUMMYFUNCTION("""COMPUTED_VALUE"""),"FALSO")</f>
        <v>FALSO</v>
      </c>
    </row>
    <row r="2900">
      <c r="B2900" s="186" t="str">
        <f>IFERROR(__xludf.DUMMYFUNCTION("""COMPUTED_VALUE"""),"PI7746Y")</f>
        <v>PI7746Y</v>
      </c>
      <c r="C2900" s="186" t="str">
        <f>IFERROR(__xludf.DUMMYFUNCTION("""COMPUTED_VALUE"""),"CANETA HP CHAPEU SELETOR CASAS")</f>
        <v>CANETA HP CHAPEU SELETOR CASAS</v>
      </c>
      <c r="D2900" s="186" t="str">
        <f>IFERROR(__xludf.DUMMYFUNCTION("""COMPUTED_VALUE"""),"INMETRO SCHOOL ARTICLES - ORDINANCE 423")</f>
        <v>INMETRO SCHOOL ARTICLES - ORDINANCE 423</v>
      </c>
    </row>
    <row r="2901">
      <c r="B2901" s="186" t="str">
        <f>IFERROR(__xludf.DUMMYFUNCTION("""COMPUTED_VALUE"""),"PI5398Y")</f>
        <v>PI5398Y</v>
      </c>
      <c r="C2901" s="186" t="str">
        <f>IFERROR(__xludf.DUMMYFUNCTION("""COMPUTED_VALUE"""),"CANETA LED E GLITTER ESCREVA OU DESENHE")</f>
        <v>CANETA LED E GLITTER ESCREVA OU DESENHE</v>
      </c>
      <c r="D2901" s="186" t="str">
        <f>IFERROR(__xludf.DUMMYFUNCTION("""COMPUTED_VALUE"""),"INMETRO SCHOOL ARTICLES SYSTEM 5 - ORDINANCE 481")</f>
        <v>INMETRO SCHOOL ARTICLES SYSTEM 5 - ORDINANCE 481</v>
      </c>
    </row>
    <row r="2902">
      <c r="B2902" s="186" t="str">
        <f>IFERROR(__xludf.DUMMYFUNCTION("""COMPUTED_VALUE"""),"PI4636Y")</f>
        <v>PI4636Y</v>
      </c>
      <c r="C2902" s="186" t="str">
        <f>IFERROR(__xludf.DUMMYFUNCTION("""COMPUTED_VALUE"""),"CANETA GLITTER ASSINO EMBAIXO")</f>
        <v>CANETA GLITTER ASSINO EMBAIXO</v>
      </c>
      <c r="D2902" s="186" t="str">
        <f>IFERROR(__xludf.DUMMYFUNCTION("""COMPUTED_VALUE"""),"FALSO")</f>
        <v>FALSO</v>
      </c>
    </row>
    <row r="2903">
      <c r="B2903" s="186" t="str">
        <f>IFERROR(__xludf.DUMMYFUNCTION("""COMPUTED_VALUE"""),"PI7544Y")</f>
        <v>PI7544Y</v>
      </c>
      <c r="C2903" s="186" t="str">
        <f>IFERROR(__xludf.DUMMYFUNCTION("""COMPUTED_VALUE"""),"PLANNER PERMANENTE CELESTIAL")</f>
        <v>PLANNER PERMANENTE CELESTIAL</v>
      </c>
      <c r="D2903" s="186" t="str">
        <f>IFERROR(__xludf.DUMMYFUNCTION("""COMPUTED_VALUE"""),"FALSO")</f>
        <v>FALSO</v>
      </c>
    </row>
    <row r="2904">
      <c r="B2904" s="186" t="str">
        <f>IFERROR(__xludf.DUMMYFUNCTION("""COMPUTED_VALUE"""),"PI7547Y")</f>
        <v>PI7547Y</v>
      </c>
      <c r="C2904" s="186" t="str">
        <f>IFERROR(__xludf.DUMMYFUNCTION("""COMPUTED_VALUE"""),"PLANNER PERMANENTE GATINHO")</f>
        <v>PLANNER PERMANENTE GATINHO</v>
      </c>
      <c r="D2904" s="186" t="str">
        <f>IFERROR(__xludf.DUMMYFUNCTION("""COMPUTED_VALUE"""),"FALSO")</f>
        <v>FALSO</v>
      </c>
    </row>
    <row r="2905">
      <c r="B2905" s="186" t="str">
        <f>IFERROR(__xludf.DUMMYFUNCTION("""COMPUTED_VALUE"""),"PI7541Y")</f>
        <v>PI7541Y</v>
      </c>
      <c r="C2905" s="186" t="str">
        <f>IFERROR(__xludf.DUMMYFUNCTION("""COMPUTED_VALUE"""),"PLANNER PERMANENTE IMAS HP HOGWARTS")</f>
        <v>PLANNER PERMANENTE IMAS HP HOGWARTS</v>
      </c>
      <c r="D2905" s="186" t="str">
        <f>IFERROR(__xludf.DUMMYFUNCTION("""COMPUTED_VALUE"""),"FALSO")</f>
        <v>FALSO</v>
      </c>
    </row>
    <row r="2906">
      <c r="B2906" s="186" t="str">
        <f>IFERROR(__xludf.DUMMYFUNCTION("""COMPUTED_VALUE"""),"PI7546Y")</f>
        <v>PI7546Y</v>
      </c>
      <c r="C2906" s="186" t="str">
        <f>IFERROR(__xludf.DUMMYFUNCTION("""COMPUTED_VALUE"""),"PLANNER PERMANENTE MEU ANO")</f>
        <v>PLANNER PERMANENTE MEU ANO</v>
      </c>
      <c r="D2906" s="186" t="str">
        <f>IFERROR(__xludf.DUMMYFUNCTION("""COMPUTED_VALUE"""),"FALSO")</f>
        <v>FALSO</v>
      </c>
    </row>
    <row r="2907">
      <c r="B2907" s="186" t="str">
        <f>IFERROR(__xludf.DUMMYFUNCTION("""COMPUTED_VALUE"""),"PI1764Y")</f>
        <v>PI1764Y</v>
      </c>
      <c r="C2907" s="186" t="str">
        <f>IFERROR(__xludf.DUMMYFUNCTION("""COMPUTED_VALUE"""),"PORTA RETRATO REGISTRO PATA DE CACHORRO")</f>
        <v>PORTA RETRATO REGISTRO PATA DE CACHORRO</v>
      </c>
      <c r="D2907" s="186" t="str">
        <f>IFERROR(__xludf.DUMMYFUNCTION("""COMPUTED_VALUE"""),"FALSO")</f>
        <v>FALSO</v>
      </c>
    </row>
    <row r="2908">
      <c r="B2908" s="186" t="str">
        <f>IFERROR(__xludf.DUMMYFUNCTION("""COMPUTED_VALUE"""),"PI1764Y")</f>
        <v>PI1764Y</v>
      </c>
      <c r="C2908" s="186" t="str">
        <f>IFERROR(__xludf.DUMMYFUNCTION("""COMPUTED_VALUE"""),"PORTA RETRATO REGISTRO PATA DE CACHORRO")</f>
        <v>PORTA RETRATO REGISTRO PATA DE CACHORRO</v>
      </c>
      <c r="D2908" s="186" t="str">
        <f>IFERROR(__xludf.DUMMYFUNCTION("""COMPUTED_VALUE"""),"FALSO")</f>
        <v>FALSO</v>
      </c>
    </row>
    <row r="2909">
      <c r="B2909" s="186" t="str">
        <f>IFERROR(__xludf.DUMMYFUNCTION("""COMPUTED_VALUE"""),"PI5875Y")</f>
        <v>PI5875Y</v>
      </c>
      <c r="C2909" s="186" t="str">
        <f>IFERROR(__xludf.DUMMYFUNCTION("""COMPUTED_VALUE"""),"ALBUM DE FOTOS PARECE QUE FOI ONTEM")</f>
        <v>ALBUM DE FOTOS PARECE QUE FOI ONTEM</v>
      </c>
      <c r="D2909" s="186" t="str">
        <f>IFERROR(__xludf.DUMMYFUNCTION("""COMPUTED_VALUE"""),"FALSO")</f>
        <v>FALSO</v>
      </c>
    </row>
    <row r="2910">
      <c r="B2910" s="186" t="str">
        <f>IFERROR(__xludf.DUMMYFUNCTION("""COMPUTED_VALUE"""),"PI7810Y")</f>
        <v>PI7810Y</v>
      </c>
      <c r="C2910" s="186" t="str">
        <f>IFERROR(__xludf.DUMMYFUNCTION("""COMPUTED_VALUE"""),"ALBUM DE FOTOS SEM FILTRO")</f>
        <v>ALBUM DE FOTOS SEM FILTRO</v>
      </c>
      <c r="D2910" s="186" t="str">
        <f>IFERROR(__xludf.DUMMYFUNCTION("""COMPUTED_VALUE"""),"FALSO")</f>
        <v>FALSO</v>
      </c>
    </row>
    <row r="2911">
      <c r="B2911" s="186" t="str">
        <f>IFERROR(__xludf.DUMMYFUNCTION("""COMPUTED_VALUE"""),"PI4645Y")</f>
        <v>PI4645Y</v>
      </c>
      <c r="C2911" s="186" t="str">
        <f>IFERROR(__xludf.DUMMYFUNCTION("""COMPUTED_VALUE"""),"PORTA RETRATO E CALENDARIO TA MARCADO")</f>
        <v>PORTA RETRATO E CALENDARIO TA MARCADO</v>
      </c>
      <c r="D2911" s="186" t="str">
        <f>IFERROR(__xludf.DUMMYFUNCTION("""COMPUTED_VALUE"""),"FALSO")</f>
        <v>FALSO</v>
      </c>
    </row>
    <row r="2912">
      <c r="B2912" s="186" t="str">
        <f>IFERROR(__xludf.DUMMYFUNCTION("""COMPUTED_VALUE"""),"PI5530Y")</f>
        <v>PI5530Y</v>
      </c>
      <c r="C2912" s="186" t="str">
        <f>IFERROR(__xludf.DUMMYFUNCTION("""COMPUTED_VALUE"""),"PORTA RETRATO E ESPELHO SORRISOS")</f>
        <v>PORTA RETRATO E ESPELHO SORRISOS</v>
      </c>
      <c r="D2912" s="186" t="str">
        <f>IFERROR(__xludf.DUMMYFUNCTION("""COMPUTED_VALUE"""),"FALSO")</f>
        <v>FALSO</v>
      </c>
    </row>
    <row r="2913">
      <c r="B2913" s="186" t="str">
        <f>IFERROR(__xludf.DUMMYFUNCTION("""COMPUTED_VALUE"""),"PI5826Y")</f>
        <v>PI5826Y</v>
      </c>
      <c r="C2913" s="186" t="str">
        <f>IFERROR(__xludf.DUMMYFUNCTION("""COMPUTED_VALUE"""),"PORTA RETRATO ARQUIVO NA MEMORIA")</f>
        <v>PORTA RETRATO ARQUIVO NA MEMORIA</v>
      </c>
      <c r="D2913" s="186" t="str">
        <f>IFERROR(__xludf.DUMMYFUNCTION("""COMPUTED_VALUE"""),"FALSO")</f>
        <v>FALSO</v>
      </c>
    </row>
    <row r="2914">
      <c r="B2914" s="186" t="str">
        <f>IFERROR(__xludf.DUMMYFUNCTION("""COMPUTED_VALUE"""),"PI5808Y")</f>
        <v>PI5808Y</v>
      </c>
      <c r="C2914" s="186" t="str">
        <f>IFERROR(__xludf.DUMMYFUNCTION("""COMPUTED_VALUE"""),"PORTA RETRATO BEBE 1 ANO BEBEGRAM")</f>
        <v>PORTA RETRATO BEBE 1 ANO BEBEGRAM</v>
      </c>
      <c r="D2914" s="186" t="str">
        <f>IFERROR(__xludf.DUMMYFUNCTION("""COMPUTED_VALUE"""),"FALSO")</f>
        <v>FALSO</v>
      </c>
    </row>
    <row r="2915">
      <c r="B2915" s="186" t="str">
        <f>IFERROR(__xludf.DUMMYFUNCTION("""COMPUTED_VALUE"""),"PI5808Y")</f>
        <v>PI5808Y</v>
      </c>
      <c r="C2915" s="186" t="str">
        <f>IFERROR(__xludf.DUMMYFUNCTION("""COMPUTED_VALUE"""),"PORTA RETRATO BEBE 1 ANO BEBEGRAM")</f>
        <v>PORTA RETRATO BEBE 1 ANO BEBEGRAM</v>
      </c>
      <c r="D2915" s="186" t="str">
        <f>IFERROR(__xludf.DUMMYFUNCTION("""COMPUTED_VALUE"""),"FALSO")</f>
        <v>FALSO</v>
      </c>
    </row>
    <row r="2916">
      <c r="B2916" s="186" t="str">
        <f>IFERROR(__xludf.DUMMYFUNCTION("""COMPUTED_VALUE"""),"PI5808Y")</f>
        <v>PI5808Y</v>
      </c>
      <c r="C2916" s="186" t="str">
        <f>IFERROR(__xludf.DUMMYFUNCTION("""COMPUTED_VALUE"""),"PORTA RETRATO BEBE 1 ANO BEBEGRAM")</f>
        <v>PORTA RETRATO BEBE 1 ANO BEBEGRAM</v>
      </c>
      <c r="D2916" s="186" t="str">
        <f>IFERROR(__xludf.DUMMYFUNCTION("""COMPUTED_VALUE"""),"FALSO")</f>
        <v>FALSO</v>
      </c>
    </row>
    <row r="2917">
      <c r="B2917" s="186" t="str">
        <f>IFERROR(__xludf.DUMMYFUNCTION("""COMPUTED_VALUE"""),"PI5807Y")</f>
        <v>PI5807Y</v>
      </c>
      <c r="C2917" s="186" t="str">
        <f>IFERROR(__xludf.DUMMYFUNCTION("""COMPUTED_VALUE"""),"PORTA RETRATO BEBE CARIMBO NO CORACAO")</f>
        <v>PORTA RETRATO BEBE CARIMBO NO CORACAO</v>
      </c>
      <c r="D2917" s="186" t="str">
        <f>IFERROR(__xludf.DUMMYFUNCTION("""COMPUTED_VALUE"""),"FALSO")</f>
        <v>FALSO</v>
      </c>
    </row>
    <row r="2918">
      <c r="B2918" s="186" t="str">
        <f>IFERROR(__xludf.DUMMYFUNCTION("""COMPUTED_VALUE"""),"PI5807Y")</f>
        <v>PI5807Y</v>
      </c>
      <c r="C2918" s="186" t="str">
        <f>IFERROR(__xludf.DUMMYFUNCTION("""COMPUTED_VALUE"""),"PORTA RETRATO BEBE CARIMBO NO CORACAO")</f>
        <v>PORTA RETRATO BEBE CARIMBO NO CORACAO</v>
      </c>
      <c r="D2918" s="186" t="str">
        <f>IFERROR(__xludf.DUMMYFUNCTION("""COMPUTED_VALUE"""),"FALSO")</f>
        <v>FALSO</v>
      </c>
    </row>
    <row r="2919">
      <c r="B2919" s="186" t="str">
        <f>IFERROR(__xludf.DUMMYFUNCTION("""COMPUTED_VALUE"""),"PI4928Y")</f>
        <v>PI4928Y</v>
      </c>
      <c r="C2919" s="186" t="str">
        <f>IFERROR(__xludf.DUMMYFUNCTION("""COMPUTED_VALUE"""),"PORTA RETRATO BEATLES SUBMARINO")</f>
        <v>PORTA RETRATO BEATLES SUBMARINO</v>
      </c>
      <c r="D2919" s="186" t="str">
        <f>IFERROR(__xludf.DUMMYFUNCTION("""COMPUTED_VALUE"""),"FALSO")</f>
        <v>FALSO</v>
      </c>
    </row>
    <row r="2920">
      <c r="B2920" s="186" t="str">
        <f>IFERROR(__xludf.DUMMYFUNCTION("""COMPUTED_VALUE"""),"PI5037Y")</f>
        <v>PI5037Y</v>
      </c>
      <c r="C2920" s="186" t="str">
        <f>IFERROR(__xludf.DUMMYFUNCTION("""COMPUTED_VALUE"""),"PORTA RETRATO LOUSA ZECA VERDE")</f>
        <v>PORTA RETRATO LOUSA ZECA VERDE</v>
      </c>
      <c r="D2920" s="186" t="str">
        <f>IFERROR(__xludf.DUMMYFUNCTION("""COMPUTED_VALUE"""),"FALSO")</f>
        <v>FALSO</v>
      </c>
    </row>
    <row r="2921">
      <c r="B2921" s="186" t="str">
        <f>IFERROR(__xludf.DUMMYFUNCTION("""COMPUTED_VALUE"""),"PI6247Y")</f>
        <v>PI6247Y</v>
      </c>
      <c r="C2921" s="186" t="str">
        <f>IFERROR(__xludf.DUMMYFUNCTION("""COMPUTED_VALUE"""),"PORTA-RETRATO QUADRINHOS")</f>
        <v>PORTA-RETRATO QUADRINHOS</v>
      </c>
      <c r="D2921" s="186" t="str">
        <f>IFERROR(__xludf.DUMMYFUNCTION("""COMPUTED_VALUE"""),"FALSO")</f>
        <v>FALSO</v>
      </c>
    </row>
    <row r="2922">
      <c r="B2922" s="186" t="str">
        <f>IFERROR(__xludf.DUMMYFUNCTION("""COMPUTED_VALUE"""),"PI5226Y")</f>
        <v>PI5226Y</v>
      </c>
      <c r="C2922" s="186" t="str">
        <f>IFERROR(__xludf.DUMMYFUNCTION("""COMPUTED_VALUE"""),"PORTA RETRATO ABAS ARQUIVO CONFIDENCIAL")</f>
        <v>PORTA RETRATO ABAS ARQUIVO CONFIDENCIAL</v>
      </c>
      <c r="D2922" s="186" t="str">
        <f>IFERROR(__xludf.DUMMYFUNCTION("""COMPUTED_VALUE"""),"FALSO")</f>
        <v>FALSO</v>
      </c>
    </row>
    <row r="2923">
      <c r="B2923" s="186" t="str">
        <f>IFERROR(__xludf.DUMMYFUNCTION("""COMPUTED_VALUE"""),"PI5226Y")</f>
        <v>PI5226Y</v>
      </c>
      <c r="C2923" s="186" t="str">
        <f>IFERROR(__xludf.DUMMYFUNCTION("""COMPUTED_VALUE"""),"PORTA RETRATO ABAS ARQUIVO CONFIDENCIAL")</f>
        <v>PORTA RETRATO ABAS ARQUIVO CONFIDENCIAL</v>
      </c>
      <c r="D2923" s="186" t="str">
        <f>IFERROR(__xludf.DUMMYFUNCTION("""COMPUTED_VALUE"""),"FALSO")</f>
        <v>FALSO</v>
      </c>
    </row>
    <row r="2924">
      <c r="B2924" s="186" t="str">
        <f>IFERROR(__xludf.DUMMYFUNCTION("""COMPUTED_VALUE"""),"PI5226Y")</f>
        <v>PI5226Y</v>
      </c>
      <c r="C2924" s="186" t="str">
        <f>IFERROR(__xludf.DUMMYFUNCTION("""COMPUTED_VALUE"""),"PORTA RETRATO ABAS ARQUIVO CONFIDENCIAL")</f>
        <v>PORTA RETRATO ABAS ARQUIVO CONFIDENCIAL</v>
      </c>
      <c r="D2924" s="186" t="str">
        <f>IFERROR(__xludf.DUMMYFUNCTION("""COMPUTED_VALUE"""),"FALSO")</f>
        <v>FALSO</v>
      </c>
    </row>
    <row r="2925">
      <c r="B2925" s="186" t="str">
        <f>IFERROR(__xludf.DUMMYFUNCTION("""COMPUTED_VALUE"""),"PI5226Y")</f>
        <v>PI5226Y</v>
      </c>
      <c r="C2925" s="186" t="str">
        <f>IFERROR(__xludf.DUMMYFUNCTION("""COMPUTED_VALUE"""),"PORTA RETRATO ABAS ARQUIVO CONFIDENCIAL")</f>
        <v>PORTA RETRATO ABAS ARQUIVO CONFIDENCIAL</v>
      </c>
      <c r="D2925" s="186" t="str">
        <f>IFERROR(__xludf.DUMMYFUNCTION("""COMPUTED_VALUE"""),"FALSO")</f>
        <v>FALSO</v>
      </c>
    </row>
    <row r="2926">
      <c r="B2926" s="186" t="str">
        <f>IFERROR(__xludf.DUMMYFUNCTION("""COMPUTED_VALUE"""),"PI5544Y")</f>
        <v>PI5544Y</v>
      </c>
      <c r="C2926" s="186" t="str">
        <f>IFERROR(__xludf.DUMMYFUNCTION("""COMPUTED_VALUE"""),"PORTA RETRATO CUPIDO BOM DE MIRA")</f>
        <v>PORTA RETRATO CUPIDO BOM DE MIRA</v>
      </c>
      <c r="D2926" s="186" t="str">
        <f>IFERROR(__xludf.DUMMYFUNCTION("""COMPUTED_VALUE"""),"FALSO")</f>
        <v>FALSO</v>
      </c>
    </row>
    <row r="2927">
      <c r="B2927" s="186" t="str">
        <f>IFERROR(__xludf.DUMMYFUNCTION("""COMPUTED_VALUE"""),"PI1764Y")</f>
        <v>PI1764Y</v>
      </c>
      <c r="C2927" s="186" t="str">
        <f>IFERROR(__xludf.DUMMYFUNCTION("""COMPUTED_VALUE"""),"PORTA RETRATO REGISTRO PATA DE CACHORRO")</f>
        <v>PORTA RETRATO REGISTRO PATA DE CACHORRO</v>
      </c>
      <c r="D2927" s="186" t="str">
        <f>IFERROR(__xludf.DUMMYFUNCTION("""COMPUTED_VALUE"""),"FALSO")</f>
        <v>FALSO</v>
      </c>
    </row>
    <row r="2928">
      <c r="B2928" s="186" t="str">
        <f>IFERROR(__xludf.DUMMYFUNCTION("""COMPUTED_VALUE"""),"PI1764Y")</f>
        <v>PI1764Y</v>
      </c>
      <c r="C2928" s="186" t="str">
        <f>IFERROR(__xludf.DUMMYFUNCTION("""COMPUTED_VALUE"""),"PORTA RETRATO REGISTRO PATA DE CACHORRO")</f>
        <v>PORTA RETRATO REGISTRO PATA DE CACHORRO</v>
      </c>
      <c r="D2928" s="186" t="str">
        <f>IFERROR(__xludf.DUMMYFUNCTION("""COMPUTED_VALUE"""),"FALSO")</f>
        <v>FALSO</v>
      </c>
    </row>
    <row r="2929">
      <c r="B2929" s="186" t="str">
        <f>IFERROR(__xludf.DUMMYFUNCTION("""COMPUTED_VALUE"""),"PI856Y")</f>
        <v>PI856Y</v>
      </c>
      <c r="C2929" s="186" t="str">
        <f>IFERROR(__xludf.DUMMYFUNCTION("""COMPUTED_VALUE"""),"PORTA RETRATO EM CASO DE SAUDADE")</f>
        <v>PORTA RETRATO EM CASO DE SAUDADE</v>
      </c>
      <c r="D2929" s="186" t="str">
        <f>IFERROR(__xludf.DUMMYFUNCTION("""COMPUTED_VALUE"""),"FALSO")</f>
        <v>FALSO</v>
      </c>
    </row>
    <row r="2930">
      <c r="B2930" s="186" t="str">
        <f>IFERROR(__xludf.DUMMYFUNCTION("""COMPUTED_VALUE"""),"PI856Y")</f>
        <v>PI856Y</v>
      </c>
      <c r="C2930" s="186" t="str">
        <f>IFERROR(__xludf.DUMMYFUNCTION("""COMPUTED_VALUE"""),"PORTA RETRATO EM CASO DE SAUDADE")</f>
        <v>PORTA RETRATO EM CASO DE SAUDADE</v>
      </c>
      <c r="D2930" s="186" t="str">
        <f>IFERROR(__xludf.DUMMYFUNCTION("""COMPUTED_VALUE"""),"FALSO")</f>
        <v>FALSO</v>
      </c>
    </row>
    <row r="2931">
      <c r="B2931" s="186" t="str">
        <f>IFERROR(__xludf.DUMMYFUNCTION("""COMPUTED_VALUE"""),"PI856Y")</f>
        <v>PI856Y</v>
      </c>
      <c r="C2931" s="186" t="str">
        <f>IFERROR(__xludf.DUMMYFUNCTION("""COMPUTED_VALUE"""),"PORTA RETRATO EM CASO DE SAUDADE")</f>
        <v>PORTA RETRATO EM CASO DE SAUDADE</v>
      </c>
      <c r="D2931" s="186" t="str">
        <f>IFERROR(__xludf.DUMMYFUNCTION("""COMPUTED_VALUE"""),"FALSO")</f>
        <v>FALSO</v>
      </c>
    </row>
    <row r="2932">
      <c r="B2932" s="186" t="str">
        <f>IFERROR(__xludf.DUMMYFUNCTION("""COMPUTED_VALUE"""),"PI856Y")</f>
        <v>PI856Y</v>
      </c>
      <c r="C2932" s="186" t="str">
        <f>IFERROR(__xludf.DUMMYFUNCTION("""COMPUTED_VALUE"""),"PORTA RETRATO EM CASO DE SAUDADE")</f>
        <v>PORTA RETRATO EM CASO DE SAUDADE</v>
      </c>
      <c r="D2932" s="186" t="str">
        <f>IFERROR(__xludf.DUMMYFUNCTION("""COMPUTED_VALUE"""),"FALSO")</f>
        <v>FALSO</v>
      </c>
    </row>
    <row r="2933">
      <c r="B2933" s="186" t="str">
        <f>IFERROR(__xludf.DUMMYFUNCTION("""COMPUTED_VALUE"""),"PI856Y")</f>
        <v>PI856Y</v>
      </c>
      <c r="C2933" s="186" t="str">
        <f>IFERROR(__xludf.DUMMYFUNCTION("""COMPUTED_VALUE"""),"PORTA RETRATO EM CASO DE SAUDADE")</f>
        <v>PORTA RETRATO EM CASO DE SAUDADE</v>
      </c>
      <c r="D2933" s="186" t="str">
        <f>IFERROR(__xludf.DUMMYFUNCTION("""COMPUTED_VALUE"""),"FALSO")</f>
        <v>FALSO</v>
      </c>
    </row>
    <row r="2934">
      <c r="B2934" s="186" t="str">
        <f>IFERROR(__xludf.DUMMYFUNCTION("""COMPUTED_VALUE"""),"PI856Y")</f>
        <v>PI856Y</v>
      </c>
      <c r="C2934" s="186" t="str">
        <f>IFERROR(__xludf.DUMMYFUNCTION("""COMPUTED_VALUE"""),"PORTA RETRATO EM CASO DE SAUDADE")</f>
        <v>PORTA RETRATO EM CASO DE SAUDADE</v>
      </c>
      <c r="D2934" s="186" t="str">
        <f>IFERROR(__xludf.DUMMYFUNCTION("""COMPUTED_VALUE"""),"FALSO")</f>
        <v>FALSO</v>
      </c>
    </row>
    <row r="2935">
      <c r="B2935" s="186" t="str">
        <f>IFERROR(__xludf.DUMMYFUNCTION("""COMPUTED_VALUE"""),"PI856Y")</f>
        <v>PI856Y</v>
      </c>
      <c r="C2935" s="186" t="str">
        <f>IFERROR(__xludf.DUMMYFUNCTION("""COMPUTED_VALUE"""),"PORTA RETRATO EM CASO DE SAUDADE")</f>
        <v>PORTA RETRATO EM CASO DE SAUDADE</v>
      </c>
      <c r="D2935" s="186" t="str">
        <f>IFERROR(__xludf.DUMMYFUNCTION("""COMPUTED_VALUE"""),"FALSO")</f>
        <v>FALSO</v>
      </c>
    </row>
    <row r="2936">
      <c r="B2936" s="186" t="str">
        <f>IFERROR(__xludf.DUMMYFUNCTION("""COMPUTED_VALUE"""),"PI856Y")</f>
        <v>PI856Y</v>
      </c>
      <c r="C2936" s="186" t="str">
        <f>IFERROR(__xludf.DUMMYFUNCTION("""COMPUTED_VALUE"""),"PORTA RETRATO EM CASO DE SAUDADE")</f>
        <v>PORTA RETRATO EM CASO DE SAUDADE</v>
      </c>
      <c r="D2936" s="186" t="str">
        <f>IFERROR(__xludf.DUMMYFUNCTION("""COMPUTED_VALUE"""),"FALSO")</f>
        <v>FALSO</v>
      </c>
    </row>
    <row r="2937">
      <c r="B2937" s="186" t="str">
        <f>IFERROR(__xludf.DUMMYFUNCTION("""COMPUTED_VALUE"""),"PI856Y")</f>
        <v>PI856Y</v>
      </c>
      <c r="C2937" s="186" t="str">
        <f>IFERROR(__xludf.DUMMYFUNCTION("""COMPUTED_VALUE"""),"PORTA RETRATO EM CASO DE SAUDADE")</f>
        <v>PORTA RETRATO EM CASO DE SAUDADE</v>
      </c>
      <c r="D2937" s="186" t="str">
        <f>IFERROR(__xludf.DUMMYFUNCTION("""COMPUTED_VALUE"""),"FALSO")</f>
        <v>FALSO</v>
      </c>
    </row>
    <row r="2938">
      <c r="B2938" s="186" t="str">
        <f>IFERROR(__xludf.DUMMYFUNCTION("""COMPUTED_VALUE"""),"PI856Y")</f>
        <v>PI856Y</v>
      </c>
      <c r="C2938" s="186" t="str">
        <f>IFERROR(__xludf.DUMMYFUNCTION("""COMPUTED_VALUE"""),"PORTA RETRATO EM CASO DE SAUDADE")</f>
        <v>PORTA RETRATO EM CASO DE SAUDADE</v>
      </c>
      <c r="D2938" s="186" t="str">
        <f>IFERROR(__xludf.DUMMYFUNCTION("""COMPUTED_VALUE"""),"FALSO")</f>
        <v>FALSO</v>
      </c>
    </row>
    <row r="2939">
      <c r="B2939" s="186" t="str">
        <f>IFERROR(__xludf.DUMMYFUNCTION("""COMPUTED_VALUE"""),"PI5838Y")</f>
        <v>PI5838Y</v>
      </c>
      <c r="C2939" s="186" t="str">
        <f>IFERROR(__xludf.DUMMYFUNCTION("""COMPUTED_VALUE"""),"PORTA RETRATO COISAS DE FAMILIA")</f>
        <v>PORTA RETRATO COISAS DE FAMILIA</v>
      </c>
      <c r="D2939" s="186" t="str">
        <f>IFERROR(__xludf.DUMMYFUNCTION("""COMPUTED_VALUE"""),"FALSO")</f>
        <v>FALSO</v>
      </c>
    </row>
    <row r="2940">
      <c r="B2940" s="186" t="str">
        <f>IFERROR(__xludf.DUMMYFUNCTION("""COMPUTED_VALUE"""),"PI5838Y")</f>
        <v>PI5838Y</v>
      </c>
      <c r="C2940" s="186" t="str">
        <f>IFERROR(__xludf.DUMMYFUNCTION("""COMPUTED_VALUE"""),"PORTA RETRATO COISAS DE FAMILIA")</f>
        <v>PORTA RETRATO COISAS DE FAMILIA</v>
      </c>
      <c r="D2940" s="186" t="str">
        <f>IFERROR(__xludf.DUMMYFUNCTION("""COMPUTED_VALUE"""),"FALSO")</f>
        <v>FALSO</v>
      </c>
    </row>
    <row r="2941">
      <c r="B2941" s="186" t="str">
        <f>IFERROR(__xludf.DUMMYFUNCTION("""COMPUTED_VALUE"""),"PI5005Y")</f>
        <v>PI5005Y</v>
      </c>
      <c r="C2941" s="186" t="str">
        <f>IFERROR(__xludf.DUMMYFUNCTION("""COMPUTED_VALUE"""),"PORTA RETRATO FRIENDS MOLDURA")</f>
        <v>PORTA RETRATO FRIENDS MOLDURA</v>
      </c>
      <c r="D2941" s="186" t="str">
        <f>IFERROR(__xludf.DUMMYFUNCTION("""COMPUTED_VALUE"""),"FALSO")</f>
        <v>FALSO</v>
      </c>
    </row>
    <row r="2942">
      <c r="B2942" s="186" t="str">
        <f>IFERROR(__xludf.DUMMYFUNCTION("""COMPUTED_VALUE"""),"PI5469Y")</f>
        <v>PI5469Y</v>
      </c>
      <c r="C2942" s="186" t="str">
        <f>IFERROR(__xludf.DUMMYFUNCTION("""COMPUTED_VALUE"""),"PORTA RETRATO GLITTER GRAVAR NA MEMORIA")</f>
        <v>PORTA RETRATO GLITTER GRAVAR NA MEMORIA</v>
      </c>
      <c r="D2942" s="186" t="str">
        <f>IFERROR(__xludf.DUMMYFUNCTION("""COMPUTED_VALUE"""),"FALSO")</f>
        <v>FALSO</v>
      </c>
    </row>
    <row r="2943">
      <c r="B2943" s="186" t="str">
        <f>IFERROR(__xludf.DUMMYFUNCTION("""COMPUTED_VALUE"""),"PI5347Y")</f>
        <v>PI5347Y</v>
      </c>
      <c r="C2943" s="186" t="str">
        <f>IFERROR(__xludf.DUMMYFUNCTION("""COMPUTED_VALUE"""),"PORTA RETRATO FORMATURA CHECKLIST")</f>
        <v>PORTA RETRATO FORMATURA CHECKLIST</v>
      </c>
      <c r="D2943" s="186" t="str">
        <f>IFERROR(__xludf.DUMMYFUNCTION("""COMPUTED_VALUE"""),"FALSO")</f>
        <v>FALSO</v>
      </c>
    </row>
    <row r="2944">
      <c r="B2944" s="186" t="str">
        <f>IFERROR(__xludf.DUMMYFUNCTION("""COMPUTED_VALUE"""),"PI5844Y")</f>
        <v>PI5844Y</v>
      </c>
      <c r="C2944" s="186" t="str">
        <f>IFERROR(__xludf.DUMMYFUNCTION("""COMPUTED_VALUE"""),"PORTA RETRATO AMOR DE AVO")</f>
        <v>PORTA RETRATO AMOR DE AVO</v>
      </c>
      <c r="D2944" s="186" t="str">
        <f>IFERROR(__xludf.DUMMYFUNCTION("""COMPUTED_VALUE"""),"FALSO")</f>
        <v>FALSO</v>
      </c>
    </row>
    <row r="2945">
      <c r="B2945" s="186" t="str">
        <f>IFERROR(__xludf.DUMMYFUNCTION("""COMPUTED_VALUE"""),"PI5390Y")</f>
        <v>PI5390Y</v>
      </c>
      <c r="C2945" s="186" t="str">
        <f>IFERROR(__xludf.DUMMYFUNCTION("""COMPUTED_VALUE"""),"PORTA RETRATO COMO EU QUERIA ESTAR")</f>
        <v>PORTA RETRATO COMO EU QUERIA ESTAR</v>
      </c>
      <c r="D2945" s="186" t="str">
        <f>IFERROR(__xludf.DUMMYFUNCTION("""COMPUTED_VALUE"""),"FALSO")</f>
        <v>FALSO</v>
      </c>
    </row>
    <row r="2946">
      <c r="B2946" s="186" t="str">
        <f>IFERROR(__xludf.DUMMYFUNCTION("""COMPUTED_VALUE"""),"PI3709Y")</f>
        <v>PI3709Y</v>
      </c>
      <c r="C2946" s="186" t="str">
        <f>IFERROR(__xludf.DUMMYFUNCTION("""COMPUTED_VALUE"""),"PORTA RETRATO LED INFINITO AMOR")</f>
        <v>PORTA RETRATO LED INFINITO AMOR</v>
      </c>
      <c r="D2946" s="186" t="str">
        <f>IFERROR(__xludf.DUMMYFUNCTION("""COMPUTED_VALUE"""),"FALSO")</f>
        <v>FALSO</v>
      </c>
    </row>
    <row r="2947">
      <c r="B2947" s="186" t="str">
        <f>IFERROR(__xludf.DUMMYFUNCTION("""COMPUTED_VALUE"""),"PI3709Y")</f>
        <v>PI3709Y</v>
      </c>
      <c r="C2947" s="186" t="str">
        <f>IFERROR(__xludf.DUMMYFUNCTION("""COMPUTED_VALUE"""),"PORTA RETRATO LED INFINITO AMOR")</f>
        <v>PORTA RETRATO LED INFINITO AMOR</v>
      </c>
      <c r="D2947" s="186" t="str">
        <f>IFERROR(__xludf.DUMMYFUNCTION("""COMPUTED_VALUE"""),"FALSO")</f>
        <v>FALSO</v>
      </c>
    </row>
    <row r="2948">
      <c r="B2948" s="186" t="str">
        <f>IFERROR(__xludf.DUMMYFUNCTION("""COMPUTED_VALUE"""),"PI3709Y")</f>
        <v>PI3709Y</v>
      </c>
      <c r="C2948" s="186" t="str">
        <f>IFERROR(__xludf.DUMMYFUNCTION("""COMPUTED_VALUE"""),"PORTA RETRATO LED INFINITO AMOR")</f>
        <v>PORTA RETRATO LED INFINITO AMOR</v>
      </c>
      <c r="D2948" s="186" t="str">
        <f>IFERROR(__xludf.DUMMYFUNCTION("""COMPUTED_VALUE"""),"FALSO")</f>
        <v>FALSO</v>
      </c>
    </row>
    <row r="2949">
      <c r="B2949" s="186" t="str">
        <f>IFERROR(__xludf.DUMMYFUNCTION("""COMPUTED_VALUE"""),"PI3709Y")</f>
        <v>PI3709Y</v>
      </c>
      <c r="C2949" s="186" t="str">
        <f>IFERROR(__xludf.DUMMYFUNCTION("""COMPUTED_VALUE"""),"PORTA RETRATO LED INFINITO AMOR")</f>
        <v>PORTA RETRATO LED INFINITO AMOR</v>
      </c>
      <c r="D2949" s="186" t="str">
        <f>IFERROR(__xludf.DUMMYFUNCTION("""COMPUTED_VALUE"""),"FALSO")</f>
        <v>FALSO</v>
      </c>
    </row>
    <row r="2950">
      <c r="B2950" s="186" t="str">
        <f>IFERROR(__xludf.DUMMYFUNCTION("""COMPUTED_VALUE"""),"PI3709Y")</f>
        <v>PI3709Y</v>
      </c>
      <c r="C2950" s="186" t="str">
        <f>IFERROR(__xludf.DUMMYFUNCTION("""COMPUTED_VALUE"""),"PORTA RETRATO LED INFINITO AMOR")</f>
        <v>PORTA RETRATO LED INFINITO AMOR</v>
      </c>
      <c r="D2950" s="186" t="str">
        <f>IFERROR(__xludf.DUMMYFUNCTION("""COMPUTED_VALUE"""),"FALSO")</f>
        <v>FALSO</v>
      </c>
    </row>
    <row r="2951">
      <c r="B2951" s="186" t="str">
        <f>IFERROR(__xludf.DUMMYFUNCTION("""COMPUTED_VALUE"""),"PI3709Y")</f>
        <v>PI3709Y</v>
      </c>
      <c r="C2951" s="186" t="str">
        <f>IFERROR(__xludf.DUMMYFUNCTION("""COMPUTED_VALUE"""),"PORTA RETRATO LED INFINITO AMOR")</f>
        <v>PORTA RETRATO LED INFINITO AMOR</v>
      </c>
      <c r="D2951" s="186" t="str">
        <f>IFERROR(__xludf.DUMMYFUNCTION("""COMPUTED_VALUE"""),"FALSO")</f>
        <v>FALSO</v>
      </c>
    </row>
    <row r="2952">
      <c r="B2952" s="186" t="str">
        <f>IFERROR(__xludf.DUMMYFUNCTION("""COMPUTED_VALUE"""),"PI5355Y")</f>
        <v>PI5355Y</v>
      </c>
      <c r="C2952" s="186" t="str">
        <f>IFERROR(__xludf.DUMMYFUNCTION("""COMPUTED_VALUE"""),"PORTA RETRATO AMOR MELHORA COM O TEMPO")</f>
        <v>PORTA RETRATO AMOR MELHORA COM O TEMPO</v>
      </c>
      <c r="D2952" s="186" t="str">
        <f>IFERROR(__xludf.DUMMYFUNCTION("""COMPUTED_VALUE"""),"FALSO")</f>
        <v>FALSO</v>
      </c>
    </row>
    <row r="2953">
      <c r="B2953" s="186" t="str">
        <f>IFERROR(__xludf.DUMMYFUNCTION("""COMPUTED_VALUE"""),"PI5532Y")</f>
        <v>PI5532Y</v>
      </c>
      <c r="C2953" s="186" t="str">
        <f>IFERROR(__xludf.DUMMYFUNCTION("""COMPUTED_VALUE"""),"PORTA RETRATO ME DERRETO POR VOCE")</f>
        <v>PORTA RETRATO ME DERRETO POR VOCE</v>
      </c>
      <c r="D2953" s="186" t="str">
        <f>IFERROR(__xludf.DUMMYFUNCTION("""COMPUTED_VALUE"""),"FALSO")</f>
        <v>FALSO</v>
      </c>
    </row>
    <row r="2954">
      <c r="B2954" s="186" t="str">
        <f>IFERROR(__xludf.DUMMYFUNCTION("""COMPUTED_VALUE"""),"PI3776")</f>
        <v>PI3776</v>
      </c>
      <c r="C2954" s="186" t="str">
        <f>IFERROR(__xludf.DUMMYFUNCTION("""COMPUTED_VALUE"""),"ESPELHO PORTA RETRATO REFLITO")</f>
        <v>ESPELHO PORTA RETRATO REFLITO</v>
      </c>
      <c r="D2954" s="186" t="str">
        <f>IFERROR(__xludf.DUMMYFUNCTION("""COMPUTED_VALUE"""),"FALSO")</f>
        <v>FALSO</v>
      </c>
    </row>
    <row r="2955">
      <c r="B2955" s="186" t="str">
        <f>IFERROR(__xludf.DUMMYFUNCTION("""COMPUTED_VALUE"""),"PI5529Y")</f>
        <v>PI5529Y</v>
      </c>
      <c r="C2955" s="186" t="str">
        <f>IFERROR(__xludf.DUMMYFUNCTION("""COMPUTED_VALUE"""),"PORTA RETRATO SAUDADE DO QUE JA VIVI")</f>
        <v>PORTA RETRATO SAUDADE DO QUE JA VIVI</v>
      </c>
      <c r="D2955" s="186" t="str">
        <f>IFERROR(__xludf.DUMMYFUNCTION("""COMPUTED_VALUE"""),"FALSO")</f>
        <v>FALSO</v>
      </c>
    </row>
    <row r="2956">
      <c r="B2956" s="186" t="str">
        <f>IFERROR(__xludf.DUMMYFUNCTION("""COMPUTED_VALUE"""),"PI5529Y")</f>
        <v>PI5529Y</v>
      </c>
      <c r="C2956" s="186" t="str">
        <f>IFERROR(__xludf.DUMMYFUNCTION("""COMPUTED_VALUE"""),"PORTA RETRATO SAUDADE DO QUE JA VIVI")</f>
        <v>PORTA RETRATO SAUDADE DO QUE JA VIVI</v>
      </c>
      <c r="D2956" s="186" t="str">
        <f>IFERROR(__xludf.DUMMYFUNCTION("""COMPUTED_VALUE"""),"FALSO")</f>
        <v>FALSO</v>
      </c>
    </row>
    <row r="2957">
      <c r="B2957" s="186" t="str">
        <f>IFERROR(__xludf.DUMMYFUNCTION("""COMPUTED_VALUE"""),"PI5528Y")</f>
        <v>PI5528Y</v>
      </c>
      <c r="C2957" s="186" t="str">
        <f>IFERROR(__xludf.DUMMYFUNCTION("""COMPUTED_VALUE"""),"PORTA RETRATO NOTA VALE MUITO")</f>
        <v>PORTA RETRATO NOTA VALE MUITO</v>
      </c>
      <c r="D2957" s="186" t="str">
        <f>IFERROR(__xludf.DUMMYFUNCTION("""COMPUTED_VALUE"""),"FALSO")</f>
        <v>FALSO</v>
      </c>
    </row>
    <row r="2958">
      <c r="B2958" s="186" t="str">
        <f>IFERROR(__xludf.DUMMYFUNCTION("""COMPUTED_VALUE"""),"PI5839Y")</f>
        <v>PI5839Y</v>
      </c>
      <c r="C2958" s="186" t="str">
        <f>IFERROR(__xludf.DUMMYFUNCTION("""COMPUTED_VALUE"""),"PORTA RETRATO AMOR DE MAE")</f>
        <v>PORTA RETRATO AMOR DE MAE</v>
      </c>
      <c r="D2958" s="186" t="str">
        <f>IFERROR(__xludf.DUMMYFUNCTION("""COMPUTED_VALUE"""),"FALSO")</f>
        <v>FALSO</v>
      </c>
    </row>
    <row r="2959">
      <c r="B2959" s="186" t="str">
        <f>IFERROR(__xludf.DUMMYFUNCTION("""COMPUTED_VALUE"""),"PI3292Y")</f>
        <v>PI3292Y</v>
      </c>
      <c r="C2959" s="186" t="str">
        <f>IFERROR(__xludf.DUMMYFUNCTION("""COMPUTED_VALUE"""),"PORTA RETRATO MUITO AMOR DESDE")</f>
        <v>PORTA RETRATO MUITO AMOR DESDE</v>
      </c>
      <c r="D2959" s="186" t="str">
        <f>IFERROR(__xludf.DUMMYFUNCTION("""COMPUTED_VALUE"""),"FALSO")</f>
        <v>FALSO</v>
      </c>
    </row>
    <row r="2960">
      <c r="B2960" s="186" t="str">
        <f>IFERROR(__xludf.DUMMYFUNCTION("""COMPUTED_VALUE"""),"PI3292Y")</f>
        <v>PI3292Y</v>
      </c>
      <c r="C2960" s="186" t="str">
        <f>IFERROR(__xludf.DUMMYFUNCTION("""COMPUTED_VALUE"""),"PORTA RETRATO MUITO AMOR DESDE")</f>
        <v>PORTA RETRATO MUITO AMOR DESDE</v>
      </c>
      <c r="D2960" s="186" t="str">
        <f>IFERROR(__xludf.DUMMYFUNCTION("""COMPUTED_VALUE"""),"FALSO")</f>
        <v>FALSO</v>
      </c>
    </row>
    <row r="2961">
      <c r="B2961" s="186" t="str">
        <f>IFERROR(__xludf.DUMMYFUNCTION("""COMPUTED_VALUE"""),"PI3292Y")</f>
        <v>PI3292Y</v>
      </c>
      <c r="C2961" s="186" t="str">
        <f>IFERROR(__xludf.DUMMYFUNCTION("""COMPUTED_VALUE"""),"PORTA RETRATO MUITO AMOR DESDE")</f>
        <v>PORTA RETRATO MUITO AMOR DESDE</v>
      </c>
      <c r="D2961" s="186" t="str">
        <f>IFERROR(__xludf.DUMMYFUNCTION("""COMPUTED_VALUE"""),"FALSO")</f>
        <v>FALSO</v>
      </c>
    </row>
    <row r="2962">
      <c r="B2962" s="186" t="str">
        <f>IFERROR(__xludf.DUMMYFUNCTION("""COMPUTED_VALUE"""),"PI3292Y")</f>
        <v>PI3292Y</v>
      </c>
      <c r="C2962" s="186" t="str">
        <f>IFERROR(__xludf.DUMMYFUNCTION("""COMPUTED_VALUE"""),"PORTA RETRATO MUITO AMOR DESDE")</f>
        <v>PORTA RETRATO MUITO AMOR DESDE</v>
      </c>
      <c r="D2962" s="186" t="str">
        <f>IFERROR(__xludf.DUMMYFUNCTION("""COMPUTED_VALUE"""),"FALSO")</f>
        <v>FALSO</v>
      </c>
    </row>
    <row r="2963">
      <c r="B2963" s="186" t="str">
        <f>IFERROR(__xludf.DUMMYFUNCTION("""COMPUTED_VALUE"""),"PI3292Y")</f>
        <v>PI3292Y</v>
      </c>
      <c r="C2963" s="186" t="str">
        <f>IFERROR(__xludf.DUMMYFUNCTION("""COMPUTED_VALUE"""),"PORTA RETRATO MUITO AMOR DESDE")</f>
        <v>PORTA RETRATO MUITO AMOR DESDE</v>
      </c>
      <c r="D2963" s="186" t="str">
        <f>IFERROR(__xludf.DUMMYFUNCTION("""COMPUTED_VALUE"""),"FALSO")</f>
        <v>FALSO</v>
      </c>
    </row>
    <row r="2964">
      <c r="B2964" s="186" t="str">
        <f>IFERROR(__xludf.DUMMYFUNCTION("""COMPUTED_VALUE"""),"PI3292Y")</f>
        <v>PI3292Y</v>
      </c>
      <c r="C2964" s="186" t="str">
        <f>IFERROR(__xludf.DUMMYFUNCTION("""COMPUTED_VALUE"""),"PORTA RETRATO MUITO AMOR DESDE")</f>
        <v>PORTA RETRATO MUITO AMOR DESDE</v>
      </c>
      <c r="D2964" s="186" t="str">
        <f>IFERROR(__xludf.DUMMYFUNCTION("""COMPUTED_VALUE"""),"FALSO")</f>
        <v>FALSO</v>
      </c>
    </row>
    <row r="2965">
      <c r="B2965" s="186" t="str">
        <f>IFERROR(__xludf.DUMMYFUNCTION("""COMPUTED_VALUE"""),"PI6203Y")</f>
        <v>PI6203Y</v>
      </c>
      <c r="C2965" s="186" t="str">
        <f>IFERROR(__xludf.DUMMYFUNCTION("""COMPUTED_VALUE"""),"PORTA-RETRATO MULTIFACETADO")</f>
        <v>PORTA-RETRATO MULTIFACETADO</v>
      </c>
      <c r="D2965" s="186" t="str">
        <f>IFERROR(__xludf.DUMMYFUNCTION("""COMPUTED_VALUE"""),"FALSO")</f>
        <v>FALSO</v>
      </c>
    </row>
    <row r="2966">
      <c r="B2966" s="186" t="str">
        <f>IFERROR(__xludf.DUMMYFUNCTION("""COMPUTED_VALUE"""),"PI5307Y")</f>
        <v>PI5307Y</v>
      </c>
      <c r="C2966" s="186" t="str">
        <f>IFERROR(__xludf.DUMMYFUNCTION("""COMPUTED_VALUE"""),"PORTA RETRATO QUEM VIVEU SABE")</f>
        <v>PORTA RETRATO QUEM VIVEU SABE</v>
      </c>
      <c r="D2966" s="186" t="str">
        <f>IFERROR(__xludf.DUMMYFUNCTION("""COMPUTED_VALUE"""),"FALSO")</f>
        <v>FALSO</v>
      </c>
    </row>
    <row r="2967">
      <c r="B2967" s="186" t="str">
        <f>IFERROR(__xludf.DUMMYFUNCTION("""COMPUTED_VALUE"""),"PI5202Y")</f>
        <v>PI5202Y</v>
      </c>
      <c r="C2967" s="186" t="str">
        <f>IFERROR(__xludf.DUMMYFUNCTION("""COMPUTED_VALUE"""),"PORTA RETRATO REGISTRO DE GATO MIA VIDA")</f>
        <v>PORTA RETRATO REGISTRO DE GATO MIA VIDA</v>
      </c>
      <c r="D2967" s="186" t="str">
        <f>IFERROR(__xludf.DUMMYFUNCTION("""COMPUTED_VALUE"""),"FALSO")</f>
        <v>FALSO</v>
      </c>
    </row>
    <row r="2968">
      <c r="B2968" s="186" t="str">
        <f>IFERROR(__xludf.DUMMYFUNCTION("""COMPUTED_VALUE"""),"PI5202Y")</f>
        <v>PI5202Y</v>
      </c>
      <c r="C2968" s="186" t="str">
        <f>IFERROR(__xludf.DUMMYFUNCTION("""COMPUTED_VALUE"""),"PORTA RETRATO REGISTRO DE GATO MIA VIDA")</f>
        <v>PORTA RETRATO REGISTRO DE GATO MIA VIDA</v>
      </c>
      <c r="D2968" s="186" t="str">
        <f>IFERROR(__xludf.DUMMYFUNCTION("""COMPUTED_VALUE"""),"FALSO")</f>
        <v>FALSO</v>
      </c>
    </row>
    <row r="2969">
      <c r="B2969" s="186" t="str">
        <f>IFERROR(__xludf.DUMMYFUNCTION("""COMPUTED_VALUE"""),"PI5202Y")</f>
        <v>PI5202Y</v>
      </c>
      <c r="C2969" s="186" t="str">
        <f>IFERROR(__xludf.DUMMYFUNCTION("""COMPUTED_VALUE"""),"PORTA RETRATO REGISTRO DE GATO MIA VIDA")</f>
        <v>PORTA RETRATO REGISTRO DE GATO MIA VIDA</v>
      </c>
      <c r="D2969" s="186" t="str">
        <f>IFERROR(__xludf.DUMMYFUNCTION("""COMPUTED_VALUE"""),"FALSO")</f>
        <v>FALSO</v>
      </c>
    </row>
    <row r="2970">
      <c r="B2970" s="186" t="str">
        <f>IFERROR(__xludf.DUMMYFUNCTION("""COMPUTED_VALUE"""),"PI6610Y")</f>
        <v>PI6610Y</v>
      </c>
      <c r="C2970" s="186" t="str">
        <f>IFERROR(__xludf.DUMMYFUNCTION("""COMPUTED_VALUE"""),"PORTA RETRATO GRAVADOR UM SEGREDO")</f>
        <v>PORTA RETRATO GRAVADOR UM SEGREDO</v>
      </c>
      <c r="D2970" s="186" t="str">
        <f>IFERROR(__xludf.DUMMYFUNCTION("""COMPUTED_VALUE"""),"FALSO")</f>
        <v>FALSO</v>
      </c>
    </row>
    <row r="2971">
      <c r="B2971" s="186" t="str">
        <f>IFERROR(__xludf.DUMMYFUNCTION("""COMPUTED_VALUE"""),"PI6610Y")</f>
        <v>PI6610Y</v>
      </c>
      <c r="C2971" s="186" t="str">
        <f>IFERROR(__xludf.DUMMYFUNCTION("""COMPUTED_VALUE"""),"PORTA RETRATO GRAVADOR UM SEGREDO")</f>
        <v>PORTA RETRATO GRAVADOR UM SEGREDO</v>
      </c>
      <c r="D2971" s="186" t="str">
        <f>IFERROR(__xludf.DUMMYFUNCTION("""COMPUTED_VALUE"""),"FALSO")</f>
        <v>FALSO</v>
      </c>
    </row>
    <row r="2972">
      <c r="B2972" s="186" t="str">
        <f>IFERROR(__xludf.DUMMYFUNCTION("""COMPUTED_VALUE"""),"PI7794Y")</f>
        <v>PI7794Y</v>
      </c>
      <c r="C2972" s="186" t="str">
        <f>IFERROR(__xludf.DUMMYFUNCTION("""COMPUTED_VALUE"""),"PORTA RETRATO GRAVADOR NA BAGAGEM")</f>
        <v>PORTA RETRATO GRAVADOR NA BAGAGEM</v>
      </c>
      <c r="D2972" s="186" t="str">
        <f>IFERROR(__xludf.DUMMYFUNCTION("""COMPUTED_VALUE"""),"FALSO")</f>
        <v>FALSO</v>
      </c>
    </row>
    <row r="2973">
      <c r="B2973" s="186" t="str">
        <f>IFERROR(__xludf.DUMMYFUNCTION("""COMPUTED_VALUE"""),"PI5840Y")</f>
        <v>PI5840Y</v>
      </c>
      <c r="C2973" s="186" t="str">
        <f>IFERROR(__xludf.DUMMYFUNCTION("""COMPUTED_VALUE"""),"PORTA RETRATO REGISTRO BEBE FEITO A MAO")</f>
        <v>PORTA RETRATO REGISTRO BEBE FEITO A MAO</v>
      </c>
      <c r="D2973" s="186" t="str">
        <f>IFERROR(__xludf.DUMMYFUNCTION("""COMPUTED_VALUE"""),"FALSO")</f>
        <v>FALSO</v>
      </c>
    </row>
    <row r="2974">
      <c r="B2974" s="186" t="str">
        <f>IFERROR(__xludf.DUMMYFUNCTION("""COMPUTED_VALUE"""),"PI5822Y")</f>
        <v>PI5822Y</v>
      </c>
      <c r="C2974" s="186" t="str">
        <f>IFERROR(__xludf.DUMMYFUNCTION("""COMPUTED_VALUE"""),"PORTA RETRATO REGISTRO AMO MEU PET")</f>
        <v>PORTA RETRATO REGISTRO AMO MEU PET</v>
      </c>
      <c r="D2974" s="186" t="str">
        <f>IFERROR(__xludf.DUMMYFUNCTION("""COMPUTED_VALUE"""),"FALSO")</f>
        <v>FALSO</v>
      </c>
    </row>
    <row r="2975">
      <c r="B2975" s="186" t="str">
        <f>IFERROR(__xludf.DUMMYFUNCTION("""COMPUTED_VALUE"""),"PI5822Y")</f>
        <v>PI5822Y</v>
      </c>
      <c r="C2975" s="186" t="str">
        <f>IFERROR(__xludf.DUMMYFUNCTION("""COMPUTED_VALUE"""),"PORTA RETRATO REGISTRO AMO MEU PET")</f>
        <v>PORTA RETRATO REGISTRO AMO MEU PET</v>
      </c>
      <c r="D2975" s="186" t="str">
        <f>IFERROR(__xludf.DUMMYFUNCTION("""COMPUTED_VALUE"""),"FALSO")</f>
        <v>FALSO</v>
      </c>
    </row>
    <row r="2976">
      <c r="B2976" s="186" t="str">
        <f>IFERROR(__xludf.DUMMYFUNCTION("""COMPUTED_VALUE"""),"PI4672Y")</f>
        <v>PI4672Y</v>
      </c>
      <c r="C2976" s="186" t="str">
        <f>IFERROR(__xludf.DUMMYFUNCTION("""COMPUTED_VALUE"""),"PORTA RETRATO LEMBRAR")</f>
        <v>PORTA RETRATO LEMBRAR</v>
      </c>
      <c r="D2976" s="186" t="str">
        <f>IFERROR(__xludf.DUMMYFUNCTION("""COMPUTED_VALUE"""),"FALSO")</f>
        <v>FALSO</v>
      </c>
    </row>
    <row r="2977">
      <c r="B2977" s="186" t="str">
        <f>IFERROR(__xludf.DUMMYFUNCTION("""COMPUTED_VALUE"""),"PI5290Y")</f>
        <v>PI5290Y</v>
      </c>
      <c r="C2977" s="186" t="str">
        <f>IFERROR(__xludf.DUMMYFUNCTION("""COMPUTED_VALUE"""),"PORTA RETRATO ROLETA HP CASAS HOGWARTS")</f>
        <v>PORTA RETRATO ROLETA HP CASAS HOGWARTS</v>
      </c>
      <c r="D2977" s="186" t="str">
        <f>IFERROR(__xludf.DUMMYFUNCTION("""COMPUTED_VALUE"""),"FALSO")</f>
        <v>FALSO</v>
      </c>
    </row>
    <row r="2978">
      <c r="B2978" s="186" t="str">
        <f>IFERROR(__xludf.DUMMYFUNCTION("""COMPUTED_VALUE"""),"PI5290Y")</f>
        <v>PI5290Y</v>
      </c>
      <c r="C2978" s="186" t="str">
        <f>IFERROR(__xludf.DUMMYFUNCTION("""COMPUTED_VALUE"""),"PORTA RETRATO ROLETA HP CASAS HOGWARTS")</f>
        <v>PORTA RETRATO ROLETA HP CASAS HOGWARTS</v>
      </c>
      <c r="D2978" s="186" t="str">
        <f>IFERROR(__xludf.DUMMYFUNCTION("""COMPUTED_VALUE"""),"FALSO")</f>
        <v>FALSO</v>
      </c>
    </row>
    <row r="2979">
      <c r="B2979" s="186" t="str">
        <f>IFERROR(__xludf.DUMMYFUNCTION("""COMPUTED_VALUE"""),"PI5346Y")</f>
        <v>PI5346Y</v>
      </c>
      <c r="C2979" s="186" t="str">
        <f>IFERROR(__xludf.DUMMYFUNCTION("""COMPUTED_VALUE"""),"PORTA RETRATO FAMILIA MIL QUALIDADES")</f>
        <v>PORTA RETRATO FAMILIA MIL QUALIDADES</v>
      </c>
      <c r="D2979" s="186" t="str">
        <f>IFERROR(__xludf.DUMMYFUNCTION("""COMPUTED_VALUE"""),"FALSO")</f>
        <v>FALSO</v>
      </c>
    </row>
    <row r="2980">
      <c r="B2980" s="186" t="str">
        <f>IFERROR(__xludf.DUMMYFUNCTION("""COMPUTED_VALUE"""),"PI5346Y")</f>
        <v>PI5346Y</v>
      </c>
      <c r="C2980" s="186" t="str">
        <f>IFERROR(__xludf.DUMMYFUNCTION("""COMPUTED_VALUE"""),"PORTA RETRATO FAMILIA MIL QUALIDADES")</f>
        <v>PORTA RETRATO FAMILIA MIL QUALIDADES</v>
      </c>
      <c r="D2980" s="186" t="str">
        <f>IFERROR(__xludf.DUMMYFUNCTION("""COMPUTED_VALUE"""),"FALSO")</f>
        <v>FALSO</v>
      </c>
    </row>
    <row r="2981">
      <c r="B2981" s="186" t="str">
        <f>IFERROR(__xludf.DUMMYFUNCTION("""COMPUTED_VALUE"""),"PI5346Y")</f>
        <v>PI5346Y</v>
      </c>
      <c r="C2981" s="186" t="str">
        <f>IFERROR(__xludf.DUMMYFUNCTION("""COMPUTED_VALUE"""),"PORTA RETRATO FAMILIA MIL QUALIDADES")</f>
        <v>PORTA RETRATO FAMILIA MIL QUALIDADES</v>
      </c>
      <c r="D2981" s="186" t="str">
        <f>IFERROR(__xludf.DUMMYFUNCTION("""COMPUTED_VALUE"""),"FALSO")</f>
        <v>FALSO</v>
      </c>
    </row>
    <row r="2982">
      <c r="B2982" s="186" t="str">
        <f>IFERROR(__xludf.DUMMYFUNCTION("""COMPUTED_VALUE"""),"PI2302Y")</f>
        <v>PI2302Y</v>
      </c>
      <c r="C2982" s="186" t="str">
        <f>IFERROR(__xludf.DUMMYFUNCTION("""COMPUTED_VALUE"""),"PORTA RETRATO PLACA DA AMIZADE")</f>
        <v>PORTA RETRATO PLACA DA AMIZADE</v>
      </c>
      <c r="D2982" s="186" t="str">
        <f>IFERROR(__xludf.DUMMYFUNCTION("""COMPUTED_VALUE"""),"FALSO")</f>
        <v>FALSO</v>
      </c>
    </row>
    <row r="2983">
      <c r="B2983" s="186" t="str">
        <f>IFERROR(__xludf.DUMMYFUNCTION("""COMPUTED_VALUE"""),"PI2302Y")</f>
        <v>PI2302Y</v>
      </c>
      <c r="C2983" s="186" t="str">
        <f>IFERROR(__xludf.DUMMYFUNCTION("""COMPUTED_VALUE"""),"PORTA RETRATO PLACA DA AMIZADE")</f>
        <v>PORTA RETRATO PLACA DA AMIZADE</v>
      </c>
      <c r="D2983" s="186" t="str">
        <f>IFERROR(__xludf.DUMMYFUNCTION("""COMPUTED_VALUE"""),"FALSO")</f>
        <v>FALSO</v>
      </c>
    </row>
    <row r="2984">
      <c r="B2984" s="186" t="str">
        <f>IFERROR(__xludf.DUMMYFUNCTION("""COMPUTED_VALUE"""),"PI2302Y")</f>
        <v>PI2302Y</v>
      </c>
      <c r="C2984" s="186" t="str">
        <f>IFERROR(__xludf.DUMMYFUNCTION("""COMPUTED_VALUE"""),"PORTA RETRATO PLACA DA AMIZADE")</f>
        <v>PORTA RETRATO PLACA DA AMIZADE</v>
      </c>
      <c r="D2984" s="186" t="str">
        <f>IFERROR(__xludf.DUMMYFUNCTION("""COMPUTED_VALUE"""),"FALSO")</f>
        <v>FALSO</v>
      </c>
    </row>
    <row r="2985">
      <c r="B2985" s="186" t="str">
        <f>IFERROR(__xludf.DUMMYFUNCTION("""COMPUTED_VALUE"""),"PI6223Y")</f>
        <v>PI6223Y</v>
      </c>
      <c r="C2985" s="186" t="str">
        <f>IFERROR(__xludf.DUMMYFUNCTION("""COMPUTED_VALUE"""),"PORTA-RETRATO GATINHO SORRISO")</f>
        <v>PORTA-RETRATO GATINHO SORRISO</v>
      </c>
      <c r="D2985" s="186" t="str">
        <f>IFERROR(__xludf.DUMMYFUNCTION("""COMPUTED_VALUE"""),"FALSO")</f>
        <v>FALSO</v>
      </c>
    </row>
    <row r="2986">
      <c r="B2986" s="186" t="str">
        <f>IFERROR(__xludf.DUMMYFUNCTION("""COMPUTED_VALUE"""),"PI6223Y")</f>
        <v>PI6223Y</v>
      </c>
      <c r="C2986" s="186" t="str">
        <f>IFERROR(__xludf.DUMMYFUNCTION("""COMPUTED_VALUE"""),"PORTA-RETRATO GATINHO SORRISO")</f>
        <v>PORTA-RETRATO GATINHO SORRISO</v>
      </c>
      <c r="D2986" s="186" t="str">
        <f>IFERROR(__xludf.DUMMYFUNCTION("""COMPUTED_VALUE"""),"FALSO")</f>
        <v>FALSO</v>
      </c>
    </row>
    <row r="2987">
      <c r="B2987" s="186" t="str">
        <f>IFERROR(__xludf.DUMMYFUNCTION("""COMPUTED_VALUE"""),"PI5140Y")</f>
        <v>PI5140Y</v>
      </c>
      <c r="C2987" s="186" t="str">
        <f>IFERROR(__xludf.DUMMYFUNCTION("""COMPUTED_VALUE"""),"PORTA RETRATO STRANGER THINGS TELEFONE")</f>
        <v>PORTA RETRATO STRANGER THINGS TELEFONE</v>
      </c>
      <c r="D2987" s="186" t="str">
        <f>IFERROR(__xludf.DUMMYFUNCTION("""COMPUTED_VALUE"""),"FALSO")</f>
        <v>FALSO</v>
      </c>
    </row>
    <row r="2988">
      <c r="B2988" s="186" t="str">
        <f>IFERROR(__xludf.DUMMYFUNCTION("""COMPUTED_VALUE"""),"PI5818Y")</f>
        <v>PI5818Y</v>
      </c>
      <c r="C2988" s="186" t="str">
        <f>IFERROR(__xludf.DUMMYFUNCTION("""COMPUTED_VALUE"""),"PORTA RETRATO MIL PALAVRAS")</f>
        <v>PORTA RETRATO MIL PALAVRAS</v>
      </c>
      <c r="D2988" s="186" t="str">
        <f>IFERROR(__xludf.DUMMYFUNCTION("""COMPUTED_VALUE"""),"FALSO")</f>
        <v>FALSO</v>
      </c>
    </row>
    <row r="2989">
      <c r="B2989" s="186" t="str">
        <f>IFERROR(__xludf.DUMMYFUNCTION("""COMPUTED_VALUE"""),"PI5818Y")</f>
        <v>PI5818Y</v>
      </c>
      <c r="C2989" s="186" t="str">
        <f>IFERROR(__xludf.DUMMYFUNCTION("""COMPUTED_VALUE"""),"PORTA RETRATO MIL PALAVRAS")</f>
        <v>PORTA RETRATO MIL PALAVRAS</v>
      </c>
      <c r="D2989" s="186" t="str">
        <f>IFERROR(__xludf.DUMMYFUNCTION("""COMPUTED_VALUE"""),"FALSO")</f>
        <v>FALSO</v>
      </c>
    </row>
    <row r="2990">
      <c r="B2990" s="186" t="str">
        <f>IFERROR(__xludf.DUMMYFUNCTION("""COMPUTED_VALUE"""),"PI5345Y")</f>
        <v>PI5345Y</v>
      </c>
      <c r="C2990" s="186" t="str">
        <f>IFERROR(__xludf.DUMMYFUNCTION("""COMPUTED_VALUE"""),"PORTA RETRATO TICKET DE VIAGEM")</f>
        <v>PORTA RETRATO TICKET DE VIAGEM</v>
      </c>
      <c r="D2990" s="186" t="str">
        <f>IFERROR(__xludf.DUMMYFUNCTION("""COMPUTED_VALUE"""),"FALSO")</f>
        <v>FALSO</v>
      </c>
    </row>
    <row r="2991">
      <c r="B2991" s="186" t="str">
        <f>IFERROR(__xludf.DUMMYFUNCTION("""COMPUTED_VALUE"""),"PI5204Y")</f>
        <v>PI5204Y</v>
      </c>
      <c r="C2991" s="186" t="str">
        <f>IFERROR(__xludf.DUMMYFUNCTION("""COMPUTED_VALUE"""),"PORTA RETRATO ULTRASSOM DO BEBE CONVITE")</f>
        <v>PORTA RETRATO ULTRASSOM DO BEBE CONVITE</v>
      </c>
      <c r="D2991" s="186" t="str">
        <f>IFERROR(__xludf.DUMMYFUNCTION("""COMPUTED_VALUE"""),"FALSO")</f>
        <v>FALSO</v>
      </c>
    </row>
    <row r="2992">
      <c r="B2992" s="186" t="str">
        <f>IFERROR(__xludf.DUMMYFUNCTION("""COMPUTED_VALUE"""),"PI5204Y")</f>
        <v>PI5204Y</v>
      </c>
      <c r="C2992" s="186" t="str">
        <f>IFERROR(__xludf.DUMMYFUNCTION("""COMPUTED_VALUE"""),"PORTA RETRATO ULTRASSOM DO BEBE CONVITE")</f>
        <v>PORTA RETRATO ULTRASSOM DO BEBE CONVITE</v>
      </c>
      <c r="D2992" s="186" t="str">
        <f>IFERROR(__xludf.DUMMYFUNCTION("""COMPUTED_VALUE"""),"FALSO")</f>
        <v>FALSO</v>
      </c>
    </row>
    <row r="2993">
      <c r="B2993" s="186" t="str">
        <f>IFERROR(__xludf.DUMMYFUNCTION("""COMPUTED_VALUE"""),"PI6227Y")</f>
        <v>PI6227Y</v>
      </c>
      <c r="C2993" s="186" t="str">
        <f>IFERROR(__xludf.DUMMYFUNCTION("""COMPUTED_VALUE"""),"PORTA-RETRATO PROCURADO")</f>
        <v>PORTA-RETRATO PROCURADO</v>
      </c>
      <c r="D2993" s="186" t="str">
        <f>IFERROR(__xludf.DUMMYFUNCTION("""COMPUTED_VALUE"""),"FALSO")</f>
        <v>FALSO</v>
      </c>
    </row>
    <row r="2994">
      <c r="B2994" s="186" t="str">
        <f>IFERROR(__xludf.DUMMYFUNCTION("""COMPUTED_VALUE"""),"PI5093Y")</f>
        <v>PI5093Y</v>
      </c>
      <c r="C2994" s="186" t="str">
        <f>IFERROR(__xludf.DUMMYFUNCTION("""COMPUTED_VALUE"""),"PORTA RETRATO COM LOUSA NUNCA ESQUECER")</f>
        <v>PORTA RETRATO COM LOUSA NUNCA ESQUECER</v>
      </c>
      <c r="D2994" s="186" t="str">
        <f>IFERROR(__xludf.DUMMYFUNCTION("""COMPUTED_VALUE"""),"FALSO")</f>
        <v>FALSO</v>
      </c>
    </row>
    <row r="2995">
      <c r="B2995" s="186" t="str">
        <f>IFERROR(__xludf.DUMMYFUNCTION("""COMPUTED_VALUE"""),"PI5093Y")</f>
        <v>PI5093Y</v>
      </c>
      <c r="C2995" s="186" t="str">
        <f>IFERROR(__xludf.DUMMYFUNCTION("""COMPUTED_VALUE"""),"PORTA RETRATO COM LOUSA NUNCA ESQUECER")</f>
        <v>PORTA RETRATO COM LOUSA NUNCA ESQUECER</v>
      </c>
      <c r="D2995" s="186" t="str">
        <f>IFERROR(__xludf.DUMMYFUNCTION("""COMPUTED_VALUE"""),"FALSO")</f>
        <v>FALSO</v>
      </c>
    </row>
    <row r="2996">
      <c r="B2996" s="186" t="str">
        <f>IFERROR(__xludf.DUMMYFUNCTION("""COMPUTED_VALUE"""),"PI5093Y")</f>
        <v>PI5093Y</v>
      </c>
      <c r="C2996" s="186" t="str">
        <f>IFERROR(__xludf.DUMMYFUNCTION("""COMPUTED_VALUE"""),"PORTA RETRATO COM LOUSA NUNCA ESQUECER")</f>
        <v>PORTA RETRATO COM LOUSA NUNCA ESQUECER</v>
      </c>
      <c r="D2996" s="186" t="str">
        <f>IFERROR(__xludf.DUMMYFUNCTION("""COMPUTED_VALUE"""),"FALSO")</f>
        <v>FALSO</v>
      </c>
    </row>
    <row r="2997">
      <c r="B2997" s="186" t="str">
        <f>IFERROR(__xludf.DUMMYFUNCTION("""COMPUTED_VALUE"""),"PI5093Y")</f>
        <v>PI5093Y</v>
      </c>
      <c r="C2997" s="186" t="str">
        <f>IFERROR(__xludf.DUMMYFUNCTION("""COMPUTED_VALUE"""),"PORTA RETRATO LOUSA NUNCA ESQUECER")</f>
        <v>PORTA RETRATO LOUSA NUNCA ESQUECER</v>
      </c>
      <c r="D2997" s="186" t="str">
        <f>IFERROR(__xludf.DUMMYFUNCTION("""COMPUTED_VALUE"""),"FALSO")</f>
        <v>FALSO</v>
      </c>
    </row>
    <row r="2998">
      <c r="B2998" s="186" t="str">
        <f>IFERROR(__xludf.DUMMYFUNCTION("""COMPUTED_VALUE"""),"PI5093Y")</f>
        <v>PI5093Y</v>
      </c>
      <c r="C2998" s="186" t="str">
        <f>IFERROR(__xludf.DUMMYFUNCTION("""COMPUTED_VALUE"""),"PORTA RETRATO COM LOUSA NUNCA ESQUECER")</f>
        <v>PORTA RETRATO COM LOUSA NUNCA ESQUECER</v>
      </c>
      <c r="D2998" s="186" t="str">
        <f>IFERROR(__xludf.DUMMYFUNCTION("""COMPUTED_VALUE"""),"FALSO")</f>
        <v>FALSO</v>
      </c>
    </row>
    <row r="2999">
      <c r="B2999" s="186" t="str">
        <f>IFERROR(__xludf.DUMMYFUNCTION("""COMPUTED_VALUE"""),"PI5093Y")</f>
        <v>PI5093Y</v>
      </c>
      <c r="C2999" s="186" t="str">
        <f>IFERROR(__xludf.DUMMYFUNCTION("""COMPUTED_VALUE"""),"PORTA RETRATO COM LOUSA NUNCA ESQUECER")</f>
        <v>PORTA RETRATO COM LOUSA NUNCA ESQUECER</v>
      </c>
      <c r="D2999" s="186" t="str">
        <f>IFERROR(__xludf.DUMMYFUNCTION("""COMPUTED_VALUE"""),"FALSO")</f>
        <v>FALSO</v>
      </c>
    </row>
    <row r="3000">
      <c r="B3000" s="186" t="str">
        <f>IFERROR(__xludf.DUMMYFUNCTION("""COMPUTED_VALUE"""),"PI5093Y")</f>
        <v>PI5093Y</v>
      </c>
      <c r="C3000" s="186" t="str">
        <f>IFERROR(__xludf.DUMMYFUNCTION("""COMPUTED_VALUE"""),"PORTA RETRATO COM LOUSA NUNCA ESQUECER")</f>
        <v>PORTA RETRATO COM LOUSA NUNCA ESQUECER</v>
      </c>
      <c r="D3000" s="186" t="str">
        <f>IFERROR(__xludf.DUMMYFUNCTION("""COMPUTED_VALUE"""),"FALSO")</f>
        <v>FALSO</v>
      </c>
    </row>
    <row r="3001">
      <c r="B3001" s="186" t="str">
        <f>IFERROR(__xludf.DUMMYFUNCTION("""COMPUTED_VALUE"""),"PI5287Y")</f>
        <v>PI5287Y</v>
      </c>
      <c r="C3001" s="186" t="str">
        <f>IFERROR(__xludf.DUMMYFUNCTION("""COMPUTED_VALUE"""),"PORTA RETRATO COM LED HP LUMOS")</f>
        <v>PORTA RETRATO COM LED HP LUMOS</v>
      </c>
      <c r="D3001" s="186" t="str">
        <f>IFERROR(__xludf.DUMMYFUNCTION("""COMPUTED_VALUE"""),"FALSO")</f>
        <v>FALSO</v>
      </c>
    </row>
    <row r="3002">
      <c r="B3002" s="186" t="str">
        <f>IFERROR(__xludf.DUMMYFUNCTION("""COMPUTED_VALUE"""),"PI7806Y")</f>
        <v>PI7806Y</v>
      </c>
      <c r="C3002" s="186" t="str">
        <f>IFERROR(__xludf.DUMMYFUNCTION("""COMPUTED_VALUE"""),"PORTA RETRATO CAIXA CAPSULA DO AMOR")</f>
        <v>PORTA RETRATO CAIXA CAPSULA DO AMOR</v>
      </c>
      <c r="D3002" s="186" t="str">
        <f>IFERROR(__xludf.DUMMYFUNCTION("""COMPUTED_VALUE"""),"FALSO")</f>
        <v>FALSO</v>
      </c>
    </row>
    <row r="3003">
      <c r="B3003" s="186" t="str">
        <f>IFERROR(__xludf.DUMMYFUNCTION("""COMPUTED_VALUE"""),"PI3904Y")</f>
        <v>PI3904Y</v>
      </c>
      <c r="C3003" s="186" t="str">
        <f>IFERROR(__xludf.DUMMYFUNCTION("""COMPUTED_VALUE"""),"PORTA RETRATO ESPELHADO OLHAR E LEMBRAR")</f>
        <v>PORTA RETRATO ESPELHADO OLHAR E LEMBRAR</v>
      </c>
      <c r="D3003" s="186" t="str">
        <f>IFERROR(__xludf.DUMMYFUNCTION("""COMPUTED_VALUE"""),"FALSO")</f>
        <v>FALSO</v>
      </c>
    </row>
    <row r="3004">
      <c r="B3004" s="186" t="str">
        <f>IFERROR(__xludf.DUMMYFUNCTION("""COMPUTED_VALUE"""),"PI3904Y")</f>
        <v>PI3904Y</v>
      </c>
      <c r="C3004" s="186" t="str">
        <f>IFERROR(__xludf.DUMMYFUNCTION("""COMPUTED_VALUE"""),"PORTA RETRATO ESPELHADO OLHAR E LEMBRAR")</f>
        <v>PORTA RETRATO ESPELHADO OLHAR E LEMBRAR</v>
      </c>
      <c r="D3004" s="186" t="str">
        <f>IFERROR(__xludf.DUMMYFUNCTION("""COMPUTED_VALUE"""),"FALSO")</f>
        <v>FALSO</v>
      </c>
    </row>
    <row r="3005">
      <c r="B3005" s="186" t="str">
        <f>IFERROR(__xludf.DUMMYFUNCTION("""COMPUTED_VALUE"""),"PI3904Y")</f>
        <v>PI3904Y</v>
      </c>
      <c r="C3005" s="186" t="str">
        <f>IFERROR(__xludf.DUMMYFUNCTION("""COMPUTED_VALUE"""),"PORTA RETRATO ESPELHADO OLHAR E LEMBRAR")</f>
        <v>PORTA RETRATO ESPELHADO OLHAR E LEMBRAR</v>
      </c>
      <c r="D3005" s="186" t="str">
        <f>IFERROR(__xludf.DUMMYFUNCTION("""COMPUTED_VALUE"""),"FALSO")</f>
        <v>FALSO</v>
      </c>
    </row>
    <row r="3006">
      <c r="B3006" s="186" t="str">
        <f>IFERROR(__xludf.DUMMYFUNCTION("""COMPUTED_VALUE"""),"PI5896Y")</f>
        <v>PI5896Y</v>
      </c>
      <c r="C3006" s="186" t="str">
        <f>IFERROR(__xludf.DUMMYFUNCTION("""COMPUTED_VALUE"""),"PORTA RETRATO COM ADESIVOS FANTASIA")</f>
        <v>PORTA RETRATO COM ADESIVOS FANTASIA</v>
      </c>
      <c r="D3006" s="186" t="str">
        <f>IFERROR(__xludf.DUMMYFUNCTION("""COMPUTED_VALUE"""),"FALSO")</f>
        <v>FALSO</v>
      </c>
    </row>
    <row r="3007">
      <c r="B3007" s="186" t="str">
        <f>IFERROR(__xludf.DUMMYFUNCTION("""COMPUTED_VALUE"""),"PI6658Y")</f>
        <v>PI6658Y</v>
      </c>
      <c r="C3007" s="186" t="str">
        <f>IFERROR(__xludf.DUMMYFUNCTION("""COMPUTED_VALUE"""),"PAINEL DE FOTOS CADA FOTO UMA LEMBRANCA")</f>
        <v>PAINEL DE FOTOS CADA FOTO UMA LEMBRANCA</v>
      </c>
      <c r="D3007" s="186" t="str">
        <f>IFERROR(__xludf.DUMMYFUNCTION("""COMPUTED_VALUE"""),"FALSO")</f>
        <v>FALSO</v>
      </c>
    </row>
    <row r="3008">
      <c r="B3008" s="186" t="str">
        <f>IFERROR(__xludf.DUMMYFUNCTION("""COMPUTED_VALUE"""),"PI5879Y")</f>
        <v>PI5879Y</v>
      </c>
      <c r="C3008" s="186" t="str">
        <f>IFERROR(__xludf.DUMMYFUNCTION("""COMPUTED_VALUE"""),"PAINEL DE FOTOS E LEMBRETES NOSSO AMOR")</f>
        <v>PAINEL DE FOTOS E LEMBRETES NOSSO AMOR</v>
      </c>
      <c r="D3008" s="186" t="str">
        <f>IFERROR(__xludf.DUMMYFUNCTION("""COMPUTED_VALUE"""),"FALSO")</f>
        <v>FALSO</v>
      </c>
    </row>
    <row r="3009">
      <c r="B3009" s="186" t="str">
        <f>IFERROR(__xludf.DUMMYFUNCTION("""COMPUTED_VALUE"""),"PI6221Y")</f>
        <v>PI6221Y</v>
      </c>
      <c r="C3009" s="186" t="str">
        <f>IFERROR(__xludf.DUMMYFUNCTION("""COMPUTED_VALUE"""),"PORTA-RETRATO LOUSA RECADO")</f>
        <v>PORTA-RETRATO LOUSA RECADO</v>
      </c>
      <c r="D3009" s="186" t="str">
        <f>IFERROR(__xludf.DUMMYFUNCTION("""COMPUTED_VALUE"""),"FALSO")</f>
        <v>FALSO</v>
      </c>
    </row>
    <row r="3010">
      <c r="B3010" s="186" t="str">
        <f>IFERROR(__xludf.DUMMYFUNCTION("""COMPUTED_VALUE"""),"PI6493Y")</f>
        <v>PI6493Y</v>
      </c>
      <c r="C3010" s="186" t="str">
        <f>IFERROR(__xludf.DUMMYFUNCTION("""COMPUTED_VALUE"""),"PORTA RETRATO VO AMOR EM ALTAS DOSES")</f>
        <v>PORTA RETRATO VO AMOR EM ALTAS DOSES</v>
      </c>
      <c r="D3010" s="186" t="str">
        <f>IFERROR(__xludf.DUMMYFUNCTION("""COMPUTED_VALUE"""),"FALSO")</f>
        <v>FALSO</v>
      </c>
    </row>
    <row r="3011">
      <c r="B3011" s="186" t="str">
        <f>IFERROR(__xludf.DUMMYFUNCTION("""COMPUTED_VALUE"""),"PI7621Y")</f>
        <v>PI7621Y</v>
      </c>
      <c r="C3011" s="186" t="str">
        <f>IFERROR(__xludf.DUMMYFUNCTION("""COMPUTED_VALUE"""),"PORTA RETRATO VIVER SORRIR AMAR E SONHAR")</f>
        <v>PORTA RETRATO VIVER SORRIR AMAR E SONHAR</v>
      </c>
      <c r="D3011" s="186" t="str">
        <f>IFERROR(__xludf.DUMMYFUNCTION("""COMPUTED_VALUE"""),"FALSO")</f>
        <v>FALSO</v>
      </c>
    </row>
    <row r="3012">
      <c r="B3012" s="186" t="str">
        <f>IFERROR(__xludf.DUMMYFUNCTION("""COMPUTED_VALUE"""),"PI7676Y")</f>
        <v>PI7676Y</v>
      </c>
      <c r="C3012" s="186" t="str">
        <f>IFERROR(__xludf.DUMMYFUNCTION("""COMPUTED_VALUE"""),"PORTA RETRATO COLECAO DE LEMBRANCAS")</f>
        <v>PORTA RETRATO COLECAO DE LEMBRANCAS</v>
      </c>
      <c r="D3012" s="186" t="str">
        <f>IFERROR(__xludf.DUMMYFUNCTION("""COMPUTED_VALUE"""),"FALSO")</f>
        <v>FALSO</v>
      </c>
    </row>
    <row r="3013">
      <c r="B3013" s="186" t="str">
        <f>IFERROR(__xludf.DUMMYFUNCTION("""COMPUTED_VALUE"""),"PI6820Y")</f>
        <v>PI6820Y</v>
      </c>
      <c r="C3013" s="186" t="str">
        <f>IFERROR(__xludf.DUMMYFUNCTION("""COMPUTED_VALUE"""),"PORTA RETRATO ESPELHO HP PROFETA DIARIO")</f>
        <v>PORTA RETRATO ESPELHO HP PROFETA DIARIO</v>
      </c>
      <c r="D3013" s="186" t="str">
        <f>IFERROR(__xludf.DUMMYFUNCTION("""COMPUTED_VALUE"""),"FALSO")</f>
        <v>FALSO</v>
      </c>
    </row>
    <row r="3014">
      <c r="B3014" s="186" t="str">
        <f>IFERROR(__xludf.DUMMYFUNCTION("""COMPUTED_VALUE"""),"PI6492Y")</f>
        <v>PI6492Y</v>
      </c>
      <c r="C3014" s="186" t="str">
        <f>IFERROR(__xludf.DUMMYFUNCTION("""COMPUTED_VALUE"""),"PORTA RETRATO MAE INFINITO GESTO DE AMOR")</f>
        <v>PORTA RETRATO MAE INFINITO GESTO DE AMOR</v>
      </c>
      <c r="D3014" s="186" t="str">
        <f>IFERROR(__xludf.DUMMYFUNCTION("""COMPUTED_VALUE"""),"FALSO")</f>
        <v>FALSO</v>
      </c>
    </row>
    <row r="3015">
      <c r="B3015" s="186" t="str">
        <f>IFERROR(__xludf.DUMMYFUNCTION("""COMPUTED_VALUE"""),"PI6463Y")</f>
        <v>PI6463Y</v>
      </c>
      <c r="C3015" s="186" t="str">
        <f>IFERROR(__xludf.DUMMYFUNCTION("""COMPUTED_VALUE"""),"PORTA RETRATO GIRATORIO NOVO RECADO")</f>
        <v>PORTA RETRATO GIRATORIO NOVO RECADO</v>
      </c>
      <c r="D3015" s="186" t="str">
        <f>IFERROR(__xludf.DUMMYFUNCTION("""COMPUTED_VALUE"""),"FALSO")</f>
        <v>FALSO</v>
      </c>
    </row>
    <row r="3016">
      <c r="B3016" s="186" t="str">
        <f>IFERROR(__xludf.DUMMYFUNCTION("""COMPUTED_VALUE"""),"PI6064Y")</f>
        <v>PI6064Y</v>
      </c>
      <c r="C3016" s="186" t="str">
        <f>IFERROR(__xludf.DUMMYFUNCTION("""COMPUTED_VALUE"""),"PORTA RETRATO OJESED HP")</f>
        <v>PORTA RETRATO OJESED HP</v>
      </c>
      <c r="D3016" s="186" t="str">
        <f>IFERROR(__xludf.DUMMYFUNCTION("""COMPUTED_VALUE"""),"FALSO")</f>
        <v>FALSO</v>
      </c>
    </row>
    <row r="3017">
      <c r="B3017" s="186" t="str">
        <f>IFERROR(__xludf.DUMMYFUNCTION("""COMPUTED_VALUE"""),"PI6607Y")</f>
        <v>PI6607Y</v>
      </c>
      <c r="C3017" s="186" t="str">
        <f>IFERROR(__xludf.DUMMYFUNCTION("""COMPUTED_VALUE"""),"ALBUM PORTA RETRATO POR ONDE FLOR")</f>
        <v>ALBUM PORTA RETRATO POR ONDE FLOR</v>
      </c>
      <c r="D3017" s="186" t="str">
        <f>IFERROR(__xludf.DUMMYFUNCTION("""COMPUTED_VALUE"""),"FALSO")</f>
        <v>FALSO</v>
      </c>
    </row>
    <row r="3018">
      <c r="B3018" s="186" t="str">
        <f>IFERROR(__xludf.DUMMYFUNCTION("""COMPUTED_VALUE"""),"PI6495Y")</f>
        <v>PI6495Y</v>
      </c>
      <c r="C3018" s="186" t="str">
        <f>IFERROR(__xludf.DUMMYFUNCTION("""COMPUTED_VALUE"""),"PORTA RETRATO FAMILIA ESPECIAL")</f>
        <v>PORTA RETRATO FAMILIA ESPECIAL</v>
      </c>
      <c r="D3018" s="186" t="str">
        <f>IFERROR(__xludf.DUMMYFUNCTION("""COMPUTED_VALUE"""),"FALSO")</f>
        <v>FALSO</v>
      </c>
    </row>
    <row r="3019">
      <c r="B3019" s="186" t="str">
        <f>IFERROR(__xludf.DUMMYFUNCTION("""COMPUTED_VALUE"""),"PI6233Y")</f>
        <v>PI6233Y</v>
      </c>
      <c r="C3019" s="186" t="str">
        <f>IFERROR(__xludf.DUMMYFUNCTION("""COMPUTED_VALUE"""),"PORTA-RETRATO O MOMENTO E A LEMBRANÇA")</f>
        <v>PORTA-RETRATO O MOMENTO E A LEMBRANÇA</v>
      </c>
      <c r="D3019" s="186" t="str">
        <f>IFERROR(__xludf.DUMMYFUNCTION("""COMPUTED_VALUE"""),"FALSO")</f>
        <v>FALSO</v>
      </c>
    </row>
    <row r="3020">
      <c r="B3020" s="186" t="str">
        <f>IFERROR(__xludf.DUMMYFUNCTION("""COMPUTED_VALUE"""),"PI6232Y")</f>
        <v>PI6232Y</v>
      </c>
      <c r="C3020" s="186" t="str">
        <f>IFERROR(__xludf.DUMMYFUNCTION("""COMPUTED_VALUE"""),"PORTA-RETRATO COM IMÃS PRETO E BRANCO")</f>
        <v>PORTA-RETRATO COM IMÃS PRETO E BRANCO</v>
      </c>
      <c r="D3020" s="186" t="str">
        <f>IFERROR(__xludf.DUMMYFUNCTION("""COMPUTED_VALUE"""),"FALSO")</f>
        <v>FALSO</v>
      </c>
    </row>
    <row r="3021">
      <c r="B3021" s="186" t="str">
        <f>IFERROR(__xludf.DUMMYFUNCTION("""COMPUTED_VALUE"""),"PI7110Y")</f>
        <v>PI7110Y</v>
      </c>
      <c r="C3021" s="186" t="str">
        <f>IFERROR(__xludf.DUMMYFUNCTION("""COMPUTED_VALUE"""),"PORTA RETRATO GATINHO PRETO SORRISO")</f>
        <v>PORTA RETRATO GATINHO PRETO SORRISO</v>
      </c>
      <c r="D3021" s="186" t="str">
        <f>IFERROR(__xludf.DUMMYFUNCTION("""COMPUTED_VALUE"""),"FALSO")</f>
        <v>FALSO</v>
      </c>
    </row>
    <row r="3022">
      <c r="B3022" s="186" t="str">
        <f>IFERROR(__xludf.DUMMYFUNCTION("""COMPUTED_VALUE"""),"PI7277Y")</f>
        <v>PI7277Y</v>
      </c>
      <c r="C3022" s="186" t="str">
        <f>IFERROR(__xludf.DUMMYFUNCTION("""COMPUTED_VALUE"""),"PORTA RETRATO CAIXA MAO DE BEBE")</f>
        <v>PORTA RETRATO CAIXA MAO DE BEBE</v>
      </c>
      <c r="D3022" s="186" t="str">
        <f>IFERROR(__xludf.DUMMYFUNCTION("""COMPUTED_VALUE"""),"FALSO")</f>
        <v>FALSO</v>
      </c>
    </row>
    <row r="3023">
      <c r="B3023" s="186" t="str">
        <f>IFERROR(__xludf.DUMMYFUNCTION("""COMPUTED_VALUE"""),"PI7277Y")</f>
        <v>PI7277Y</v>
      </c>
      <c r="C3023" s="186" t="str">
        <f>IFERROR(__xludf.DUMMYFUNCTION("""COMPUTED_VALUE"""),"PORTA RETRATO CAIXA MAO DE BEBE")</f>
        <v>PORTA RETRATO CAIXA MAO DE BEBE</v>
      </c>
      <c r="D3023" s="186" t="str">
        <f>IFERROR(__xludf.DUMMYFUNCTION("""COMPUTED_VALUE"""),"FALSO")</f>
        <v>FALSO</v>
      </c>
    </row>
    <row r="3024">
      <c r="B3024" s="186" t="str">
        <f>IFERROR(__xludf.DUMMYFUNCTION("""COMPUTED_VALUE"""),"PI7346Y")</f>
        <v>PI7346Y</v>
      </c>
      <c r="C3024" s="186" t="str">
        <f>IFERROR(__xludf.DUMMYFUNCTION("""COMPUTED_VALUE"""),"PORTA RETRATO CAIXA MELHORES MEMORIAS")</f>
        <v>PORTA RETRATO CAIXA MELHORES MEMORIAS</v>
      </c>
      <c r="D3024" s="186" t="str">
        <f>IFERROR(__xludf.DUMMYFUNCTION("""COMPUTED_VALUE"""),"FALSO")</f>
        <v>FALSO</v>
      </c>
    </row>
    <row r="3025">
      <c r="B3025" s="186" t="str">
        <f>IFERROR(__xludf.DUMMYFUNCTION("""COMPUTED_VALUE"""),"PI7346Y")</f>
        <v>PI7346Y</v>
      </c>
      <c r="C3025" s="186" t="str">
        <f>IFERROR(__xludf.DUMMYFUNCTION("""COMPUTED_VALUE"""),"PORTA RETRATO CAIXA MEMORIAS")</f>
        <v>PORTA RETRATO CAIXA MEMORIAS</v>
      </c>
      <c r="D3025" s="186" t="str">
        <f>IFERROR(__xludf.DUMMYFUNCTION("""COMPUTED_VALUE"""),"FALSO")</f>
        <v>FALSO</v>
      </c>
    </row>
    <row r="3026">
      <c r="B3026" s="186" t="str">
        <f>IFERROR(__xludf.DUMMYFUNCTION("""COMPUTED_VALUE"""),"PI7086Y")</f>
        <v>PI7086Y</v>
      </c>
      <c r="C3026" s="186" t="str">
        <f>IFERROR(__xludf.DUMMYFUNCTION("""COMPUTED_VALUE"""),"PORTA RETRATO FLOR COLORIDO")</f>
        <v>PORTA RETRATO FLOR COLORIDO</v>
      </c>
      <c r="D3026" s="186" t="str">
        <f>IFERROR(__xludf.DUMMYFUNCTION("""COMPUTED_VALUE"""),"FALSO")</f>
        <v>FALSO</v>
      </c>
    </row>
    <row r="3027">
      <c r="B3027" s="186" t="str">
        <f>IFERROR(__xludf.DUMMYFUNCTION("""COMPUTED_VALUE"""),"PI7174Y")</f>
        <v>PI7174Y</v>
      </c>
      <c r="C3027" s="186" t="str">
        <f>IFERROR(__xludf.DUMMYFUNCTION("""COMPUTED_VALUE"""),"PORTA RETRATO MOMENTOS MAGICOS")</f>
        <v>PORTA RETRATO MOMENTOS MAGICOS</v>
      </c>
      <c r="D3027" s="186" t="str">
        <f>IFERROR(__xludf.DUMMYFUNCTION("""COMPUTED_VALUE"""),"FALSO")</f>
        <v>FALSO</v>
      </c>
    </row>
    <row r="3028">
      <c r="B3028" s="186" t="str">
        <f>IFERROR(__xludf.DUMMYFUNCTION("""COMPUTED_VALUE"""),"PI6994Y")</f>
        <v>PI6994Y</v>
      </c>
      <c r="C3028" s="186" t="str">
        <f>IFERROR(__xludf.DUMMYFUNCTION("""COMPUTED_VALUE"""),"PORTA RETRATO CAMADAS DE FOTOS")</f>
        <v>PORTA RETRATO CAMADAS DE FOTOS</v>
      </c>
      <c r="D3028" s="186" t="str">
        <f>IFERROR(__xludf.DUMMYFUNCTION("""COMPUTED_VALUE"""),"FALSO")</f>
        <v>FALSO</v>
      </c>
    </row>
    <row r="3029">
      <c r="B3029" s="186" t="str">
        <f>IFERROR(__xludf.DUMMYFUNCTION("""COMPUTED_VALUE"""),"PI6994Y")</f>
        <v>PI6994Y</v>
      </c>
      <c r="C3029" s="186" t="str">
        <f>IFERROR(__xludf.DUMMYFUNCTION("""COMPUTED_VALUE"""),"PORTA RETRATO CAMADAS DE FOTOS")</f>
        <v>PORTA RETRATO CAMADAS DE FOTOS</v>
      </c>
      <c r="D3029" s="186" t="str">
        <f>IFERROR(__xludf.DUMMYFUNCTION("""COMPUTED_VALUE"""),"FALSO")</f>
        <v>FALSO</v>
      </c>
    </row>
    <row r="3030">
      <c r="B3030" s="186" t="str">
        <f>IFERROR(__xludf.DUMMYFUNCTION("""COMPUTED_VALUE"""),"PI7341Y")</f>
        <v>PI7341Y</v>
      </c>
      <c r="C3030" s="186" t="str">
        <f>IFERROR(__xludf.DUMMYFUNCTION("""COMPUTED_VALUE"""),"PORTA RETRATO REGISTRO PE DO BEBE NA LUA")</f>
        <v>PORTA RETRATO REGISTRO PE DO BEBE NA LUA</v>
      </c>
      <c r="D3030" s="186" t="str">
        <f>IFERROR(__xludf.DUMMYFUNCTION("""COMPUTED_VALUE"""),"FALSO")</f>
        <v>FALSO</v>
      </c>
    </row>
    <row r="3031">
      <c r="B3031" s="186" t="str">
        <f>IFERROR(__xludf.DUMMYFUNCTION("""COMPUTED_VALUE"""),"PI7267Y")</f>
        <v>PI7267Y</v>
      </c>
      <c r="C3031" s="186" t="str">
        <f>IFERROR(__xludf.DUMMYFUNCTION("""COMPUTED_VALUE"""),"PORTA RETRATO REGISTRO PET FAMILIA")</f>
        <v>PORTA RETRATO REGISTRO PET FAMILIA</v>
      </c>
      <c r="D3031" s="186" t="str">
        <f>IFERROR(__xludf.DUMMYFUNCTION("""COMPUTED_VALUE"""),"FALSO")</f>
        <v>FALSO</v>
      </c>
    </row>
    <row r="3032">
      <c r="B3032" s="186" t="str">
        <f>IFERROR(__xludf.DUMMYFUNCTION("""COMPUTED_VALUE"""),"PI7267Y")</f>
        <v>PI7267Y</v>
      </c>
      <c r="C3032" s="186" t="str">
        <f>IFERROR(__xludf.DUMMYFUNCTION("""COMPUTED_VALUE"""),"PORTA RETRATO REGISTRO PET FAMILIA")</f>
        <v>PORTA RETRATO REGISTRO PET FAMILIA</v>
      </c>
      <c r="D3032" s="186" t="str">
        <f>IFERROR(__xludf.DUMMYFUNCTION("""COMPUTED_VALUE"""),"FALSO")</f>
        <v>FALSO</v>
      </c>
    </row>
    <row r="3033">
      <c r="B3033" s="186" t="str">
        <f>IFERROR(__xludf.DUMMYFUNCTION("""COMPUTED_VALUE"""),"PI7443Y")</f>
        <v>PI7443Y</v>
      </c>
      <c r="C3033" s="186" t="str">
        <f>IFERROR(__xludf.DUMMYFUNCTION("""COMPUTED_VALUE"""),"PORTA RETRATO ROLETAS NOSSOS RECORDES")</f>
        <v>PORTA RETRATO ROLETAS NOSSOS RECORDES</v>
      </c>
      <c r="D3033" s="186" t="str">
        <f>IFERROR(__xludf.DUMMYFUNCTION("""COMPUTED_VALUE"""),"FALSO")</f>
        <v>FALSO</v>
      </c>
    </row>
    <row r="3034">
      <c r="B3034" s="186" t="str">
        <f>IFERROR(__xludf.DUMMYFUNCTION("""COMPUTED_VALUE"""),"PI7343Y")</f>
        <v>PI7343Y</v>
      </c>
      <c r="C3034" s="186" t="str">
        <f>IFERROR(__xludf.DUMMYFUNCTION("""COMPUTED_VALUE"""),"PORTA RETRATO CARIMBO BEBE MAOZINHA")</f>
        <v>PORTA RETRATO CARIMBO BEBE MAOZINHA</v>
      </c>
      <c r="D3034" s="186" t="str">
        <f>IFERROR(__xludf.DUMMYFUNCTION("""COMPUTED_VALUE"""),"FALSO")</f>
        <v>FALSO</v>
      </c>
    </row>
    <row r="3035">
      <c r="B3035" s="186" t="str">
        <f>IFERROR(__xludf.DUMMYFUNCTION("""COMPUTED_VALUE"""),"PI7344Y")</f>
        <v>PI7344Y</v>
      </c>
      <c r="C3035" s="186" t="str">
        <f>IFERROR(__xludf.DUMMYFUNCTION("""COMPUTED_VALUE"""),"PORTA RETRATO CAIXA CAPSULA DO TEMPO")</f>
        <v>PORTA RETRATO CAIXA CAPSULA DO TEMPO</v>
      </c>
      <c r="D3035" s="186" t="str">
        <f>IFERROR(__xludf.DUMMYFUNCTION("""COMPUTED_VALUE"""),"FALSO")</f>
        <v>FALSO</v>
      </c>
    </row>
    <row r="3036">
      <c r="B3036" s="186" t="str">
        <f>IFERROR(__xludf.DUMMYFUNCTION("""COMPUTED_VALUE"""),"PI7344Y")</f>
        <v>PI7344Y</v>
      </c>
      <c r="C3036" s="186" t="str">
        <f>IFERROR(__xludf.DUMMYFUNCTION("""COMPUTED_VALUE"""),"PORTA RETRATO CAIXA CAPSULA DO TEMPO")</f>
        <v>PORTA RETRATO CAIXA CAPSULA DO TEMPO</v>
      </c>
      <c r="D3036" s="186" t="str">
        <f>IFERROR(__xludf.DUMMYFUNCTION("""COMPUTED_VALUE"""),"FALSO")</f>
        <v>FALSO</v>
      </c>
    </row>
    <row r="3037">
      <c r="B3037" s="186" t="str">
        <f>IFERROR(__xludf.DUMMYFUNCTION("""COMPUTED_VALUE"""),"PI7306Y")</f>
        <v>PI7306Y</v>
      </c>
      <c r="C3037" s="186" t="str">
        <f>IFERROR(__xludf.DUMMYFUNCTION("""COMPUTED_VALUE"""),"PORTA RETRATO COM CLIPE MUITO AMOR")</f>
        <v>PORTA RETRATO COM CLIPE MUITO AMOR</v>
      </c>
      <c r="D3037" s="186" t="str">
        <f>IFERROR(__xludf.DUMMYFUNCTION("""COMPUTED_VALUE"""),"FALSO")</f>
        <v>FALSO</v>
      </c>
    </row>
    <row r="3038">
      <c r="B3038" s="186" t="str">
        <f>IFERROR(__xludf.DUMMYFUNCTION("""COMPUTED_VALUE"""),"PI7306Y")</f>
        <v>PI7306Y</v>
      </c>
      <c r="C3038" s="186" t="str">
        <f>IFERROR(__xludf.DUMMYFUNCTION("""COMPUTED_VALUE"""),"PORTA RETRATO COM CLIPE MUITO AMOR")</f>
        <v>PORTA RETRATO COM CLIPE MUITO AMOR</v>
      </c>
      <c r="D3038" s="186" t="str">
        <f>IFERROR(__xludf.DUMMYFUNCTION("""COMPUTED_VALUE"""),"FALSO")</f>
        <v>FALSO</v>
      </c>
    </row>
    <row r="3039">
      <c r="B3039" s="186" t="str">
        <f>IFERROR(__xludf.DUMMYFUNCTION("""COMPUTED_VALUE"""),"PI6017Y")</f>
        <v>PI6017Y</v>
      </c>
      <c r="C3039" s="186" t="str">
        <f>IFERROR(__xludf.DUMMYFUNCTION("""COMPUTED_VALUE"""),"ALMOFADA SHIATSU SEMPRE NO PONTO CERTO")</f>
        <v>ALMOFADA SHIATSU SEMPRE NO PONTO CERTO</v>
      </c>
      <c r="D3039" s="186" t="str">
        <f>IFERROR(__xludf.DUMMYFUNCTION("""COMPUTED_VALUE"""),"FALSO")</f>
        <v>FALSO</v>
      </c>
    </row>
    <row r="3040">
      <c r="B3040" s="186" t="str">
        <f>IFERROR(__xludf.DUMMYFUNCTION("""COMPUTED_VALUE"""),"PI6017Y")</f>
        <v>PI6017Y</v>
      </c>
      <c r="C3040" s="186" t="str">
        <f>IFERROR(__xludf.DUMMYFUNCTION("""COMPUTED_VALUE"""),"ALMOFADA SHIATSU SEMPRE NO PONTO CERTO")</f>
        <v>ALMOFADA SHIATSU SEMPRE NO PONTO CERTO</v>
      </c>
      <c r="D3040" s="186" t="str">
        <f>IFERROR(__xludf.DUMMYFUNCTION("""COMPUTED_VALUE"""),"FALSO")</f>
        <v>FALSO</v>
      </c>
    </row>
    <row r="3041">
      <c r="B3041" s="186" t="str">
        <f>IFERROR(__xludf.DUMMYFUNCTION("""COMPUTED_VALUE"""),"PI6017Y")</f>
        <v>PI6017Y</v>
      </c>
      <c r="C3041" s="186" t="str">
        <f>IFERROR(__xludf.DUMMYFUNCTION("""COMPUTED_VALUE"""),"ALMOFADA SHIATSU SEMPRE NO PONTO CERTO")</f>
        <v>ALMOFADA SHIATSU SEMPRE NO PONTO CERTO</v>
      </c>
      <c r="D3041" s="186" t="str">
        <f>IFERROR(__xludf.DUMMYFUNCTION("""COMPUTED_VALUE"""),"FALSO")</f>
        <v>FALSO</v>
      </c>
    </row>
    <row r="3042">
      <c r="B3042" s="186" t="str">
        <f>IFERROR(__xludf.DUMMYFUNCTION("""COMPUTED_VALUE"""),"PI6014Y")</f>
        <v>PI6014Y</v>
      </c>
      <c r="C3042" s="186" t="str">
        <f>IFERROR(__xludf.DUMMYFUNCTION("""COMPUTED_VALUE"""),"ALMOFADA COM SOM MANDRAGORA HP")</f>
        <v>ALMOFADA COM SOM MANDRAGORA HP</v>
      </c>
      <c r="D3042" s="186" t="str">
        <f>IFERROR(__xludf.DUMMYFUNCTION("""COMPUTED_VALUE"""),"INMETRO Toys System 5 - Ordinance 302")</f>
        <v>INMETRO Toys System 5 - Ordinance 302</v>
      </c>
    </row>
    <row r="3043">
      <c r="B3043" s="186" t="str">
        <f>IFERROR(__xludf.DUMMYFUNCTION("""COMPUTED_VALUE"""),"PI6014Y")</f>
        <v>PI6014Y</v>
      </c>
      <c r="C3043" s="186" t="str">
        <f>IFERROR(__xludf.DUMMYFUNCTION("""COMPUTED_VALUE"""),"ALMOFADA COM SOM MANDRAGORA HP")</f>
        <v>ALMOFADA COM SOM MANDRAGORA HP</v>
      </c>
      <c r="D3043" s="186" t="str">
        <f>IFERROR(__xludf.DUMMYFUNCTION("""COMPUTED_VALUE"""),"INMETRO Toys System 5 - Ordinance 302")</f>
        <v>INMETRO Toys System 5 - Ordinance 302</v>
      </c>
    </row>
    <row r="3044">
      <c r="B3044" s="186" t="str">
        <f>IFERROR(__xludf.DUMMYFUNCTION("""COMPUTED_VALUE"""),"AC2148Y")</f>
        <v>AC2148Y</v>
      </c>
      <c r="C3044" s="186" t="str">
        <f>IFERROR(__xludf.DUMMYFUNCTION("""COMPUTED_VALUE"""),"PIN PARA PI4954Y")</f>
        <v>PIN PARA PI4954Y</v>
      </c>
      <c r="D3044" s="186" t="str">
        <f>IFERROR(__xludf.DUMMYFUNCTION("""COMPUTED_VALUE"""),"FALSO")</f>
        <v>FALSO</v>
      </c>
    </row>
    <row r="3045">
      <c r="B3045" s="186" t="str">
        <f>IFERROR(__xludf.DUMMYFUNCTION("""COMPUTED_VALUE"""),"PI7729Y")</f>
        <v>PI7729Y</v>
      </c>
      <c r="C3045" s="186" t="str">
        <f>IFERROR(__xludf.DUMMYFUNCTION("""COMPUTED_VALUE"""),"CANETA URSO ROSA")</f>
        <v>CANETA URSO ROSA</v>
      </c>
      <c r="D3045" s="186" t="str">
        <f>IFERROR(__xludf.DUMMYFUNCTION("""COMPUTED_VALUE"""),"INMETRO SCHOOL ARTICLES SYSTEM 5 - ORDINANCE 481")</f>
        <v>INMETRO SCHOOL ARTICLES SYSTEM 5 - ORDINANCE 481</v>
      </c>
    </row>
    <row r="3046">
      <c r="B3046" s="186" t="str">
        <f>IFERROR(__xludf.DUMMYFUNCTION("""COMPUTED_VALUE"""),"PI6470Y")</f>
        <v>PI6470Y</v>
      </c>
      <c r="C3046" s="186" t="str">
        <f>IFERROR(__xludf.DUMMYFUNCTION("""COMPUTED_VALUE"""),"CAIXA DE SOM PORTÁTIL PINK")</f>
        <v>CAIXA DE SOM PORTÁTIL PINK</v>
      </c>
      <c r="D3046" s="186" t="str">
        <f>IFERROR(__xludf.DUMMYFUNCTION("""COMPUTED_VALUE"""),"Anatel Category 2 - Bluetooth and Radiofrequency Comms")</f>
        <v>Anatel Category 2 - Bluetooth and Radiofrequency Comms</v>
      </c>
    </row>
    <row r="3047">
      <c r="B3047" s="186"/>
      <c r="C3047" s="186"/>
      <c r="D3047" s="186"/>
    </row>
    <row r="3048">
      <c r="B3048" s="186" t="str">
        <f>IFERROR(__xludf.DUMMYFUNCTION("""COMPUTED_VALUE"""),"PI7556Y")</f>
        <v>PI7556Y</v>
      </c>
      <c r="C3048" s="186" t="str">
        <f>IFERROR(__xludf.DUMMYFUNCTION("""COMPUTED_VALUE"""),"CANETA UNICORNIO ROSA")</f>
        <v>CANETA UNICORNIO ROSA</v>
      </c>
      <c r="D3048" s="186" t="str">
        <f>IFERROR(__xludf.DUMMYFUNCTION("""COMPUTED_VALUE"""),"INMETRO SCHOOL ARTICLES SYSTEM 5 - ORDINANCE 481")</f>
        <v>INMETRO SCHOOL ARTICLES SYSTEM 5 - ORDINANCE 481</v>
      </c>
    </row>
    <row r="3049">
      <c r="B3049" s="186" t="str">
        <f>IFERROR(__xludf.DUMMYFUNCTION("""COMPUTED_VALUE"""),"US0109")</f>
        <v>US0109</v>
      </c>
      <c r="C3049" s="186" t="str">
        <f>IFERROR(__xludf.DUMMYFUNCTION("""COMPUTED_VALUE"""),"LUMINARIA PINTINHO")</f>
        <v>LUMINARIA PINTINHO</v>
      </c>
      <c r="D3049" s="186" t="str">
        <f>IFERROR(__xludf.DUMMYFUNCTION("""COMPUTED_VALUE"""),"FALSO")</f>
        <v>FALSO</v>
      </c>
    </row>
    <row r="3050">
      <c r="B3050" s="186" t="str">
        <f>IFERROR(__xludf.DUMMYFUNCTION("""COMPUTED_VALUE"""),"PI6604Y")</f>
        <v>PI6604Y</v>
      </c>
      <c r="C3050" s="186" t="str">
        <f>IFERROR(__xludf.DUMMYFUNCTION("""COMPUTED_VALUE"""),"TABUA DE PIZZA MELHORES MOMENTOS")</f>
        <v>TABUA DE PIZZA MELHORES MOMENTOS</v>
      </c>
      <c r="D3050" s="186" t="str">
        <f>IFERROR(__xludf.DUMMYFUNCTION("""COMPUTED_VALUE"""),"FALSO")</f>
        <v>FALSO</v>
      </c>
    </row>
    <row r="3051">
      <c r="B3051" s="186" t="str">
        <f>IFERROR(__xludf.DUMMYFUNCTION("""COMPUTED_VALUE"""),"PI4851Y")</f>
        <v>PI4851Y</v>
      </c>
      <c r="C3051" s="186" t="str">
        <f>IFERROR(__xludf.DUMMYFUNCTION("""COMPUTED_VALUE"""),"CORTADOR DE PIZZA MACHADO")</f>
        <v>CORTADOR DE PIZZA MACHADO</v>
      </c>
      <c r="D3051" s="186" t="str">
        <f>IFERROR(__xludf.DUMMYFUNCTION("""COMPUTED_VALUE"""),"FALSO")</f>
        <v>FALSO</v>
      </c>
    </row>
    <row r="3052">
      <c r="B3052" s="186" t="str">
        <f>IFERROR(__xludf.DUMMYFUNCTION("""COMPUTED_VALUE"""),"PI4851Y")</f>
        <v>PI4851Y</v>
      </c>
      <c r="C3052" s="186" t="str">
        <f>IFERROR(__xludf.DUMMYFUNCTION("""COMPUTED_VALUE"""),"CORTADOR DE PIZZA MACHADO")</f>
        <v>CORTADOR DE PIZZA MACHADO</v>
      </c>
      <c r="D3052" s="186" t="str">
        <f>IFERROR(__xludf.DUMMYFUNCTION("""COMPUTED_VALUE"""),"FALSO")</f>
        <v>FALSO</v>
      </c>
    </row>
    <row r="3053">
      <c r="B3053" s="186" t="str">
        <f>IFERROR(__xludf.DUMMYFUNCTION("""COMPUTED_VALUE"""),"PI4851Y")</f>
        <v>PI4851Y</v>
      </c>
      <c r="C3053" s="186" t="str">
        <f>IFERROR(__xludf.DUMMYFUNCTION("""COMPUTED_VALUE"""),"CORTADOR DE PIZZA MACHADO")</f>
        <v>CORTADOR DE PIZZA MACHADO</v>
      </c>
      <c r="D3053" s="186" t="str">
        <f>IFERROR(__xludf.DUMMYFUNCTION("""COMPUTED_VALUE"""),"FALSO")</f>
        <v>FALSO</v>
      </c>
    </row>
    <row r="3054">
      <c r="B3054" s="186" t="str">
        <f>IFERROR(__xludf.DUMMYFUNCTION("""COMPUTED_VALUE"""),"PI4851Y")</f>
        <v>PI4851Y</v>
      </c>
      <c r="C3054" s="186" t="str">
        <f>IFERROR(__xludf.DUMMYFUNCTION("""COMPUTED_VALUE"""),"CORTADOR DE PIZZA MACHADO")</f>
        <v>CORTADOR DE PIZZA MACHADO</v>
      </c>
      <c r="D3054" s="186" t="str">
        <f>IFERROR(__xludf.DUMMYFUNCTION("""COMPUTED_VALUE"""),"FALSO")</f>
        <v>FALSO</v>
      </c>
    </row>
    <row r="3055">
      <c r="B3055" s="186" t="str">
        <f>IFERROR(__xludf.DUMMYFUNCTION("""COMPUTED_VALUE"""),"PI4851Y")</f>
        <v>PI4851Y</v>
      </c>
      <c r="C3055" s="186" t="str">
        <f>IFERROR(__xludf.DUMMYFUNCTION("""COMPUTED_VALUE"""),"CORTADOR DE PIZZA MACHADO")</f>
        <v>CORTADOR DE PIZZA MACHADO</v>
      </c>
      <c r="D3055" s="186" t="str">
        <f>IFERROR(__xludf.DUMMYFUNCTION("""COMPUTED_VALUE"""),"FALSO")</f>
        <v>FALSO</v>
      </c>
    </row>
    <row r="3056">
      <c r="B3056" s="186" t="str">
        <f>IFERROR(__xludf.DUMMYFUNCTION("""COMPUTED_VALUE"""),"PI6355Y")</f>
        <v>PI6355Y</v>
      </c>
      <c r="C3056" s="186" t="str">
        <f>IFERROR(__xludf.DUMMYFUNCTION("""COMPUTED_VALUE"""),"CORTADOR DE PIZZA BICICLETA")</f>
        <v>CORTADOR DE PIZZA BICICLETA</v>
      </c>
      <c r="D3056" s="186" t="str">
        <f>IFERROR(__xludf.DUMMYFUNCTION("""COMPUTED_VALUE"""),"FALSO")</f>
        <v>FALSO</v>
      </c>
    </row>
    <row r="3057">
      <c r="B3057" s="186" t="str">
        <f>IFERROR(__xludf.DUMMYFUNCTION("""COMPUTED_VALUE"""),"PI6355Y")</f>
        <v>PI6355Y</v>
      </c>
      <c r="C3057" s="186" t="str">
        <f>IFERROR(__xludf.DUMMYFUNCTION("""COMPUTED_VALUE"""),"CORTADOR DE PIZZA BICICLETA")</f>
        <v>CORTADOR DE PIZZA BICICLETA</v>
      </c>
      <c r="D3057" s="186" t="str">
        <f>IFERROR(__xludf.DUMMYFUNCTION("""COMPUTED_VALUE"""),"FALSO")</f>
        <v>FALSO</v>
      </c>
    </row>
    <row r="3058">
      <c r="B3058" s="186" t="str">
        <f>IFERROR(__xludf.DUMMYFUNCTION("""COMPUTED_VALUE"""),"PI6355Y")</f>
        <v>PI6355Y</v>
      </c>
      <c r="C3058" s="186" t="str">
        <f>IFERROR(__xludf.DUMMYFUNCTION("""COMPUTED_VALUE"""),"CORTADOR DE PIZZA BICICLETA")</f>
        <v>CORTADOR DE PIZZA BICICLETA</v>
      </c>
      <c r="D3058" s="186" t="str">
        <f>IFERROR(__xludf.DUMMYFUNCTION("""COMPUTED_VALUE"""),"FALSO")</f>
        <v>FALSO</v>
      </c>
    </row>
    <row r="3059">
      <c r="B3059" s="186" t="str">
        <f>IFERROR(__xludf.DUMMYFUNCTION("""COMPUTED_VALUE"""),"PI7681Y")</f>
        <v>PI7681Y</v>
      </c>
      <c r="C3059" s="186" t="str">
        <f>IFERROR(__xludf.DUMMYFUNCTION("""COMPUTED_VALUE"""),"CORTADOR DE PIZZA BICICLETA PRETA")</f>
        <v>CORTADOR DE PIZZA BICICLETA PRETA</v>
      </c>
      <c r="D3059" s="186" t="str">
        <f>IFERROR(__xludf.DUMMYFUNCTION("""COMPUTED_VALUE"""),"FALSO")</f>
        <v>FALSO</v>
      </c>
    </row>
    <row r="3060">
      <c r="B3060" s="186"/>
      <c r="C3060" s="186"/>
      <c r="D3060" s="186"/>
    </row>
    <row r="3061">
      <c r="B3061" s="186" t="str">
        <f>IFERROR(__xludf.DUMMYFUNCTION("""COMPUTED_VALUE"""),"PI7682Y")</f>
        <v>PI7682Y</v>
      </c>
      <c r="C3061" s="186" t="str">
        <f>IFERROR(__xludf.DUMMYFUNCTION("""COMPUTED_VALUE"""),"CORTADOR DE PIZZA MOTO RETRO")</f>
        <v>CORTADOR DE PIZZA MOTO RETRO</v>
      </c>
      <c r="D3061" s="186" t="str">
        <f>IFERROR(__xludf.DUMMYFUNCTION("""COMPUTED_VALUE"""),"FALSO")</f>
        <v>FALSO</v>
      </c>
    </row>
    <row r="3062">
      <c r="B3062" s="186" t="str">
        <f>IFERROR(__xludf.DUMMYFUNCTION("""COMPUTED_VALUE"""),"PI6279Y")</f>
        <v>PI6279Y</v>
      </c>
      <c r="C3062" s="186" t="str">
        <f>IFERROR(__xludf.DUMMYFUNCTION("""COMPUTED_VALUE"""),"CORTADOR DE PIZZA SMILE")</f>
        <v>CORTADOR DE PIZZA SMILE</v>
      </c>
      <c r="D3062" s="186" t="str">
        <f>IFERROR(__xludf.DUMMYFUNCTION("""COMPUTED_VALUE"""),"FALSO")</f>
        <v>FALSO</v>
      </c>
    </row>
    <row r="3063">
      <c r="B3063" s="186" t="str">
        <f>IFERROR(__xludf.DUMMYFUNCTION("""COMPUTED_VALUE"""),"CS2039")</f>
        <v>CS2039</v>
      </c>
      <c r="C3063" s="186" t="str">
        <f>IFERROR(__xludf.DUMMYFUNCTION("""COMPUTED_VALUE"""),"PLACA DECORATIVA ZECA PAGODINHO")</f>
        <v>PLACA DECORATIVA ZECA PAGODINHO</v>
      </c>
      <c r="D3063" s="186" t="str">
        <f>IFERROR(__xludf.DUMMYFUNCTION("""COMPUTED_VALUE"""),"FALSO")</f>
        <v>FALSO</v>
      </c>
    </row>
    <row r="3064">
      <c r="B3064" s="186" t="str">
        <f>IFERROR(__xludf.DUMMYFUNCTION("""COMPUTED_VALUE"""),"PI5438Y")</f>
        <v>PI5438Y</v>
      </c>
      <c r="C3064" s="186" t="str">
        <f>IFERROR(__xludf.DUMMYFUNCTION("""COMPUTED_VALUE"""),"LUMINARIA LED NEON PLANETA")</f>
        <v>LUMINARIA LED NEON PLANETA</v>
      </c>
      <c r="D3064" s="186" t="str">
        <f>IFERROR(__xludf.DUMMYFUNCTION("""COMPUTED_VALUE"""),"FALSO")</f>
        <v>FALSO</v>
      </c>
    </row>
    <row r="3065">
      <c r="B3065" s="186" t="str">
        <f>IFERROR(__xludf.DUMMYFUNCTION("""COMPUTED_VALUE"""),"PI4994Y")</f>
        <v>PI4994Y</v>
      </c>
      <c r="C3065" s="186" t="str">
        <f>IFERROR(__xludf.DUMMYFUNCTION("""COMPUTED_VALUE"""),"AGENDA 2022 PAGINA EM BRANCO")</f>
        <v>AGENDA 2022 PAGINA EM BRANCO</v>
      </c>
      <c r="D3065" s="186" t="str">
        <f>IFERROR(__xludf.DUMMYFUNCTION("""COMPUTED_VALUE"""),"FALSO")</f>
        <v>FALSO</v>
      </c>
    </row>
    <row r="3066">
      <c r="B3066" s="186" t="str">
        <f>IFERROR(__xludf.DUMMYFUNCTION("""COMPUTED_VALUE"""),"PI4992Y")</f>
        <v>PI4992Y</v>
      </c>
      <c r="C3066" s="186" t="str">
        <f>IFERROR(__xludf.DUMMYFUNCTION("""COMPUTED_VALUE"""),"AGENDA 2022 TUDO PASSA")</f>
        <v>AGENDA 2022 TUDO PASSA</v>
      </c>
      <c r="D3066" s="186" t="str">
        <f>IFERROR(__xludf.DUMMYFUNCTION("""COMPUTED_VALUE"""),"FALSO")</f>
        <v>FALSO</v>
      </c>
    </row>
    <row r="3067">
      <c r="B3067" s="186" t="str">
        <f>IFERROR(__xludf.DUMMYFUNCTION("""COMPUTED_VALUE"""),"PI4915Y")</f>
        <v>PI4915Y</v>
      </c>
      <c r="C3067" s="186" t="str">
        <f>IFERROR(__xludf.DUMMYFUNCTION("""COMPUTED_VALUE"""),"PLANNER 2022 FRIENDS IMAS")</f>
        <v>PLANNER 2022 FRIENDS IMAS</v>
      </c>
      <c r="D3067" s="186" t="str">
        <f>IFERROR(__xludf.DUMMYFUNCTION("""COMPUTED_VALUE"""),"FALSO")</f>
        <v>FALSO</v>
      </c>
    </row>
    <row r="3068">
      <c r="B3068" s="186" t="str">
        <f>IFERROR(__xludf.DUMMYFUNCTION("""COMPUTED_VALUE"""),"PI4942Y")</f>
        <v>PI4942Y</v>
      </c>
      <c r="C3068" s="186" t="str">
        <f>IFERROR(__xludf.DUMMYFUNCTION("""COMPUTED_VALUE"""),"PLANNER 2022 HP RELIQUIAS")</f>
        <v>PLANNER 2022 HP RELIQUIAS</v>
      </c>
      <c r="D3068" s="186" t="str">
        <f>IFERROR(__xludf.DUMMYFUNCTION("""COMPUTED_VALUE"""),"FALSO")</f>
        <v>FALSO</v>
      </c>
    </row>
    <row r="3069">
      <c r="B3069" s="186" t="str">
        <f>IFERROR(__xludf.DUMMYFUNCTION("""COMPUTED_VALUE"""),"PI5402Y")</f>
        <v>PI5402Y</v>
      </c>
      <c r="C3069" s="186" t="str">
        <f>IFERROR(__xludf.DUMMYFUNCTION("""COMPUTED_VALUE"""),"AGENDA 2023 PLASTICO BOLHA")</f>
        <v>AGENDA 2023 PLASTICO BOLHA</v>
      </c>
      <c r="D3069" s="186" t="str">
        <f>IFERROR(__xludf.DUMMYFUNCTION("""COMPUTED_VALUE"""),"FALSO")</f>
        <v>FALSO</v>
      </c>
    </row>
    <row r="3070">
      <c r="B3070" s="186" t="str">
        <f>IFERROR(__xludf.DUMMYFUNCTION("""COMPUTED_VALUE"""),"PI5403Y")</f>
        <v>PI5403Y</v>
      </c>
      <c r="C3070" s="186" t="str">
        <f>IFERROR(__xludf.DUMMYFUNCTION("""COMPUTED_VALUE"""),"AGENDA 2023 DEIXA FLUIR")</f>
        <v>AGENDA 2023 DEIXA FLUIR</v>
      </c>
      <c r="D3070" s="186" t="str">
        <f>IFERROR(__xludf.DUMMYFUNCTION("""COMPUTED_VALUE"""),"FALSO")</f>
        <v>FALSO</v>
      </c>
    </row>
    <row r="3071">
      <c r="B3071" s="186" t="str">
        <f>IFERROR(__xludf.DUMMYFUNCTION("""COMPUTED_VALUE"""),"PI5435Y")</f>
        <v>PI5435Y</v>
      </c>
      <c r="C3071" s="186" t="str">
        <f>IFERROR(__xludf.DUMMYFUNCTION("""COMPUTED_VALUE"""),"PLANNER UM GRANDE PLANO")</f>
        <v>PLANNER UM GRANDE PLANO</v>
      </c>
      <c r="D3071" s="186" t="str">
        <f>IFERROR(__xludf.DUMMYFUNCTION("""COMPUTED_VALUE"""),"FALSO")</f>
        <v>FALSO</v>
      </c>
    </row>
    <row r="3072">
      <c r="B3072" s="186" t="str">
        <f>IFERROR(__xludf.DUMMYFUNCTION("""COMPUTED_VALUE"""),"PI6152Y")</f>
        <v>PI6152Y</v>
      </c>
      <c r="C3072" s="186" t="str">
        <f>IFERROR(__xludf.DUMMYFUNCTION("""COMPUTED_VALUE"""),"PLANNER FUN RABISCOS")</f>
        <v>PLANNER FUN RABISCOS</v>
      </c>
      <c r="D3072" s="186" t="str">
        <f>IFERROR(__xludf.DUMMYFUNCTION("""COMPUTED_VALUE"""),"FALSO")</f>
        <v>FALSO</v>
      </c>
    </row>
    <row r="3073">
      <c r="B3073" s="186" t="str">
        <f>IFERROR(__xludf.DUMMYFUNCTION("""COMPUTED_VALUE"""),"PI7040Y")</f>
        <v>PI7040Y</v>
      </c>
      <c r="C3073" s="186" t="str">
        <f>IFERROR(__xludf.DUMMYFUNCTION("""COMPUTED_VALUE"""),"PLANNER FUN PLANOS SECRETOS")</f>
        <v>PLANNER FUN PLANOS SECRETOS</v>
      </c>
      <c r="D3073" s="186" t="str">
        <f>IFERROR(__xludf.DUMMYFUNCTION("""COMPUTED_VALUE"""),"FALSO")</f>
        <v>FALSO</v>
      </c>
    </row>
    <row r="3074">
      <c r="B3074" s="186" t="str">
        <f>IFERROR(__xludf.DUMMYFUNCTION("""COMPUTED_VALUE"""),"PI5436Y")</f>
        <v>PI5436Y</v>
      </c>
      <c r="C3074" s="186" t="str">
        <f>IFERROR(__xludf.DUMMYFUNCTION("""COMPUTED_VALUE"""),"PLANNER HOLOGRAFICO FLOR")</f>
        <v>PLANNER HOLOGRAFICO FLOR</v>
      </c>
      <c r="D3074" s="186" t="str">
        <f>IFERROR(__xludf.DUMMYFUNCTION("""COMPUTED_VALUE"""),"FALSO")</f>
        <v>FALSO</v>
      </c>
    </row>
    <row r="3075">
      <c r="B3075" s="186" t="str">
        <f>IFERROR(__xludf.DUMMYFUNCTION("""COMPUTED_VALUE"""),"PI6829Y")</f>
        <v>PI6829Y</v>
      </c>
      <c r="C3075" s="186" t="str">
        <f>IFERROR(__xludf.DUMMYFUNCTION("""COMPUTED_VALUE"""),"PLANNER HP ALOHOMORA")</f>
        <v>PLANNER HP ALOHOMORA</v>
      </c>
      <c r="D3075" s="186" t="str">
        <f>IFERROR(__xludf.DUMMYFUNCTION("""COMPUTED_VALUE"""),"FALSO")</f>
        <v>FALSO</v>
      </c>
    </row>
    <row r="3076">
      <c r="B3076" s="186" t="str">
        <f>IFERROR(__xludf.DUMMYFUNCTION("""COMPUTED_VALUE"""),"PI6150Y")</f>
        <v>PI6150Y</v>
      </c>
      <c r="C3076" s="186" t="str">
        <f>IFERROR(__xludf.DUMMYFUNCTION("""COMPUTED_VALUE"""),"PLANNER HP BECO DIAGONAL")</f>
        <v>PLANNER HP BECO DIAGONAL</v>
      </c>
      <c r="D3076" s="186" t="str">
        <f>IFERROR(__xludf.DUMMYFUNCTION("""COMPUTED_VALUE"""),"FALSO")</f>
        <v>FALSO</v>
      </c>
    </row>
    <row r="3077">
      <c r="B3077" s="186" t="str">
        <f>IFERROR(__xludf.DUMMYFUNCTION("""COMPUTED_VALUE"""),"PI4951Y")</f>
        <v>PI4951Y</v>
      </c>
      <c r="C3077" s="186" t="str">
        <f>IFERROR(__xludf.DUMMYFUNCTION("""COMPUTED_VALUE"""),"PLANNER HP HONEYDUKES")</f>
        <v>PLANNER HP HONEYDUKES</v>
      </c>
      <c r="D3077" s="186" t="str">
        <f>IFERROR(__xludf.DUMMYFUNCTION("""COMPUTED_VALUE"""),"FALSO")</f>
        <v>FALSO</v>
      </c>
    </row>
    <row r="3078">
      <c r="B3078" s="186" t="str">
        <f>IFERROR(__xludf.DUMMYFUNCTION("""COMPUTED_VALUE"""),"PI5423Y")</f>
        <v>PI5423Y</v>
      </c>
      <c r="C3078" s="186" t="str">
        <f>IFERROR(__xludf.DUMMYFUNCTION("""COMPUTED_VALUE"""),"PLANNER HP VIRA TEMPO")</f>
        <v>PLANNER HP VIRA TEMPO</v>
      </c>
      <c r="D3078" s="186" t="str">
        <f>IFERROR(__xludf.DUMMYFUNCTION("""COMPUTED_VALUE"""),"FALSO")</f>
        <v>FALSO</v>
      </c>
    </row>
    <row r="3079">
      <c r="B3079" s="186" t="str">
        <f>IFERROR(__xludf.DUMMYFUNCTION("""COMPUTED_VALUE"""),"PI7073Y")</f>
        <v>PI7073Y</v>
      </c>
      <c r="C3079" s="186" t="str">
        <f>IFERROR(__xludf.DUMMYFUNCTION("""COMPUTED_VALUE"""),"PLANNER ESTAMPA BEIJA FLOR")</f>
        <v>PLANNER ESTAMPA BEIJA FLOR</v>
      </c>
      <c r="D3079" s="186" t="str">
        <f>IFERROR(__xludf.DUMMYFUNCTION("""COMPUTED_VALUE"""),"FALSO")</f>
        <v>FALSO</v>
      </c>
    </row>
    <row r="3080">
      <c r="B3080" s="186" t="str">
        <f>IFERROR(__xludf.DUMMYFUNCTION("""COMPUTED_VALUE"""),"PI5406Y")</f>
        <v>PI5406Y</v>
      </c>
      <c r="C3080" s="186" t="str">
        <f>IFERROR(__xludf.DUMMYFUNCTION("""COMPUTED_VALUE"""),"PLANNER EM CASO DE REUNIOES")</f>
        <v>PLANNER EM CASO DE REUNIOES</v>
      </c>
      <c r="D3080" s="186" t="str">
        <f>IFERROR(__xludf.DUMMYFUNCTION("""COMPUTED_VALUE"""),"FALSO")</f>
        <v>FALSO</v>
      </c>
    </row>
    <row r="3081">
      <c r="B3081" s="186" t="str">
        <f>IFERROR(__xludf.DUMMYFUNCTION("""COMPUTED_VALUE"""),"PI5434Y")</f>
        <v>PI5434Y</v>
      </c>
      <c r="C3081" s="186" t="str">
        <f>IFERROR(__xludf.DUMMYFUNCTION("""COMPUTED_VALUE"""),"PLANNER ERA SO O QUE ME FALTAVA")</f>
        <v>PLANNER ERA SO O QUE ME FALTAVA</v>
      </c>
      <c r="D3081" s="186" t="str">
        <f>IFERROR(__xludf.DUMMYFUNCTION("""COMPUTED_VALUE"""),"FALSO")</f>
        <v>FALSO</v>
      </c>
    </row>
    <row r="3082">
      <c r="B3082" s="186" t="str">
        <f>IFERROR(__xludf.DUMMYFUNCTION("""COMPUTED_VALUE"""),"PI6154Y")</f>
        <v>PI6154Y</v>
      </c>
      <c r="C3082" s="186" t="str">
        <f>IFERROR(__xludf.DUMMYFUNCTION("""COMPUTED_VALUE"""),"PLANNER UM NOVO COMEÇO")</f>
        <v>PLANNER UM NOVO COMEÇO</v>
      </c>
      <c r="D3082" s="186" t="str">
        <f>IFERROR(__xludf.DUMMYFUNCTION("""COMPUTED_VALUE"""),"FALSO")</f>
        <v>FALSO</v>
      </c>
    </row>
    <row r="3083">
      <c r="B3083" s="186" t="str">
        <f>IFERROR(__xludf.DUMMYFUNCTION("""COMPUTED_VALUE"""),"PI5416Y")</f>
        <v>PI5416Y</v>
      </c>
      <c r="C3083" s="186" t="str">
        <f>IFERROR(__xludf.DUMMYFUNCTION("""COMPUTED_VALUE"""),"PLANNER ESTAMPA DEIXA FLUIR")</f>
        <v>PLANNER ESTAMPA DEIXA FLUIR</v>
      </c>
      <c r="D3083" s="186" t="str">
        <f>IFERROR(__xludf.DUMMYFUNCTION("""COMPUTED_VALUE"""),"FALSO")</f>
        <v>FALSO</v>
      </c>
    </row>
    <row r="3084">
      <c r="B3084" s="186" t="str">
        <f>IFERROR(__xludf.DUMMYFUNCTION("""COMPUTED_VALUE"""),"PI4977Y")</f>
        <v>PI4977Y</v>
      </c>
      <c r="C3084" s="186" t="str">
        <f>IFERROR(__xludf.DUMMYFUNCTION("""COMPUTED_VALUE"""),"PLANNER FICHARIO PEGA LEVE")</f>
        <v>PLANNER FICHARIO PEGA LEVE</v>
      </c>
      <c r="D3084" s="186" t="str">
        <f>IFERROR(__xludf.DUMMYFUNCTION("""COMPUTED_VALUE"""),"FALSO")</f>
        <v>FALSO</v>
      </c>
    </row>
    <row r="3085">
      <c r="B3085" s="186" t="str">
        <f>IFERROR(__xludf.DUMMYFUNCTION("""COMPUTED_VALUE"""),"PI6153Y")</f>
        <v>PI6153Y</v>
      </c>
      <c r="C3085" s="186" t="str">
        <f>IFERROR(__xludf.DUMMYFUNCTION("""COMPUTED_VALUE"""),"PLANNER O COMECO DE ALGO NOVO")</f>
        <v>PLANNER O COMECO DE ALGO NOVO</v>
      </c>
      <c r="D3085" s="186" t="str">
        <f>IFERROR(__xludf.DUMMYFUNCTION("""COMPUTED_VALUE"""),"FALSO")</f>
        <v>FALSO</v>
      </c>
    </row>
    <row r="3086">
      <c r="B3086" s="186" t="str">
        <f>IFERROR(__xludf.DUMMYFUNCTION("""COMPUTED_VALUE"""),"PI7121Y")</f>
        <v>PI7121Y</v>
      </c>
      <c r="C3086" s="186" t="str">
        <f>IFERROR(__xludf.DUMMYFUNCTION("""COMPUTED_VALUE"""),"PLANNER ESSE E O MEU ANO")</f>
        <v>PLANNER ESSE E O MEU ANO</v>
      </c>
      <c r="D3086" s="186" t="str">
        <f>IFERROR(__xludf.DUMMYFUNCTION("""COMPUTED_VALUE"""),"FALSO")</f>
        <v>FALSO</v>
      </c>
    </row>
    <row r="3087">
      <c r="B3087" s="186" t="str">
        <f>IFERROR(__xludf.DUMMYFUNCTION("""COMPUTED_VALUE"""),"PI5405Y")</f>
        <v>PI5405Y</v>
      </c>
      <c r="C3087" s="186" t="str">
        <f>IFERROR(__xludf.DUMMYFUNCTION("""COMPUTED_VALUE"""),"PLANNER DE DISCOS GLITTER Y2K")</f>
        <v>PLANNER DE DISCOS GLITTER Y2K</v>
      </c>
      <c r="D3087" s="186" t="str">
        <f>IFERROR(__xludf.DUMMYFUNCTION("""COMPUTED_VALUE"""),"FALSO")</f>
        <v>FALSO</v>
      </c>
    </row>
    <row r="3088">
      <c r="B3088" s="186" t="str">
        <f>IFERROR(__xludf.DUMMYFUNCTION("""COMPUTED_VALUE"""),"PI4954Y")</f>
        <v>PI4954Y</v>
      </c>
      <c r="C3088" s="186" t="str">
        <f>IFERROR(__xludf.DUMMYFUNCTION("""COMPUTED_VALUE"""),"PLANNER DE DISCOS AGORA VAI")</f>
        <v>PLANNER DE DISCOS AGORA VAI</v>
      </c>
      <c r="D3088" s="186" t="str">
        <f>IFERROR(__xludf.DUMMYFUNCTION("""COMPUTED_VALUE"""),"FALSO")</f>
        <v>FALSO</v>
      </c>
    </row>
    <row r="3089">
      <c r="B3089" s="186" t="str">
        <f>IFERROR(__xludf.DUMMYFUNCTION("""COMPUTED_VALUE"""),"PI7023Y")</f>
        <v>PI7023Y</v>
      </c>
      <c r="C3089" s="186" t="str">
        <f>IFERROR(__xludf.DUMMYFUNCTION("""COMPUTED_VALUE"""),"PLANNER ESCRITO NAS ESTRELAS")</f>
        <v>PLANNER ESCRITO NAS ESTRELAS</v>
      </c>
      <c r="D3089" s="186" t="str">
        <f>IFERROR(__xludf.DUMMYFUNCTION("""COMPUTED_VALUE"""),"FALSO")</f>
        <v>FALSO</v>
      </c>
    </row>
    <row r="3090">
      <c r="B3090" s="186" t="str">
        <f>IFERROR(__xludf.DUMMYFUNCTION("""COMPUTED_VALUE"""),"PI5159Y")</f>
        <v>PI5159Y</v>
      </c>
      <c r="C3090" s="186" t="str">
        <f>IFERROR(__xludf.DUMMYFUNCTION("""COMPUTED_VALUE"""),"REGADOR SPRAY PARA PLANTA PINGOS NOS IS")</f>
        <v>REGADOR SPRAY PARA PLANTA PINGOS NOS IS</v>
      </c>
      <c r="D3090" s="186" t="str">
        <f>IFERROR(__xludf.DUMMYFUNCTION("""COMPUTED_VALUE"""),"FALSO")</f>
        <v>FALSO</v>
      </c>
    </row>
    <row r="3091">
      <c r="B3091" s="186" t="str">
        <f>IFERROR(__xludf.DUMMYFUNCTION("""COMPUTED_VALUE"""),"PI7246Y")</f>
        <v>PI7246Y</v>
      </c>
      <c r="C3091" s="186" t="str">
        <f>IFERROR(__xludf.DUMMYFUNCTION("""COMPUTED_VALUE"""),"GARRAFA PLASTICA COM ALCA SAURINHO")</f>
        <v>GARRAFA PLASTICA COM ALCA SAURINHO</v>
      </c>
      <c r="D3091" s="186" t="str">
        <f>IFERROR(__xludf.DUMMYFUNCTION("""COMPUTED_VALUE"""),"FALSO")</f>
        <v>FALSO</v>
      </c>
    </row>
    <row r="3092">
      <c r="B3092" s="186" t="str">
        <f>IFERROR(__xludf.DUMMYFUNCTION("""COMPUTED_VALUE"""),"PI7245Y")</f>
        <v>PI7245Y</v>
      </c>
      <c r="C3092" s="186" t="str">
        <f>IFERROR(__xludf.DUMMYFUNCTION("""COMPUTED_VALUE"""),"GARRAFA PLASTICA COM ALCA TUBA")</f>
        <v>GARRAFA PLASTICA COM ALCA TUBA</v>
      </c>
      <c r="D3092" s="186" t="str">
        <f>IFERROR(__xludf.DUMMYFUNCTION("""COMPUTED_VALUE"""),"FALSO")</f>
        <v>FALSO</v>
      </c>
    </row>
    <row r="3093">
      <c r="B3093" s="186" t="str">
        <f>IFERROR(__xludf.DUMMYFUNCTION("""COMPUTED_VALUE"""),"PI7242Y")</f>
        <v>PI7242Y</v>
      </c>
      <c r="C3093" s="186" t="str">
        <f>IFERROR(__xludf.DUMMYFUNCTION("""COMPUTED_VALUE"""),"GARRAFA PLASTICA COM ALCA BORIS")</f>
        <v>GARRAFA PLASTICA COM ALCA BORIS</v>
      </c>
      <c r="D3093" s="186" t="str">
        <f>IFERROR(__xludf.DUMMYFUNCTION("""COMPUTED_VALUE"""),"FALSO")</f>
        <v>FALSO</v>
      </c>
    </row>
    <row r="3094">
      <c r="B3094" s="186" t="str">
        <f>IFERROR(__xludf.DUMMYFUNCTION("""COMPUTED_VALUE"""),"PI7241Y")</f>
        <v>PI7241Y</v>
      </c>
      <c r="C3094" s="186" t="str">
        <f>IFERROR(__xludf.DUMMYFUNCTION("""COMPUTED_VALUE"""),"GARRAFA PLASTICA COM ALCA CATITA")</f>
        <v>GARRAFA PLASTICA COM ALCA CATITA</v>
      </c>
      <c r="D3094" s="186" t="str">
        <f>IFERROR(__xludf.DUMMYFUNCTION("""COMPUTED_VALUE"""),"FALSO")</f>
        <v>FALSO</v>
      </c>
    </row>
    <row r="3095">
      <c r="B3095" s="186" t="str">
        <f>IFERROR(__xludf.DUMMYFUNCTION("""COMPUTED_VALUE"""),"PI7244Y")</f>
        <v>PI7244Y</v>
      </c>
      <c r="C3095" s="186" t="str">
        <f>IFERROR(__xludf.DUMMYFUNCTION("""COMPUTED_VALUE"""),"GARRAFA PLASTICA COM ALCA MELINHA")</f>
        <v>GARRAFA PLASTICA COM ALCA MELINHA</v>
      </c>
      <c r="D3095" s="186" t="str">
        <f>IFERROR(__xludf.DUMMYFUNCTION("""COMPUTED_VALUE"""),"FALSO")</f>
        <v>FALSO</v>
      </c>
    </row>
    <row r="3096">
      <c r="B3096" s="186" t="str">
        <f>IFERROR(__xludf.DUMMYFUNCTION("""COMPUTED_VALUE"""),"PI7243Y")</f>
        <v>PI7243Y</v>
      </c>
      <c r="C3096" s="186" t="str">
        <f>IFERROR(__xludf.DUMMYFUNCTION("""COMPUTED_VALUE"""),"GARRAFA PLASTICA COM ALCA UNICORNIO")</f>
        <v>GARRAFA PLASTICA COM ALCA UNICORNIO</v>
      </c>
      <c r="D3096" s="186" t="str">
        <f>IFERROR(__xludf.DUMMYFUNCTION("""COMPUTED_VALUE"""),"FALSO")</f>
        <v>FALSO</v>
      </c>
    </row>
    <row r="3097">
      <c r="B3097" s="186" t="str">
        <f>IFERROR(__xludf.DUMMYFUNCTION("""COMPUTED_VALUE"""),"PI5915Y")</f>
        <v>PI5915Y</v>
      </c>
      <c r="C3097" s="186" t="str">
        <f>IFERROR(__xludf.DUMMYFUNCTION("""COMPUTED_VALUE"""),"PELUCIA ALIEN G")</f>
        <v>PELUCIA ALIEN G</v>
      </c>
      <c r="D3097" s="186" t="str">
        <f>IFERROR(__xludf.DUMMYFUNCTION("""COMPUTED_VALUE"""),"INMETRO Toys System 5 - Ordinance 302")</f>
        <v>INMETRO Toys System 5 - Ordinance 302</v>
      </c>
    </row>
    <row r="3098">
      <c r="B3098" s="186" t="str">
        <f>IFERROR(__xludf.DUMMYFUNCTION("""COMPUTED_VALUE"""),"PI5916Y")</f>
        <v>PI5916Y</v>
      </c>
      <c r="C3098" s="186" t="str">
        <f>IFERROR(__xludf.DUMMYFUNCTION("""COMPUTED_VALUE"""),"PELUCIA ALIEN P")</f>
        <v>PELUCIA ALIEN P</v>
      </c>
      <c r="D3098" s="186" t="str">
        <f>IFERROR(__xludf.DUMMYFUNCTION("""COMPUTED_VALUE"""),"INMETRO Toys System 5 - Ordinance 302")</f>
        <v>INMETRO Toys System 5 - Ordinance 302</v>
      </c>
    </row>
    <row r="3099">
      <c r="B3099" s="186" t="str">
        <f>IFERROR(__xludf.DUMMYFUNCTION("""COMPUTED_VALUE"""),"PI5972Y")</f>
        <v>PI5972Y</v>
      </c>
      <c r="C3099" s="186" t="str">
        <f>IFERROR(__xludf.DUMMYFUNCTION("""COMPUTED_VALUE"""),"PELUCIA BISNAGA G")</f>
        <v>PELUCIA BISNAGA G</v>
      </c>
      <c r="D3099" s="186" t="str">
        <f>IFERROR(__xludf.DUMMYFUNCTION("""COMPUTED_VALUE"""),"INMETRO Toys System 5 - Ordinance 302")</f>
        <v>INMETRO Toys System 5 - Ordinance 302</v>
      </c>
    </row>
    <row r="3100">
      <c r="B3100" s="186" t="str">
        <f>IFERROR(__xludf.DUMMYFUNCTION("""COMPUTED_VALUE"""),"PI5972Y")</f>
        <v>PI5972Y</v>
      </c>
      <c r="C3100" s="186" t="str">
        <f>IFERROR(__xludf.DUMMYFUNCTION("""COMPUTED_VALUE"""),"PELUCIA BISNAGA G")</f>
        <v>PELUCIA BISNAGA G</v>
      </c>
      <c r="D3100" s="186" t="str">
        <f>IFERROR(__xludf.DUMMYFUNCTION("""COMPUTED_VALUE"""),"INMETRO Toys System 5 - Ordinance 302")</f>
        <v>INMETRO Toys System 5 - Ordinance 302</v>
      </c>
    </row>
    <row r="3101">
      <c r="B3101" s="186" t="str">
        <f>IFERROR(__xludf.DUMMYFUNCTION("""COMPUTED_VALUE"""),"PI5978Y")</f>
        <v>PI5978Y</v>
      </c>
      <c r="C3101" s="186" t="str">
        <f>IFERROR(__xludf.DUMMYFUNCTION("""COMPUTED_VALUE"""),"PELUCIA BISNAGA P")</f>
        <v>PELUCIA BISNAGA P</v>
      </c>
      <c r="D3101" s="186" t="str">
        <f>IFERROR(__xludf.DUMMYFUNCTION("""COMPUTED_VALUE"""),"INMETRO Toys System 5 - Ordinance 302")</f>
        <v>INMETRO Toys System 5 - Ordinance 302</v>
      </c>
    </row>
    <row r="3102">
      <c r="B3102" s="186" t="str">
        <f>IFERROR(__xludf.DUMMYFUNCTION("""COMPUTED_VALUE"""),"PI5978Y")</f>
        <v>PI5978Y</v>
      </c>
      <c r="C3102" s="186" t="str">
        <f>IFERROR(__xludf.DUMMYFUNCTION("""COMPUTED_VALUE"""),"PELUCIA BISNAGA P")</f>
        <v>PELUCIA BISNAGA P</v>
      </c>
      <c r="D3102" s="186" t="str">
        <f>IFERROR(__xludf.DUMMYFUNCTION("""COMPUTED_VALUE"""),"INMETRO Toys System 5 - Ordinance 302")</f>
        <v>INMETRO Toys System 5 - Ordinance 302</v>
      </c>
    </row>
    <row r="3103">
      <c r="B3103" s="186" t="str">
        <f>IFERROR(__xludf.DUMMYFUNCTION("""COMPUTED_VALUE"""),"PI6376Y")</f>
        <v>PI6376Y</v>
      </c>
      <c r="C3103" s="186" t="str">
        <f>IFERROR(__xludf.DUMMYFUNCTION("""COMPUTED_VALUE"""),"PELUCIA BORIS ASTRONAUTA G")</f>
        <v>PELUCIA BORIS ASTRONAUTA G</v>
      </c>
      <c r="D3103" s="186" t="str">
        <f>IFERROR(__xludf.DUMMYFUNCTION("""COMPUTED_VALUE"""),"INMETRO Toys System 5 - Ordinance 302")</f>
        <v>INMETRO Toys System 5 - Ordinance 302</v>
      </c>
    </row>
    <row r="3104">
      <c r="B3104" s="186" t="str">
        <f>IFERROR(__xludf.DUMMYFUNCTION("""COMPUTED_VALUE"""),"PI6373Y")</f>
        <v>PI6373Y</v>
      </c>
      <c r="C3104" s="186" t="str">
        <f>IFERROR(__xludf.DUMMYFUNCTION("""COMPUTED_VALUE"""),"PELUCIA BORIS ASTRONAUTA P")</f>
        <v>PELUCIA BORIS ASTRONAUTA P</v>
      </c>
      <c r="D3104" s="186" t="str">
        <f>IFERROR(__xludf.DUMMYFUNCTION("""COMPUTED_VALUE"""),"INMETRO Toys System 5 - Ordinance 302")</f>
        <v>INMETRO Toys System 5 - Ordinance 302</v>
      </c>
    </row>
    <row r="3105">
      <c r="B3105" s="186" t="str">
        <f>IFERROR(__xludf.DUMMYFUNCTION("""COMPUTED_VALUE"""),"PI6555Y")</f>
        <v>PI6555Y</v>
      </c>
      <c r="C3105" s="186" t="str">
        <f>IFERROR(__xludf.DUMMYFUNCTION("""COMPUTED_VALUE"""),"PELUCIA BORIS GG")</f>
        <v>PELUCIA BORIS GG</v>
      </c>
      <c r="D3105" s="186" t="str">
        <f>IFERROR(__xludf.DUMMYFUNCTION("""COMPUTED_VALUE"""),"INMETRO Toys System 5 - Ordinance 563 (Factory)")</f>
        <v>INMETRO Toys System 5 - Ordinance 563 (Factory)</v>
      </c>
    </row>
    <row r="3106">
      <c r="B3106" s="186" t="str">
        <f>IFERROR(__xludf.DUMMYFUNCTION("""COMPUTED_VALUE"""),"PI5968Y")</f>
        <v>PI5968Y</v>
      </c>
      <c r="C3106" s="186" t="str">
        <f>IFERROR(__xludf.DUMMYFUNCTION("""COMPUTED_VALUE"""),"PELUCIA BORIS G")</f>
        <v>PELUCIA BORIS G</v>
      </c>
      <c r="D3106" s="186" t="str">
        <f>IFERROR(__xludf.DUMMYFUNCTION("""COMPUTED_VALUE"""),"INMETRO Toys System 5 - Ordinance 302")</f>
        <v>INMETRO Toys System 5 - Ordinance 302</v>
      </c>
    </row>
    <row r="3107">
      <c r="B3107" s="186" t="str">
        <f>IFERROR(__xludf.DUMMYFUNCTION("""COMPUTED_VALUE"""),"PI5968Y")</f>
        <v>PI5968Y</v>
      </c>
      <c r="C3107" s="186" t="str">
        <f>IFERROR(__xludf.DUMMYFUNCTION("""COMPUTED_VALUE"""),"PELUCIA BORIS G")</f>
        <v>PELUCIA BORIS G</v>
      </c>
      <c r="D3107" s="186" t="str">
        <f>IFERROR(__xludf.DUMMYFUNCTION("""COMPUTED_VALUE"""),"INMETRO Toys System 5 - Ordinance 302")</f>
        <v>INMETRO Toys System 5 - Ordinance 302</v>
      </c>
    </row>
    <row r="3108">
      <c r="B3108" s="186" t="str">
        <f>IFERROR(__xludf.DUMMYFUNCTION("""COMPUTED_VALUE"""),"PI5968Y")</f>
        <v>PI5968Y</v>
      </c>
      <c r="C3108" s="186" t="str">
        <f>IFERROR(__xludf.DUMMYFUNCTION("""COMPUTED_VALUE"""),"PELUCIA BORIS G")</f>
        <v>PELUCIA BORIS G</v>
      </c>
      <c r="D3108" s="186" t="str">
        <f>IFERROR(__xludf.DUMMYFUNCTION("""COMPUTED_VALUE"""),"INMETRO Toys System 5 - Ordinance 302")</f>
        <v>INMETRO Toys System 5 - Ordinance 302</v>
      </c>
    </row>
    <row r="3109">
      <c r="B3109" s="186" t="str">
        <f>IFERROR(__xludf.DUMMYFUNCTION("""COMPUTED_VALUE"""),"PI5975Y")</f>
        <v>PI5975Y</v>
      </c>
      <c r="C3109" s="186" t="str">
        <f>IFERROR(__xludf.DUMMYFUNCTION("""COMPUTED_VALUE"""),"PELUCIA BORIS P")</f>
        <v>PELUCIA BORIS P</v>
      </c>
      <c r="D3109" s="186" t="str">
        <f>IFERROR(__xludf.DUMMYFUNCTION("""COMPUTED_VALUE"""),"INMETRO Toys System 5 - Ordinance 302")</f>
        <v>INMETRO Toys System 5 - Ordinance 302</v>
      </c>
    </row>
    <row r="3110">
      <c r="B3110" s="186" t="str">
        <f>IFERROR(__xludf.DUMMYFUNCTION("""COMPUTED_VALUE"""),"PI5975Y")</f>
        <v>PI5975Y</v>
      </c>
      <c r="C3110" s="186" t="str">
        <f>IFERROR(__xludf.DUMMYFUNCTION("""COMPUTED_VALUE"""),"PELUCIA BORIS P")</f>
        <v>PELUCIA BORIS P</v>
      </c>
      <c r="D3110" s="186" t="str">
        <f>IFERROR(__xludf.DUMMYFUNCTION("""COMPUTED_VALUE"""),"INMETRO Toys System 5 - Ordinance 302")</f>
        <v>INMETRO Toys System 5 - Ordinance 302</v>
      </c>
    </row>
    <row r="3111">
      <c r="B3111" s="186" t="str">
        <f>IFERROR(__xludf.DUMMYFUNCTION("""COMPUTED_VALUE"""),"PI5973Y")</f>
        <v>PI5973Y</v>
      </c>
      <c r="C3111" s="186" t="str">
        <f>IFERROR(__xludf.DUMMYFUNCTION("""COMPUTED_VALUE"""),"PELUCIA BRINKS G")</f>
        <v>PELUCIA BRINKS G</v>
      </c>
      <c r="D3111" s="186" t="str">
        <f>IFERROR(__xludf.DUMMYFUNCTION("""COMPUTED_VALUE"""),"INMETRO Toys System 5 - Ordinance 302")</f>
        <v>INMETRO Toys System 5 - Ordinance 302</v>
      </c>
    </row>
    <row r="3112">
      <c r="B3112" s="186" t="str">
        <f>IFERROR(__xludf.DUMMYFUNCTION("""COMPUTED_VALUE"""),"PI5981Y")</f>
        <v>PI5981Y</v>
      </c>
      <c r="C3112" s="186" t="str">
        <f>IFERROR(__xludf.DUMMYFUNCTION("""COMPUTED_VALUE"""),"PELUCIA BRINKS P")</f>
        <v>PELUCIA BRINKS P</v>
      </c>
      <c r="D3112" s="186" t="str">
        <f>IFERROR(__xludf.DUMMYFUNCTION("""COMPUTED_VALUE"""),"INMETRO Toys System 5 - Ordinance 302")</f>
        <v>INMETRO Toys System 5 - Ordinance 302</v>
      </c>
    </row>
    <row r="3113">
      <c r="B3113" s="186" t="str">
        <f>IFERROR(__xludf.DUMMYFUNCTION("""COMPUTED_VALUE"""),"PI6556Y")</f>
        <v>PI6556Y</v>
      </c>
      <c r="C3113" s="186" t="str">
        <f>IFERROR(__xludf.DUMMYFUNCTION("""COMPUTED_VALUE"""),"PELUCIA CATITA GG")</f>
        <v>PELUCIA CATITA GG</v>
      </c>
      <c r="D3113" s="186" t="str">
        <f>IFERROR(__xludf.DUMMYFUNCTION("""COMPUTED_VALUE"""),"INMETRO Toys System 5 - Ordinance 563 (Factory)")</f>
        <v>INMETRO Toys System 5 - Ordinance 563 (Factory)</v>
      </c>
    </row>
    <row r="3114">
      <c r="B3114" s="186" t="str">
        <f>IFERROR(__xludf.DUMMYFUNCTION("""COMPUTED_VALUE"""),"PI6553Y")</f>
        <v>PI6553Y</v>
      </c>
      <c r="C3114" s="186" t="str">
        <f>IFERROR(__xludf.DUMMYFUNCTION("""COMPUTED_VALUE"""),"PELUCIA CATITA G")</f>
        <v>PELUCIA CATITA G</v>
      </c>
      <c r="D3114" s="186" t="str">
        <f>IFERROR(__xludf.DUMMYFUNCTION("""COMPUTED_VALUE"""),"INMETRO Toys System 5 - Ordinance 563 (Factory)")</f>
        <v>INMETRO Toys System 5 - Ordinance 563 (Factory)</v>
      </c>
    </row>
    <row r="3115">
      <c r="B3115" s="186" t="str">
        <f>IFERROR(__xludf.DUMMYFUNCTION("""COMPUTED_VALUE"""),"PI6553Y")</f>
        <v>PI6553Y</v>
      </c>
      <c r="C3115" s="186" t="str">
        <f>IFERROR(__xludf.DUMMYFUNCTION("""COMPUTED_VALUE"""),"PELUCIA CATITA G")</f>
        <v>PELUCIA CATITA G</v>
      </c>
      <c r="D3115" s="186" t="str">
        <f>IFERROR(__xludf.DUMMYFUNCTION("""COMPUTED_VALUE"""),"INMETRO Toys System 5 - Ordinance 302")</f>
        <v>INMETRO Toys System 5 - Ordinance 302</v>
      </c>
    </row>
    <row r="3116">
      <c r="B3116" s="186" t="str">
        <f>IFERROR(__xludf.DUMMYFUNCTION("""COMPUTED_VALUE"""),"PI6549Y")</f>
        <v>PI6549Y</v>
      </c>
      <c r="C3116" s="186" t="str">
        <f>IFERROR(__xludf.DUMMYFUNCTION("""COMPUTED_VALUE"""),"PELUCIA CATITA P")</f>
        <v>PELUCIA CATITA P</v>
      </c>
      <c r="D3116" s="186" t="str">
        <f>IFERROR(__xludf.DUMMYFUNCTION("""COMPUTED_VALUE"""),"INMETRO Toys System 5 - Ordinance 302")</f>
        <v>INMETRO Toys System 5 - Ordinance 302</v>
      </c>
    </row>
    <row r="3117">
      <c r="B3117" s="186" t="str">
        <f>IFERROR(__xludf.DUMMYFUNCTION("""COMPUTED_VALUE"""),"PI6549Y")</f>
        <v>PI6549Y</v>
      </c>
      <c r="C3117" s="186" t="str">
        <f>IFERROR(__xludf.DUMMYFUNCTION("""COMPUTED_VALUE"""),"PELUCIA CATITA P")</f>
        <v>PELUCIA CATITA P</v>
      </c>
      <c r="D3117" s="186" t="str">
        <f>IFERROR(__xludf.DUMMYFUNCTION("""COMPUTED_VALUE"""),"INMETRO Toys System 5 - Ordinance 563 (Factory)")</f>
        <v>INMETRO Toys System 5 - Ordinance 563 (Factory)</v>
      </c>
    </row>
    <row r="3118">
      <c r="B3118" s="186" t="str">
        <f>IFERROR(__xludf.DUMMYFUNCTION("""COMPUTED_VALUE"""),"PI6554Y")</f>
        <v>PI6554Y</v>
      </c>
      <c r="C3118" s="186" t="str">
        <f>IFERROR(__xludf.DUMMYFUNCTION("""COMPUTED_VALUE"""),"PELUCIA CHICO G")</f>
        <v>PELUCIA CHICO G</v>
      </c>
      <c r="D3118" s="186" t="str">
        <f>IFERROR(__xludf.DUMMYFUNCTION("""COMPUTED_VALUE"""),"INMETRO Toys System 5 - Ordinance 563 (Factory)")</f>
        <v>INMETRO Toys System 5 - Ordinance 563 (Factory)</v>
      </c>
    </row>
    <row r="3119">
      <c r="B3119" s="186" t="str">
        <f>IFERROR(__xludf.DUMMYFUNCTION("""COMPUTED_VALUE"""),"PI6550Y")</f>
        <v>PI6550Y</v>
      </c>
      <c r="C3119" s="186" t="str">
        <f>IFERROR(__xludf.DUMMYFUNCTION("""COMPUTED_VALUE"""),"PELUCIA CHICO P")</f>
        <v>PELUCIA CHICO P</v>
      </c>
      <c r="D3119" s="186" t="str">
        <f>IFERROR(__xludf.DUMMYFUNCTION("""COMPUTED_VALUE"""),"INMETRO Toys System 5 - Ordinance 563 (Factory)")</f>
        <v>INMETRO Toys System 5 - Ordinance 563 (Factory)</v>
      </c>
    </row>
    <row r="3120">
      <c r="B3120" s="186" t="str">
        <f>IFERROR(__xludf.DUMMYFUNCTION("""COMPUTED_VALUE"""),"PI5980Y")</f>
        <v>PI5980Y</v>
      </c>
      <c r="C3120" s="186" t="str">
        <f>IFERROR(__xludf.DUMMYFUNCTION("""COMPUTED_VALUE"""),"PELUCIA CHLOELHO G")</f>
        <v>PELUCIA CHLOELHO G</v>
      </c>
      <c r="D3120" s="186" t="str">
        <f>IFERROR(__xludf.DUMMYFUNCTION("""COMPUTED_VALUE"""),"INMETRO Toys System 5 - Ordinance 302")</f>
        <v>INMETRO Toys System 5 - Ordinance 302</v>
      </c>
    </row>
    <row r="3121">
      <c r="B3121" s="186" t="str">
        <f>IFERROR(__xludf.DUMMYFUNCTION("""COMPUTED_VALUE"""),"PI5983Y")</f>
        <v>PI5983Y</v>
      </c>
      <c r="C3121" s="186" t="str">
        <f>IFERROR(__xludf.DUMMYFUNCTION("""COMPUTED_VALUE"""),"PELUCIA CHLOELHO P")</f>
        <v>PELUCIA CHLOELHO P</v>
      </c>
      <c r="D3121" s="186" t="str">
        <f>IFERROR(__xludf.DUMMYFUNCTION("""COMPUTED_VALUE"""),"INMETRO Toys System 5 - Ordinance 302")</f>
        <v>INMETRO Toys System 5 - Ordinance 302</v>
      </c>
    </row>
    <row r="3122">
      <c r="B3122" s="186" t="str">
        <f>IFERROR(__xludf.DUMMYFUNCTION("""COMPUTED_VALUE"""),"PI5970Y")</f>
        <v>PI5970Y</v>
      </c>
      <c r="C3122" s="186" t="str">
        <f>IFERROR(__xludf.DUMMYFUNCTION("""COMPUTED_VALUE"""),"PELUCIA DOMINIQUE G")</f>
        <v>PELUCIA DOMINIQUE G</v>
      </c>
      <c r="D3122" s="186" t="str">
        <f>IFERROR(__xludf.DUMMYFUNCTION("""COMPUTED_VALUE"""),"INMETRO Toys System 5 - Ordinance 302")</f>
        <v>INMETRO Toys System 5 - Ordinance 302</v>
      </c>
    </row>
    <row r="3123">
      <c r="B3123" s="186" t="str">
        <f>IFERROR(__xludf.DUMMYFUNCTION("""COMPUTED_VALUE"""),"PI5977Y")</f>
        <v>PI5977Y</v>
      </c>
      <c r="C3123" s="186" t="str">
        <f>IFERROR(__xludf.DUMMYFUNCTION("""COMPUTED_VALUE"""),"PELUCIA DOMINIQUE P")</f>
        <v>PELUCIA DOMINIQUE P</v>
      </c>
      <c r="D3123" s="186" t="str">
        <f>IFERROR(__xludf.DUMMYFUNCTION("""COMPUTED_VALUE"""),"INMETRO Toys System 5 - Ordinance 302")</f>
        <v>INMETRO Toys System 5 - Ordinance 302</v>
      </c>
    </row>
    <row r="3124">
      <c r="B3124" s="186" t="str">
        <f>IFERROR(__xludf.DUMMYFUNCTION("""COMPUTED_VALUE"""),"PI6934Y")</f>
        <v>PI6934Y</v>
      </c>
      <c r="C3124" s="186" t="str">
        <f>IFERROR(__xludf.DUMMYFUNCTION("""COMPUTED_VALUE"""),"PELUCIA DORINHA G")</f>
        <v>PELUCIA DORINHA G</v>
      </c>
      <c r="D3124" s="186" t="str">
        <f>IFERROR(__xludf.DUMMYFUNCTION("""COMPUTED_VALUE"""),"INMETRO Toys System 5 - Ordinance 302")</f>
        <v>INMETRO Toys System 5 - Ordinance 302</v>
      </c>
    </row>
    <row r="3125">
      <c r="B3125" s="186" t="str">
        <f>IFERROR(__xludf.DUMMYFUNCTION("""COMPUTED_VALUE"""),"PI7376Y")</f>
        <v>PI7376Y</v>
      </c>
      <c r="C3125" s="186" t="str">
        <f>IFERROR(__xludf.DUMMYFUNCTION("""COMPUTED_VALUE"""),"PELUCIA DORINHA P")</f>
        <v>PELUCIA DORINHA P</v>
      </c>
      <c r="D3125" s="186" t="str">
        <f>IFERROR(__xludf.DUMMYFUNCTION("""COMPUTED_VALUE"""),"INMETRO Toys System 5 - Ordinance 302")</f>
        <v>INMETRO Toys System 5 - Ordinance 302</v>
      </c>
    </row>
    <row r="3126">
      <c r="B3126" s="186" t="str">
        <f>IFERROR(__xludf.DUMMYFUNCTION("""COMPUTED_VALUE"""),"PI6074Y")</f>
        <v>PI6074Y</v>
      </c>
      <c r="C3126" s="186" t="str">
        <f>IFERROR(__xludf.DUMMYFUNCTION("""COMPUTED_VALUE"""),"PELUCIA EDWIGES")</f>
        <v>PELUCIA EDWIGES</v>
      </c>
      <c r="D3126" s="186" t="str">
        <f>IFERROR(__xludf.DUMMYFUNCTION("""COMPUTED_VALUE"""),"INMETRO Toys System 5 - Ordinance 302")</f>
        <v>INMETRO Toys System 5 - Ordinance 302</v>
      </c>
    </row>
    <row r="3127">
      <c r="B3127" s="186" t="str">
        <f>IFERROR(__xludf.DUMMYFUNCTION("""COMPUTED_VALUE"""),"PI6074Y")</f>
        <v>PI6074Y</v>
      </c>
      <c r="C3127" s="186" t="str">
        <f>IFERROR(__xludf.DUMMYFUNCTION("""COMPUTED_VALUE"""),"PELUCIA EDWIGES")</f>
        <v>PELUCIA EDWIGES</v>
      </c>
      <c r="D3127" s="186" t="str">
        <f>IFERROR(__xludf.DUMMYFUNCTION("""COMPUTED_VALUE"""),"INMETRO Toys System 5 - Ordinance 302")</f>
        <v>INMETRO Toys System 5 - Ordinance 302</v>
      </c>
    </row>
    <row r="3128">
      <c r="B3128" s="186" t="str">
        <f>IFERROR(__xludf.DUMMYFUNCTION("""COMPUTED_VALUE"""),"PI6074Y")</f>
        <v>PI6074Y</v>
      </c>
      <c r="C3128" s="186" t="str">
        <f>IFERROR(__xludf.DUMMYFUNCTION("""COMPUTED_VALUE"""),"PELUCIA EDWIGES")</f>
        <v>PELUCIA EDWIGES</v>
      </c>
      <c r="D3128" s="186" t="str">
        <f>IFERROR(__xludf.DUMMYFUNCTION("""COMPUTED_VALUE"""),"INMETRO Toys System 5 - Ordinance 302")</f>
        <v>INMETRO Toys System 5 - Ordinance 302</v>
      </c>
    </row>
    <row r="3129">
      <c r="B3129" s="186" t="str">
        <f>IFERROR(__xludf.DUMMYFUNCTION("""COMPUTED_VALUE"""),"PI6074Y")</f>
        <v>PI6074Y</v>
      </c>
      <c r="C3129" s="186" t="str">
        <f>IFERROR(__xludf.DUMMYFUNCTION("""COMPUTED_VALUE"""),"PELUCIA EDWIGES")</f>
        <v>PELUCIA EDWIGES</v>
      </c>
      <c r="D3129" s="186" t="str">
        <f>IFERROR(__xludf.DUMMYFUNCTION("""COMPUTED_VALUE"""),"INMETRO Toys System 5 - Ordinance 302")</f>
        <v>INMETRO Toys System 5 - Ordinance 302</v>
      </c>
    </row>
    <row r="3130">
      <c r="B3130" s="186" t="str">
        <f>IFERROR(__xludf.DUMMYFUNCTION("""COMPUTED_VALUE"""),"PI5920Y")</f>
        <v>PI5920Y</v>
      </c>
      <c r="C3130" s="186" t="str">
        <f>IFERROR(__xludf.DUMMYFUNCTION("""COMPUTED_VALUE"""),"PELUCIA OVO FIT G")</f>
        <v>PELUCIA OVO FIT G</v>
      </c>
      <c r="D3130" s="186" t="str">
        <f>IFERROR(__xludf.DUMMYFUNCTION("""COMPUTED_VALUE"""),"INMETRO Toys System 5 - Ordinance 302")</f>
        <v>INMETRO Toys System 5 - Ordinance 302</v>
      </c>
    </row>
    <row r="3131">
      <c r="B3131" s="186" t="str">
        <f>IFERROR(__xludf.DUMMYFUNCTION("""COMPUTED_VALUE"""),"PI5921Y")</f>
        <v>PI5921Y</v>
      </c>
      <c r="C3131" s="186" t="str">
        <f>IFERROR(__xludf.DUMMYFUNCTION("""COMPUTED_VALUE"""),"PELUCIA OVO FIT P")</f>
        <v>PELUCIA OVO FIT P</v>
      </c>
      <c r="D3131" s="186" t="str">
        <f>IFERROR(__xludf.DUMMYFUNCTION("""COMPUTED_VALUE"""),"INMETRO Toys System 5 - Ordinance 302")</f>
        <v>INMETRO Toys System 5 - Ordinance 302</v>
      </c>
    </row>
    <row r="3132">
      <c r="B3132" s="186" t="str">
        <f>IFERROR(__xludf.DUMMYFUNCTION("""COMPUTED_VALUE"""),"PI6648Y")</f>
        <v>PI6648Y</v>
      </c>
      <c r="C3132" s="186" t="str">
        <f>IFERROR(__xludf.DUMMYFUNCTION("""COMPUTED_VALUE"""),"PELUCIA FELINDA G")</f>
        <v>PELUCIA FELINDA G</v>
      </c>
      <c r="D3132" s="186" t="str">
        <f>IFERROR(__xludf.DUMMYFUNCTION("""COMPUTED_VALUE"""),"INMETRO Toys System 5 - Ordinance 302")</f>
        <v>INMETRO Toys System 5 - Ordinance 302</v>
      </c>
    </row>
    <row r="3133">
      <c r="B3133" s="186" t="str">
        <f>IFERROR(__xludf.DUMMYFUNCTION("""COMPUTED_VALUE"""),"PI6647Y")</f>
        <v>PI6647Y</v>
      </c>
      <c r="C3133" s="186" t="str">
        <f>IFERROR(__xludf.DUMMYFUNCTION("""COMPUTED_VALUE"""),"PELUCIA FELINDA P")</f>
        <v>PELUCIA FELINDA P</v>
      </c>
      <c r="D3133" s="186" t="str">
        <f>IFERROR(__xludf.DUMMYFUNCTION("""COMPUTED_VALUE"""),"INMETRO Toys System 5 - Ordinance 302")</f>
        <v>INMETRO Toys System 5 - Ordinance 302</v>
      </c>
    </row>
    <row r="3134">
      <c r="B3134" s="186" t="str">
        <f>IFERROR(__xludf.DUMMYFUNCTION("""COMPUTED_VALUE"""),"PI7754Y")</f>
        <v>PI7754Y</v>
      </c>
      <c r="C3134" s="186" t="str">
        <f>IFERROR(__xludf.DUMMYFUNCTION("""COMPUTED_VALUE"""),"PANTUFA PELUCIA ABELHAS")</f>
        <v>PANTUFA PELUCIA ABELHAS</v>
      </c>
      <c r="D3134" s="186" t="str">
        <f>IFERROR(__xludf.DUMMYFUNCTION("""COMPUTED_VALUE"""),"FALSO")</f>
        <v>FALSO</v>
      </c>
    </row>
    <row r="3135">
      <c r="B3135" s="186" t="str">
        <f>IFERROR(__xludf.DUMMYFUNCTION("""COMPUTED_VALUE"""),"PI6377Y")</f>
        <v>PI6377Y</v>
      </c>
      <c r="C3135" s="186" t="str">
        <f>IFERROR(__xludf.DUMMYFUNCTION("""COMPUTED_VALUE"""),"PELUCIA FIFI FOFOQUINHA G")</f>
        <v>PELUCIA FIFI FOFOQUINHA G</v>
      </c>
      <c r="D3135" s="186" t="str">
        <f>IFERROR(__xludf.DUMMYFUNCTION("""COMPUTED_VALUE"""),"INMETRO Toys System 5 - Ordinance 302")</f>
        <v>INMETRO Toys System 5 - Ordinance 302</v>
      </c>
    </row>
    <row r="3136">
      <c r="B3136" s="186" t="str">
        <f>IFERROR(__xludf.DUMMYFUNCTION("""COMPUTED_VALUE"""),"PI6374Y")</f>
        <v>PI6374Y</v>
      </c>
      <c r="C3136" s="186" t="str">
        <f>IFERROR(__xludf.DUMMYFUNCTION("""COMPUTED_VALUE"""),"PELUCIA FIFI FOFOQUINHA P")</f>
        <v>PELUCIA FIFI FOFOQUINHA P</v>
      </c>
      <c r="D3136" s="186" t="str">
        <f>IFERROR(__xludf.DUMMYFUNCTION("""COMPUTED_VALUE"""),"INMETRO Toys System 5 - Ordinance 302")</f>
        <v>INMETRO Toys System 5 - Ordinance 302</v>
      </c>
    </row>
    <row r="3137">
      <c r="B3137" s="186" t="str">
        <f>IFERROR(__xludf.DUMMYFUNCTION("""COMPUTED_VALUE"""),"PI5974Y")</f>
        <v>PI5974Y</v>
      </c>
      <c r="C3137" s="186" t="str">
        <f>IFERROR(__xludf.DUMMYFUNCTION("""COMPUTED_VALUE"""),"PELUCIA GOKURURU G")</f>
        <v>PELUCIA GOKURURU G</v>
      </c>
      <c r="D3137" s="186" t="str">
        <f>IFERROR(__xludf.DUMMYFUNCTION("""COMPUTED_VALUE"""),"INMETRO Toys System 5 - Ordinance 302")</f>
        <v>INMETRO Toys System 5 - Ordinance 302</v>
      </c>
    </row>
    <row r="3138">
      <c r="B3138" s="186" t="str">
        <f>IFERROR(__xludf.DUMMYFUNCTION("""COMPUTED_VALUE"""),"PI5982Y")</f>
        <v>PI5982Y</v>
      </c>
      <c r="C3138" s="186" t="str">
        <f>IFERROR(__xludf.DUMMYFUNCTION("""COMPUTED_VALUE"""),"PELUCIA GOKURURU P")</f>
        <v>PELUCIA GOKURURU P</v>
      </c>
      <c r="D3138" s="186" t="str">
        <f>IFERROR(__xludf.DUMMYFUNCTION("""COMPUTED_VALUE"""),"INMETRO Toys System 5 - Ordinance 302")</f>
        <v>INMETRO Toys System 5 - Ordinance 302</v>
      </c>
    </row>
    <row r="3139">
      <c r="B3139" s="186" t="str">
        <f>IFERROR(__xludf.DUMMYFUNCTION("""COMPUTED_VALUE"""),"PI5969Y")</f>
        <v>PI5969Y</v>
      </c>
      <c r="C3139" s="186" t="str">
        <f>IFERROR(__xludf.DUMMYFUNCTION("""COMPUTED_VALUE"""),"PELUCIA GURUMELO G")</f>
        <v>PELUCIA GURUMELO G</v>
      </c>
      <c r="D3139" s="186" t="str">
        <f>IFERROR(__xludf.DUMMYFUNCTION("""COMPUTED_VALUE"""),"INMETRO Toys System 5 - Ordinance 302")</f>
        <v>INMETRO Toys System 5 - Ordinance 302</v>
      </c>
    </row>
    <row r="3140">
      <c r="B3140" s="186" t="str">
        <f>IFERROR(__xludf.DUMMYFUNCTION("""COMPUTED_VALUE"""),"PI5969Y")</f>
        <v>PI5969Y</v>
      </c>
      <c r="C3140" s="186" t="str">
        <f>IFERROR(__xludf.DUMMYFUNCTION("""COMPUTED_VALUE"""),"PELUCIA GURUMELO G")</f>
        <v>PELUCIA GURUMELO G</v>
      </c>
      <c r="D3140" s="186" t="str">
        <f>IFERROR(__xludf.DUMMYFUNCTION("""COMPUTED_VALUE"""),"INMETRO Toys System 5 - Ordinance 302")</f>
        <v>INMETRO Toys System 5 - Ordinance 302</v>
      </c>
    </row>
    <row r="3141">
      <c r="B3141" s="186" t="str">
        <f>IFERROR(__xludf.DUMMYFUNCTION("""COMPUTED_VALUE"""),"PI5969Y")</f>
        <v>PI5969Y</v>
      </c>
      <c r="C3141" s="186" t="str">
        <f>IFERROR(__xludf.DUMMYFUNCTION("""COMPUTED_VALUE"""),"PELUCIA GURUMELO G")</f>
        <v>PELUCIA GURUMELO G</v>
      </c>
      <c r="D3141" s="186" t="str">
        <f>IFERROR(__xludf.DUMMYFUNCTION("""COMPUTED_VALUE"""),"INMETRO Toys System 5 - Ordinance 302")</f>
        <v>INMETRO Toys System 5 - Ordinance 302</v>
      </c>
    </row>
    <row r="3142">
      <c r="B3142" s="186" t="str">
        <f>IFERROR(__xludf.DUMMYFUNCTION("""COMPUTED_VALUE"""),"PI5976Y")</f>
        <v>PI5976Y</v>
      </c>
      <c r="C3142" s="186" t="str">
        <f>IFERROR(__xludf.DUMMYFUNCTION("""COMPUTED_VALUE"""),"PELUCIA GURUMELO P")</f>
        <v>PELUCIA GURUMELO P</v>
      </c>
      <c r="D3142" s="186" t="str">
        <f>IFERROR(__xludf.DUMMYFUNCTION("""COMPUTED_VALUE"""),"INMETRO Toys System 5 - Ordinance 302")</f>
        <v>INMETRO Toys System 5 - Ordinance 302</v>
      </c>
    </row>
    <row r="3143">
      <c r="B3143" s="186" t="str">
        <f>IFERROR(__xludf.DUMMYFUNCTION("""COMPUTED_VALUE"""),"PI5976Y")</f>
        <v>PI5976Y</v>
      </c>
      <c r="C3143" s="186" t="str">
        <f>IFERROR(__xludf.DUMMYFUNCTION("""COMPUTED_VALUE"""),"PELUCIA GURUMELO P")</f>
        <v>PELUCIA GURUMELO P</v>
      </c>
      <c r="D3143" s="186" t="str">
        <f>IFERROR(__xludf.DUMMYFUNCTION("""COMPUTED_VALUE"""),"INMETRO Toys System 5 - Ordinance 302")</f>
        <v>INMETRO Toys System 5 - Ordinance 302</v>
      </c>
    </row>
    <row r="3144">
      <c r="B3144" s="186" t="str">
        <f>IFERROR(__xludf.DUMMYFUNCTION("""COMPUTED_VALUE"""),"PI6073Y")</f>
        <v>PI6073Y</v>
      </c>
      <c r="C3144" s="186" t="str">
        <f>IFERROR(__xludf.DUMMYFUNCTION("""COMPUTED_VALUE"""),"PELUCIA HARRY POTTER")</f>
        <v>PELUCIA HARRY POTTER</v>
      </c>
      <c r="D3144" s="186" t="str">
        <f>IFERROR(__xludf.DUMMYFUNCTION("""COMPUTED_VALUE"""),"INMETRO Toys System 5 - Ordinance 302")</f>
        <v>INMETRO Toys System 5 - Ordinance 302</v>
      </c>
    </row>
    <row r="3145">
      <c r="B3145" s="186" t="str">
        <f>IFERROR(__xludf.DUMMYFUNCTION("""COMPUTED_VALUE"""),"PI6073Y")</f>
        <v>PI6073Y</v>
      </c>
      <c r="C3145" s="186" t="str">
        <f>IFERROR(__xludf.DUMMYFUNCTION("""COMPUTED_VALUE"""),"PELUCIA HARRY POTTER")</f>
        <v>PELUCIA HARRY POTTER</v>
      </c>
      <c r="D3145" s="186" t="str">
        <f>IFERROR(__xludf.DUMMYFUNCTION("""COMPUTED_VALUE"""),"INMETRO Toys System 5 - Ordinance 302")</f>
        <v>INMETRO Toys System 5 - Ordinance 302</v>
      </c>
    </row>
    <row r="3146">
      <c r="B3146" s="186" t="str">
        <f>IFERROR(__xludf.DUMMYFUNCTION("""COMPUTED_VALUE"""),"PI6073Y")</f>
        <v>PI6073Y</v>
      </c>
      <c r="C3146" s="186" t="str">
        <f>IFERROR(__xludf.DUMMYFUNCTION("""COMPUTED_VALUE"""),"PELUCIA HARRY POTTER")</f>
        <v>PELUCIA HARRY POTTER</v>
      </c>
      <c r="D3146" s="186" t="str">
        <f>IFERROR(__xludf.DUMMYFUNCTION("""COMPUTED_VALUE"""),"INMETRO Toys System 5 - Ordinance 302")</f>
        <v>INMETRO Toys System 5 - Ordinance 302</v>
      </c>
    </row>
    <row r="3147">
      <c r="B3147" s="186" t="str">
        <f>IFERROR(__xludf.DUMMYFUNCTION("""COMPUTED_VALUE"""),"PI6551Y")</f>
        <v>PI6551Y</v>
      </c>
      <c r="C3147" s="186" t="str">
        <f>IFERROR(__xludf.DUMMYFUNCTION("""COMPUTED_VALUE"""),"PELUCIA HERBY G")</f>
        <v>PELUCIA HERBY G</v>
      </c>
      <c r="D3147" s="186" t="str">
        <f>IFERROR(__xludf.DUMMYFUNCTION("""COMPUTED_VALUE"""),"INMETRO Toys System 5 - Ordinance 563 (Factory)")</f>
        <v>INMETRO Toys System 5 - Ordinance 563 (Factory)</v>
      </c>
    </row>
    <row r="3148">
      <c r="B3148" s="186" t="str">
        <f>IFERROR(__xludf.DUMMYFUNCTION("""COMPUTED_VALUE"""),"PI6547Y")</f>
        <v>PI6547Y</v>
      </c>
      <c r="C3148" s="186" t="str">
        <f>IFERROR(__xludf.DUMMYFUNCTION("""COMPUTED_VALUE"""),"PELUCIA HERBY P")</f>
        <v>PELUCIA HERBY P</v>
      </c>
      <c r="D3148" s="186" t="str">
        <f>IFERROR(__xludf.DUMMYFUNCTION("""COMPUTED_VALUE"""),"INMETRO Toys System 5 - Ordinance 563 (Factory)")</f>
        <v>INMETRO Toys System 5 - Ordinance 563 (Factory)</v>
      </c>
    </row>
    <row r="3149">
      <c r="B3149" s="186" t="str">
        <f>IFERROR(__xludf.DUMMYFUNCTION("""COMPUTED_VALUE"""),"PI6838Y")</f>
        <v>PI6838Y</v>
      </c>
      <c r="C3149" s="186" t="str">
        <f>IFERROR(__xludf.DUMMYFUNCTION("""COMPUTED_VALUE"""),"PELUCIA HP DUMBLEDORE")</f>
        <v>PELUCIA HP DUMBLEDORE</v>
      </c>
      <c r="D3149" s="186" t="str">
        <f>IFERROR(__xludf.DUMMYFUNCTION("""COMPUTED_VALUE"""),"INMETRO Toys System 5 - Ordinance 302")</f>
        <v>INMETRO Toys System 5 - Ordinance 302</v>
      </c>
    </row>
    <row r="3150">
      <c r="B3150" s="186" t="str">
        <f>IFERROR(__xludf.DUMMYFUNCTION("""COMPUTED_VALUE"""),"PI6834Y")</f>
        <v>PI6834Y</v>
      </c>
      <c r="C3150" s="186" t="str">
        <f>IFERROR(__xludf.DUMMYFUNCTION("""COMPUTED_VALUE"""),"PELUCIA HP EDWIGES")</f>
        <v>PELUCIA HP EDWIGES</v>
      </c>
      <c r="D3150" s="186" t="str">
        <f>IFERROR(__xludf.DUMMYFUNCTION("""COMPUTED_VALUE"""),"INMETRO Toys System 5 - Ordinance 302")</f>
        <v>INMETRO Toys System 5 - Ordinance 302</v>
      </c>
    </row>
    <row r="3151">
      <c r="B3151" s="186" t="str">
        <f>IFERROR(__xludf.DUMMYFUNCTION("""COMPUTED_VALUE"""),"PI6839Y")</f>
        <v>PI6839Y</v>
      </c>
      <c r="C3151" s="186" t="str">
        <f>IFERROR(__xludf.DUMMYFUNCTION("""COMPUTED_VALUE"""),"PELUCIA HP HAGRID")</f>
        <v>PELUCIA HP HAGRID</v>
      </c>
      <c r="D3151" s="186" t="str">
        <f>IFERROR(__xludf.DUMMYFUNCTION("""COMPUTED_VALUE"""),"INMETRO Toys System 5 - Ordinance 302")</f>
        <v>INMETRO Toys System 5 - Ordinance 302</v>
      </c>
    </row>
    <row r="3152">
      <c r="B3152" s="186" t="str">
        <f>IFERROR(__xludf.DUMMYFUNCTION("""COMPUTED_VALUE"""),"PI6833Y")</f>
        <v>PI6833Y</v>
      </c>
      <c r="C3152" s="186" t="str">
        <f>IFERROR(__xludf.DUMMYFUNCTION("""COMPUTED_VALUE"""),"PELUCIA HP HARRY POTTER")</f>
        <v>PELUCIA HP HARRY POTTER</v>
      </c>
      <c r="D3152" s="186" t="str">
        <f>IFERROR(__xludf.DUMMYFUNCTION("""COMPUTED_VALUE"""),"INMETRO Toys System 5 - Ordinance 302")</f>
        <v>INMETRO Toys System 5 - Ordinance 302</v>
      </c>
    </row>
    <row r="3153">
      <c r="B3153" s="186" t="str">
        <f>IFERROR(__xludf.DUMMYFUNCTION("""COMPUTED_VALUE"""),"PI6833Y")</f>
        <v>PI6833Y</v>
      </c>
      <c r="C3153" s="186" t="str">
        <f>IFERROR(__xludf.DUMMYFUNCTION("""COMPUTED_VALUE"""),"PELUCIA HP HARRY POTTER")</f>
        <v>PELUCIA HP HARRY POTTER</v>
      </c>
      <c r="D3153" s="186" t="str">
        <f>IFERROR(__xludf.DUMMYFUNCTION("""COMPUTED_VALUE"""),"INMETRO Toys System 5 - Ordinance 302")</f>
        <v>INMETRO Toys System 5 - Ordinance 302</v>
      </c>
    </row>
    <row r="3154">
      <c r="B3154" s="186" t="str">
        <f>IFERROR(__xludf.DUMMYFUNCTION("""COMPUTED_VALUE"""),"PI6835Y")</f>
        <v>PI6835Y</v>
      </c>
      <c r="C3154" s="186" t="str">
        <f>IFERROR(__xludf.DUMMYFUNCTION("""COMPUTED_VALUE"""),"PELUCIA HP HERMIONE")</f>
        <v>PELUCIA HP HERMIONE</v>
      </c>
      <c r="D3154" s="186" t="str">
        <f>IFERROR(__xludf.DUMMYFUNCTION("""COMPUTED_VALUE"""),"INMETRO Toys System 5 - Ordinance 302")</f>
        <v>INMETRO Toys System 5 - Ordinance 302</v>
      </c>
    </row>
    <row r="3155">
      <c r="B3155" s="186" t="str">
        <f>IFERROR(__xludf.DUMMYFUNCTION("""COMPUTED_VALUE"""),"PI6835Y")</f>
        <v>PI6835Y</v>
      </c>
      <c r="C3155" s="186" t="str">
        <f>IFERROR(__xludf.DUMMYFUNCTION("""COMPUTED_VALUE"""),"PELUCIA HP HERMIONE")</f>
        <v>PELUCIA HP HERMIONE</v>
      </c>
      <c r="D3155" s="186" t="str">
        <f>IFERROR(__xludf.DUMMYFUNCTION("""COMPUTED_VALUE"""),"INMETRO Toys System 5 - Ordinance 302")</f>
        <v>INMETRO Toys System 5 - Ordinance 302</v>
      </c>
    </row>
    <row r="3156">
      <c r="B3156" s="186" t="str">
        <f>IFERROR(__xludf.DUMMYFUNCTION("""COMPUTED_VALUE"""),"PI7221Y")</f>
        <v>PI7221Y</v>
      </c>
      <c r="C3156" s="186" t="str">
        <f>IFERROR(__xludf.DUMMYFUNCTION("""COMPUTED_VALUE"""),"PELUCIA HP LUNA")</f>
        <v>PELUCIA HP LUNA</v>
      </c>
      <c r="D3156" s="186" t="str">
        <f>IFERROR(__xludf.DUMMYFUNCTION("""COMPUTED_VALUE"""),"INMETRO Toys System 5 - Ordinance 302")</f>
        <v>INMETRO Toys System 5 - Ordinance 302</v>
      </c>
    </row>
    <row r="3157">
      <c r="B3157" s="186" t="str">
        <f>IFERROR(__xludf.DUMMYFUNCTION("""COMPUTED_VALUE"""),"PI6836Y")</f>
        <v>PI6836Y</v>
      </c>
      <c r="C3157" s="186" t="str">
        <f>IFERROR(__xludf.DUMMYFUNCTION("""COMPUTED_VALUE"""),"PELUCIA HP RONY")</f>
        <v>PELUCIA HP RONY</v>
      </c>
      <c r="D3157" s="186" t="str">
        <f>IFERROR(__xludf.DUMMYFUNCTION("""COMPUTED_VALUE"""),"INMETRO Toys System 5 - Ordinance 302")</f>
        <v>INMETRO Toys System 5 - Ordinance 302</v>
      </c>
    </row>
    <row r="3158">
      <c r="B3158" s="186" t="str">
        <f>IFERROR(__xludf.DUMMYFUNCTION("""COMPUTED_VALUE"""),"PI6840Y")</f>
        <v>PI6840Y</v>
      </c>
      <c r="C3158" s="186" t="str">
        <f>IFERROR(__xludf.DUMMYFUNCTION("""COMPUTED_VALUE"""),"PELUCIA HP SNAPE")</f>
        <v>PELUCIA HP SNAPE</v>
      </c>
      <c r="D3158" s="186" t="str">
        <f>IFERROR(__xludf.DUMMYFUNCTION("""COMPUTED_VALUE"""),"INMETRO Toys System 5 - Ordinance 302")</f>
        <v>INMETRO Toys System 5 - Ordinance 302</v>
      </c>
    </row>
    <row r="3159">
      <c r="B3159" s="186" t="str">
        <f>IFERROR(__xludf.DUMMYFUNCTION("""COMPUTED_VALUE"""),"PI6614Y")</f>
        <v>PI6614Y</v>
      </c>
      <c r="C3159" s="186" t="str">
        <f>IFERROR(__xludf.DUMMYFUNCTION("""COMPUTED_VALUE"""),"PELUCIA JAIMINHO")</f>
        <v>PELUCIA JAIMINHO</v>
      </c>
      <c r="D3159" s="186" t="str">
        <f>IFERROR(__xludf.DUMMYFUNCTION("""COMPUTED_VALUE"""),"INMETRO Toys System 5 - Ordinance 302")</f>
        <v>INMETRO Toys System 5 - Ordinance 302</v>
      </c>
    </row>
    <row r="3160">
      <c r="B3160" s="186" t="str">
        <f>IFERROR(__xludf.DUMMYFUNCTION("""COMPUTED_VALUE"""),"PI6453Y")</f>
        <v>PI6453Y</v>
      </c>
      <c r="C3160" s="186" t="str">
        <f>IFERROR(__xludf.DUMMYFUNCTION("""COMPUTED_VALUE"""),"PELUCIA JANTINHA G")</f>
        <v>PELUCIA JANTINHA G</v>
      </c>
      <c r="D3160" s="186" t="str">
        <f>IFERROR(__xludf.DUMMYFUNCTION("""COMPUTED_VALUE"""),"INMETRO Toys System 5 - Ordinance 302")</f>
        <v>INMETRO Toys System 5 - Ordinance 302</v>
      </c>
    </row>
    <row r="3161">
      <c r="B3161" s="186" t="str">
        <f>IFERROR(__xludf.DUMMYFUNCTION("""COMPUTED_VALUE"""),"PI6452Y")</f>
        <v>PI6452Y</v>
      </c>
      <c r="C3161" s="186" t="str">
        <f>IFERROR(__xludf.DUMMYFUNCTION("""COMPUTED_VALUE"""),"PELUCIA JANTINHA P")</f>
        <v>PELUCIA JANTINHA P</v>
      </c>
      <c r="D3161" s="186" t="str">
        <f>IFERROR(__xludf.DUMMYFUNCTION("""COMPUTED_VALUE"""),"INMETRO Toys System 5 - Ordinance 302")</f>
        <v>INMETRO Toys System 5 - Ordinance 302</v>
      </c>
    </row>
    <row r="3162">
      <c r="B3162" s="186" t="str">
        <f>IFERROR(__xludf.DUMMYFUNCTION("""COMPUTED_VALUE"""),"PI7251Y")</f>
        <v>PI7251Y</v>
      </c>
      <c r="C3162" s="186" t="str">
        <f>IFERROR(__xludf.DUMMYFUNCTION("""COMPUTED_VALUE"""),"CHAVEIRO PELUCIA GATINHO PRETO")</f>
        <v>CHAVEIRO PELUCIA GATINHO PRETO</v>
      </c>
      <c r="D3162" s="186" t="str">
        <f>IFERROR(__xludf.DUMMYFUNCTION("""COMPUTED_VALUE"""),"INMETRO Toys System 5 - Ordinance 302")</f>
        <v>INMETRO Toys System 5 - Ordinance 302</v>
      </c>
    </row>
    <row r="3163">
      <c r="B3163" s="186" t="str">
        <f>IFERROR(__xludf.DUMMYFUNCTION("""COMPUTED_VALUE"""),"PI7251Y")</f>
        <v>PI7251Y</v>
      </c>
      <c r="C3163" s="186" t="str">
        <f>IFERROR(__xludf.DUMMYFUNCTION("""COMPUTED_VALUE"""),"CHAVEIRO PELUCIA GATINHO PRETO")</f>
        <v>CHAVEIRO PELUCIA GATINHO PRETO</v>
      </c>
      <c r="D3163" s="186" t="str">
        <f>IFERROR(__xludf.DUMMYFUNCTION("""COMPUTED_VALUE"""),"INMETRO Toys System 5 - Ordinance 302")</f>
        <v>INMETRO Toys System 5 - Ordinance 302</v>
      </c>
    </row>
    <row r="3164">
      <c r="B3164" s="186" t="str">
        <f>IFERROR(__xludf.DUMMYFUNCTION("""COMPUTED_VALUE"""),"PI7420Y")</f>
        <v>PI7420Y</v>
      </c>
      <c r="C3164" s="186" t="str">
        <f>IFERROR(__xludf.DUMMYFUNCTION("""COMPUTED_VALUE"""),"CHAVEIRO PELUCIA DORINHA")</f>
        <v>CHAVEIRO PELUCIA DORINHA</v>
      </c>
      <c r="D3164" s="186" t="str">
        <f>IFERROR(__xludf.DUMMYFUNCTION("""COMPUTED_VALUE"""),"INMETRO Toys System 5 - Ordinance 302")</f>
        <v>INMETRO Toys System 5 - Ordinance 302</v>
      </c>
    </row>
    <row r="3165">
      <c r="B3165" s="186" t="str">
        <f>IFERROR(__xludf.DUMMYFUNCTION("""COMPUTED_VALUE"""),"PI7422Y")</f>
        <v>PI7422Y</v>
      </c>
      <c r="C3165" s="186" t="str">
        <f>IFERROR(__xludf.DUMMYFUNCTION("""COMPUTED_VALUE"""),"CHAVEIRO PELUCIA GURUMELO")</f>
        <v>CHAVEIRO PELUCIA GURUMELO</v>
      </c>
      <c r="D3165" s="186" t="str">
        <f>IFERROR(__xludf.DUMMYFUNCTION("""COMPUTED_VALUE"""),"INMETRO Toys System 5 - Ordinance 302")</f>
        <v>INMETRO Toys System 5 - Ordinance 302</v>
      </c>
    </row>
    <row r="3166">
      <c r="B3166" s="186" t="str">
        <f>IFERROR(__xludf.DUMMYFUNCTION("""COMPUTED_VALUE"""),"PI7462Y")</f>
        <v>PI7462Y</v>
      </c>
      <c r="C3166" s="186" t="str">
        <f>IFERROR(__xludf.DUMMYFUNCTION("""COMPUTED_VALUE"""),"CHAVEIRO PELUCIA HP EDWIGES")</f>
        <v>CHAVEIRO PELUCIA HP EDWIGES</v>
      </c>
      <c r="D3166" s="186" t="str">
        <f>IFERROR(__xludf.DUMMYFUNCTION("""COMPUTED_VALUE"""),"INMETRO Toys System 5 - Ordinance 302")</f>
        <v>INMETRO Toys System 5 - Ordinance 302</v>
      </c>
    </row>
    <row r="3167">
      <c r="B3167" s="186" t="str">
        <f>IFERROR(__xludf.DUMMYFUNCTION("""COMPUTED_VALUE"""),"PI7462Y")</f>
        <v>PI7462Y</v>
      </c>
      <c r="C3167" s="186" t="str">
        <f>IFERROR(__xludf.DUMMYFUNCTION("""COMPUTED_VALUE"""),"CHAVEIRO PELUCIA HP EDWIGES")</f>
        <v>CHAVEIRO PELUCIA HP EDWIGES</v>
      </c>
      <c r="D3167" s="186" t="str">
        <f>IFERROR(__xludf.DUMMYFUNCTION("""COMPUTED_VALUE"""),"INMETRO Toys System 5 - Ordinance 302")</f>
        <v>INMETRO Toys System 5 - Ordinance 302</v>
      </c>
    </row>
    <row r="3168">
      <c r="B3168" s="186" t="str">
        <f>IFERROR(__xludf.DUMMYFUNCTION("""COMPUTED_VALUE"""),"PI7461Y")</f>
        <v>PI7461Y</v>
      </c>
      <c r="C3168" s="186" t="str">
        <f>IFERROR(__xludf.DUMMYFUNCTION("""COMPUTED_VALUE"""),"CHAVEIRO PELUCIA HP HARRY POTTER")</f>
        <v>CHAVEIRO PELUCIA HP HARRY POTTER</v>
      </c>
      <c r="D3168" s="186" t="str">
        <f>IFERROR(__xludf.DUMMYFUNCTION("""COMPUTED_VALUE"""),"INMETRO Toys System 5 - Ordinance 302")</f>
        <v>INMETRO Toys System 5 - Ordinance 302</v>
      </c>
    </row>
    <row r="3169">
      <c r="B3169" s="186" t="str">
        <f>IFERROR(__xludf.DUMMYFUNCTION("""COMPUTED_VALUE"""),"PI7461Y")</f>
        <v>PI7461Y</v>
      </c>
      <c r="C3169" s="186" t="str">
        <f>IFERROR(__xludf.DUMMYFUNCTION("""COMPUTED_VALUE"""),"CHAVEIRO PELUCIA HP HARRY POTTER")</f>
        <v>CHAVEIRO PELUCIA HP HARRY POTTER</v>
      </c>
      <c r="D3169" s="186" t="str">
        <f>IFERROR(__xludf.DUMMYFUNCTION("""COMPUTED_VALUE"""),"INMETRO Toys System 5 - Ordinance 302")</f>
        <v>INMETRO Toys System 5 - Ordinance 302</v>
      </c>
    </row>
    <row r="3170">
      <c r="B3170" s="186" t="str">
        <f>IFERROR(__xludf.DUMMYFUNCTION("""COMPUTED_VALUE"""),"PI7423Y")</f>
        <v>PI7423Y</v>
      </c>
      <c r="C3170" s="186" t="str">
        <f>IFERROR(__xludf.DUMMYFUNCTION("""COMPUTED_VALUE"""),"CHAVEIRO PELUCIA MELINHA")</f>
        <v>CHAVEIRO PELUCIA MELINHA</v>
      </c>
      <c r="D3170" s="186" t="str">
        <f>IFERROR(__xludf.DUMMYFUNCTION("""COMPUTED_VALUE"""),"INMETRO Toys System 5 - Ordinance 302")</f>
        <v>INMETRO Toys System 5 - Ordinance 302</v>
      </c>
    </row>
    <row r="3171">
      <c r="B3171" s="186" t="str">
        <f>IFERROR(__xludf.DUMMYFUNCTION("""COMPUTED_VALUE"""),"PI7424Y")</f>
        <v>PI7424Y</v>
      </c>
      <c r="C3171" s="186" t="str">
        <f>IFERROR(__xludf.DUMMYFUNCTION("""COMPUTED_VALUE"""),"CHAVEIRO PELUCIA MORCEGUITO")</f>
        <v>CHAVEIRO PELUCIA MORCEGUITO</v>
      </c>
      <c r="D3171" s="186" t="str">
        <f>IFERROR(__xludf.DUMMYFUNCTION("""COMPUTED_VALUE"""),"INMETRO Toys System 5 - Ordinance 302")</f>
        <v>INMETRO Toys System 5 - Ordinance 302</v>
      </c>
    </row>
    <row r="3172">
      <c r="B3172" s="186"/>
      <c r="C3172" s="186"/>
      <c r="D3172" s="186"/>
    </row>
    <row r="3173">
      <c r="B3173" s="186" t="str">
        <f>IFERROR(__xludf.DUMMYFUNCTION("""COMPUTED_VALUE"""),"PI7424Y")</f>
        <v>PI7424Y</v>
      </c>
      <c r="C3173" s="186" t="str">
        <f>IFERROR(__xludf.DUMMYFUNCTION("""COMPUTED_VALUE"""),"CHAVEIRO PELUCIA MORCEGUITO")</f>
        <v>CHAVEIRO PELUCIA MORCEGUITO</v>
      </c>
      <c r="D3173" s="186" t="str">
        <f>IFERROR(__xludf.DUMMYFUNCTION("""COMPUTED_VALUE"""),"INMETRO Toys System 5 - Ordinance 302")</f>
        <v>INMETRO Toys System 5 - Ordinance 302</v>
      </c>
    </row>
    <row r="3174">
      <c r="B3174" s="186" t="str">
        <f>IFERROR(__xludf.DUMMYFUNCTION("""COMPUTED_VALUE"""),"PI7249Y")</f>
        <v>PI7249Y</v>
      </c>
      <c r="C3174" s="186" t="str">
        <f>IFERROR(__xludf.DUMMYFUNCTION("""COMPUTED_VALUE"""),"CHAVEIRO PELUCIA UNICORNIO")</f>
        <v>CHAVEIRO PELUCIA UNICORNIO</v>
      </c>
      <c r="D3174" s="186" t="str">
        <f>IFERROR(__xludf.DUMMYFUNCTION("""COMPUTED_VALUE"""),"INMETRO Toys System 5 - Ordinance 302")</f>
        <v>INMETRO Toys System 5 - Ordinance 302</v>
      </c>
    </row>
    <row r="3175">
      <c r="B3175" s="186" t="str">
        <f>IFERROR(__xludf.DUMMYFUNCTION("""COMPUTED_VALUE"""),"PI7421Y")</f>
        <v>PI7421Y</v>
      </c>
      <c r="C3175" s="186" t="str">
        <f>IFERROR(__xludf.DUMMYFUNCTION("""COMPUTED_VALUE"""),"CHAVEIRO PELUCIA ZECA")</f>
        <v>CHAVEIRO PELUCIA ZECA</v>
      </c>
      <c r="D3175" s="186" t="str">
        <f>IFERROR(__xludf.DUMMYFUNCTION("""COMPUTED_VALUE"""),"INMETRO Toys System 5 - Ordinance 302")</f>
        <v>INMETRO Toys System 5 - Ordinance 302</v>
      </c>
    </row>
    <row r="3176">
      <c r="B3176" s="186" t="str">
        <f>IFERROR(__xludf.DUMMYFUNCTION("""COMPUTED_VALUE"""),"PI6378Y")</f>
        <v>PI6378Y</v>
      </c>
      <c r="C3176" s="186" t="str">
        <f>IFERROR(__xludf.DUMMYFUNCTION("""COMPUTED_VALUE"""),"PELUCIA MELINHA G")</f>
        <v>PELUCIA MELINHA G</v>
      </c>
      <c r="D3176" s="186" t="str">
        <f>IFERROR(__xludf.DUMMYFUNCTION("""COMPUTED_VALUE"""),"INMETRO Toys System 5 - Ordinance 302")</f>
        <v>INMETRO Toys System 5 - Ordinance 302</v>
      </c>
    </row>
    <row r="3177">
      <c r="B3177" s="186" t="str">
        <f>IFERROR(__xludf.DUMMYFUNCTION("""COMPUTED_VALUE"""),"PI6378Y")</f>
        <v>PI6378Y</v>
      </c>
      <c r="C3177" s="186" t="str">
        <f>IFERROR(__xludf.DUMMYFUNCTION("""COMPUTED_VALUE"""),"PELUCIA MELINHA G")</f>
        <v>PELUCIA MELINHA G</v>
      </c>
      <c r="D3177" s="186" t="str">
        <f>IFERROR(__xludf.DUMMYFUNCTION("""COMPUTED_VALUE"""),"INMETRO Toys System 5 - Ordinance 302")</f>
        <v>INMETRO Toys System 5 - Ordinance 302</v>
      </c>
    </row>
    <row r="3178">
      <c r="B3178" s="186" t="str">
        <f>IFERROR(__xludf.DUMMYFUNCTION("""COMPUTED_VALUE"""),"PI6375Y")</f>
        <v>PI6375Y</v>
      </c>
      <c r="C3178" s="186" t="str">
        <f>IFERROR(__xludf.DUMMYFUNCTION("""COMPUTED_VALUE"""),"PELUCIA MELINHA P")</f>
        <v>PELUCIA MELINHA P</v>
      </c>
      <c r="D3178" s="186" t="str">
        <f>IFERROR(__xludf.DUMMYFUNCTION("""COMPUTED_VALUE"""),"INMETRO Toys System 5 - Ordinance 302")</f>
        <v>INMETRO Toys System 5 - Ordinance 302</v>
      </c>
    </row>
    <row r="3179">
      <c r="B3179" s="186" t="str">
        <f>IFERROR(__xludf.DUMMYFUNCTION("""COMPUTED_VALUE"""),"PI6375Y")</f>
        <v>PI6375Y</v>
      </c>
      <c r="C3179" s="186" t="str">
        <f>IFERROR(__xludf.DUMMYFUNCTION("""COMPUTED_VALUE"""),"PELUCIA MELINHA P")</f>
        <v>PELUCIA MELINHA P</v>
      </c>
      <c r="D3179" s="186" t="str">
        <f>IFERROR(__xludf.DUMMYFUNCTION("""COMPUTED_VALUE"""),"INMETRO Toys System 5 - Ordinance 302")</f>
        <v>INMETRO Toys System 5 - Ordinance 302</v>
      </c>
    </row>
    <row r="3180">
      <c r="B3180" s="186" t="str">
        <f>IFERROR(__xludf.DUMMYFUNCTION("""COMPUTED_VALUE"""),"PI5971Y")</f>
        <v>PI5971Y</v>
      </c>
      <c r="C3180" s="186" t="str">
        <f>IFERROR(__xludf.DUMMYFUNCTION("""COMPUTED_VALUE"""),"PELUCIA MOCA G")</f>
        <v>PELUCIA MOCA G</v>
      </c>
      <c r="D3180" s="186" t="str">
        <f>IFERROR(__xludf.DUMMYFUNCTION("""COMPUTED_VALUE"""),"INMETRO Toys System 5 - Ordinance 302")</f>
        <v>INMETRO Toys System 5 - Ordinance 302</v>
      </c>
    </row>
    <row r="3181">
      <c r="B3181" s="186" t="str">
        <f>IFERROR(__xludf.DUMMYFUNCTION("""COMPUTED_VALUE"""),"PI5979Y")</f>
        <v>PI5979Y</v>
      </c>
      <c r="C3181" s="186" t="str">
        <f>IFERROR(__xludf.DUMMYFUNCTION("""COMPUTED_VALUE"""),"PELUCIA MOCA P")</f>
        <v>PELUCIA MOCA P</v>
      </c>
      <c r="D3181" s="186" t="str">
        <f>IFERROR(__xludf.DUMMYFUNCTION("""COMPUTED_VALUE"""),"INMETRO Toys System 5 - Ordinance 302")</f>
        <v>INMETRO Toys System 5 - Ordinance 302</v>
      </c>
    </row>
    <row r="3182">
      <c r="B3182" s="186" t="str">
        <f>IFERROR(__xludf.DUMMYFUNCTION("""COMPUTED_VALUE"""),"PI6650Y")</f>
        <v>PI6650Y</v>
      </c>
      <c r="C3182" s="186" t="str">
        <f>IFERROR(__xludf.DUMMYFUNCTION("""COMPUTED_VALUE"""),"PELUCIA MORCEGUITO G")</f>
        <v>PELUCIA MORCEGUITO G</v>
      </c>
      <c r="D3182" s="186" t="str">
        <f>IFERROR(__xludf.DUMMYFUNCTION("""COMPUTED_VALUE"""),"INMETRO Toys System 5 - Ordinance 302")</f>
        <v>INMETRO Toys System 5 - Ordinance 302</v>
      </c>
    </row>
    <row r="3183">
      <c r="B3183" s="186" t="str">
        <f>IFERROR(__xludf.DUMMYFUNCTION("""COMPUTED_VALUE"""),"PI6649Y")</f>
        <v>PI6649Y</v>
      </c>
      <c r="C3183" s="186" t="str">
        <f>IFERROR(__xludf.DUMMYFUNCTION("""COMPUTED_VALUE"""),"PELUCIA MORCEGUITO P")</f>
        <v>PELUCIA MORCEGUITO P</v>
      </c>
      <c r="D3183" s="186" t="str">
        <f>IFERROR(__xludf.DUMMYFUNCTION("""COMPUTED_VALUE"""),"INMETRO Toys System 5 - Ordinance 302")</f>
        <v>INMETRO Toys System 5 - Ordinance 302</v>
      </c>
    </row>
    <row r="3184">
      <c r="B3184" s="186" t="str">
        <f>IFERROR(__xludf.DUMMYFUNCTION("""COMPUTED_VALUE"""),"PI5913Y")</f>
        <v>PI5913Y</v>
      </c>
      <c r="C3184" s="186" t="str">
        <f>IFERROR(__xludf.DUMMYFUNCTION("""COMPUTED_VALUE"""),"PELUCIA MOZI CHAVE G")</f>
        <v>PELUCIA MOZI CHAVE G</v>
      </c>
      <c r="D3184" s="186" t="str">
        <f>IFERROR(__xludf.DUMMYFUNCTION("""COMPUTED_VALUE"""),"INMETRO Toys System 5 - Ordinance 302")</f>
        <v>INMETRO Toys System 5 - Ordinance 302</v>
      </c>
    </row>
    <row r="3185">
      <c r="B3185" s="186" t="str">
        <f>IFERROR(__xludf.DUMMYFUNCTION("""COMPUTED_VALUE"""),"PI5914Y")</f>
        <v>PI5914Y</v>
      </c>
      <c r="C3185" s="186" t="str">
        <f>IFERROR(__xludf.DUMMYFUNCTION("""COMPUTED_VALUE"""),"PELUCIA MOZI CADEADO G")</f>
        <v>PELUCIA MOZI CADEADO G</v>
      </c>
      <c r="D3185" s="186" t="str">
        <f>IFERROR(__xludf.DUMMYFUNCTION("""COMPUTED_VALUE"""),"INMETRO Toys System 5 - Ordinance 302")</f>
        <v>INMETRO Toys System 5 - Ordinance 302</v>
      </c>
    </row>
    <row r="3186">
      <c r="B3186" s="186" t="str">
        <f>IFERROR(__xludf.DUMMYFUNCTION("""COMPUTED_VALUE"""),"PI6552Y")</f>
        <v>PI6552Y</v>
      </c>
      <c r="C3186" s="186" t="str">
        <f>IFERROR(__xludf.DUMMYFUNCTION("""COMPUTED_VALUE"""),"PELUCIA NEVINHO G")</f>
        <v>PELUCIA NEVINHO G</v>
      </c>
      <c r="D3186" s="186" t="str">
        <f>IFERROR(__xludf.DUMMYFUNCTION("""COMPUTED_VALUE"""),"INMETRO Toys System 5 - Ordinance 563 (Factory)")</f>
        <v>INMETRO Toys System 5 - Ordinance 563 (Factory)</v>
      </c>
    </row>
    <row r="3187">
      <c r="B3187" s="186" t="str">
        <f>IFERROR(__xludf.DUMMYFUNCTION("""COMPUTED_VALUE"""),"PI6552Y")</f>
        <v>PI6552Y</v>
      </c>
      <c r="C3187" s="186" t="str">
        <f>IFERROR(__xludf.DUMMYFUNCTION("""COMPUTED_VALUE"""),"PELUCIA NEVINHO G")</f>
        <v>PELUCIA NEVINHO G</v>
      </c>
      <c r="D3187" s="186" t="str">
        <f>IFERROR(__xludf.DUMMYFUNCTION("""COMPUTED_VALUE"""),"INMETRO Toys System 5 - Ordinance 302")</f>
        <v>INMETRO Toys System 5 - Ordinance 302</v>
      </c>
    </row>
    <row r="3188">
      <c r="B3188" s="186" t="str">
        <f>IFERROR(__xludf.DUMMYFUNCTION("""COMPUTED_VALUE"""),"PI6548Y")</f>
        <v>PI6548Y</v>
      </c>
      <c r="C3188" s="186" t="str">
        <f>IFERROR(__xludf.DUMMYFUNCTION("""COMPUTED_VALUE"""),"PELUCIA NEVINHO P")</f>
        <v>PELUCIA NEVINHO P</v>
      </c>
      <c r="D3188" s="186" t="str">
        <f>IFERROR(__xludf.DUMMYFUNCTION("""COMPUTED_VALUE"""),"INMETRO Toys System 5 - Ordinance 563 (Factory)")</f>
        <v>INMETRO Toys System 5 - Ordinance 563 (Factory)</v>
      </c>
    </row>
    <row r="3189">
      <c r="B3189" s="186" t="str">
        <f>IFERROR(__xludf.DUMMYFUNCTION("""COMPUTED_VALUE"""),"PI7743Y")</f>
        <v>PI7743Y</v>
      </c>
      <c r="C3189" s="186" t="str">
        <f>IFERROR(__xludf.DUMMYFUNCTION("""COMPUTED_VALUE"""),"CADERNO PELUCIA HP EDWIGES")</f>
        <v>CADERNO PELUCIA HP EDWIGES</v>
      </c>
      <c r="D3189" s="186" t="str">
        <f>IFERROR(__xludf.DUMMYFUNCTION("""COMPUTED_VALUE"""),"FALSO")</f>
        <v>FALSO</v>
      </c>
    </row>
    <row r="3190">
      <c r="B3190" s="186" t="str">
        <f>IFERROR(__xludf.DUMMYFUNCTION("""COMPUTED_VALUE"""),"PI7773Y")</f>
        <v>PI7773Y</v>
      </c>
      <c r="C3190" s="186" t="str">
        <f>IFERROR(__xludf.DUMMYFUNCTION("""COMPUTED_VALUE"""),"CADERNO PELUCIA HP LUNA")</f>
        <v>CADERNO PELUCIA HP LUNA</v>
      </c>
      <c r="D3190" s="186" t="str">
        <f>IFERROR(__xludf.DUMMYFUNCTION("""COMPUTED_VALUE"""),"FALSO")</f>
        <v>FALSO</v>
      </c>
    </row>
    <row r="3191">
      <c r="B3191" s="186"/>
      <c r="C3191" s="186"/>
      <c r="D3191" s="186"/>
    </row>
    <row r="3192">
      <c r="B3192" s="186" t="str">
        <f>IFERROR(__xludf.DUMMYFUNCTION("""COMPUTED_VALUE"""),"PI7378Y")</f>
        <v>PI7378Y</v>
      </c>
      <c r="C3192" s="186" t="str">
        <f>IFERROR(__xludf.DUMMYFUNCTION("""COMPUTED_VALUE"""),"PELUCIA COELHO G")</f>
        <v>PELUCIA COELHO G</v>
      </c>
      <c r="D3192" s="186" t="str">
        <f>IFERROR(__xludf.DUMMYFUNCTION("""COMPUTED_VALUE"""),"INMETRO Toys System 5 - Ordinance 302")</f>
        <v>INMETRO Toys System 5 - Ordinance 302</v>
      </c>
    </row>
    <row r="3193">
      <c r="B3193" s="186" t="str">
        <f>IFERROR(__xludf.DUMMYFUNCTION("""COMPUTED_VALUE"""),"PI7377Y")</f>
        <v>PI7377Y</v>
      </c>
      <c r="C3193" s="186" t="str">
        <f>IFERROR(__xludf.DUMMYFUNCTION("""COMPUTED_VALUE"""),"PELUCIA COELHO P")</f>
        <v>PELUCIA COELHO P</v>
      </c>
      <c r="D3193" s="186" t="str">
        <f>IFERROR(__xludf.DUMMYFUNCTION("""COMPUTED_VALUE"""),"INMETRO Toys System 5 - Ordinance 302")</f>
        <v>INMETRO Toys System 5 - Ordinance 302</v>
      </c>
    </row>
    <row r="3194">
      <c r="B3194" s="186" t="str">
        <f>IFERROR(__xludf.DUMMYFUNCTION("""COMPUTED_VALUE"""),"PI7239Y")</f>
        <v>PI7239Y</v>
      </c>
      <c r="C3194" s="186" t="str">
        <f>IFERROR(__xludf.DUMMYFUNCTION("""COMPUTED_VALUE"""),"PELUCIA 2 EM 1 LAGARTA E BORBOLETA")</f>
        <v>PELUCIA 2 EM 1 LAGARTA E BORBOLETA</v>
      </c>
      <c r="D3194" s="186" t="str">
        <f>IFERROR(__xludf.DUMMYFUNCTION("""COMPUTED_VALUE"""),"INMETRO Toys System 5 - Ordinance 302")</f>
        <v>INMETRO Toys System 5 - Ordinance 302</v>
      </c>
    </row>
    <row r="3195">
      <c r="B3195" s="186" t="str">
        <f>IFERROR(__xludf.DUMMYFUNCTION("""COMPUTED_VALUE"""),"PI7237Y")</f>
        <v>PI7237Y</v>
      </c>
      <c r="C3195" s="186" t="str">
        <f>IFERROR(__xludf.DUMMYFUNCTION("""COMPUTED_VALUE"""),"PELUCIA 2 EM 1 DRAGAO E DINOSSAURO")</f>
        <v>PELUCIA 2 EM 1 DRAGAO E DINOSSAURO</v>
      </c>
      <c r="D3195" s="186" t="str">
        <f>IFERROR(__xludf.DUMMYFUNCTION("""COMPUTED_VALUE"""),"INMETRO Toys System 5 - Ordinance 302")</f>
        <v>INMETRO Toys System 5 - Ordinance 302</v>
      </c>
    </row>
    <row r="3196">
      <c r="B3196" s="186" t="str">
        <f>IFERROR(__xludf.DUMMYFUNCTION("""COMPUTED_VALUE"""),"PI7235Y")</f>
        <v>PI7235Y</v>
      </c>
      <c r="C3196" s="186" t="str">
        <f>IFERROR(__xludf.DUMMYFUNCTION("""COMPUTED_VALUE"""),"PELUCIA 2 EM 1 GATINHOS")</f>
        <v>PELUCIA 2 EM 1 GATINHOS</v>
      </c>
      <c r="D3196" s="186" t="str">
        <f>IFERROR(__xludf.DUMMYFUNCTION("""COMPUTED_VALUE"""),"INMETRO Toys System 5 - Ordinance 302")</f>
        <v>INMETRO Toys System 5 - Ordinance 302</v>
      </c>
    </row>
    <row r="3197">
      <c r="B3197" s="186" t="str">
        <f>IFERROR(__xludf.DUMMYFUNCTION("""COMPUTED_VALUE"""),"PI7236Y")</f>
        <v>PI7236Y</v>
      </c>
      <c r="C3197" s="186" t="str">
        <f>IFERROR(__xludf.DUMMYFUNCTION("""COMPUTED_VALUE"""),"PELUCIA 2 EM 1 UNICORNIO E DRAGAO")</f>
        <v>PELUCIA 2 EM 1 UNICORNIO E DRAGAO</v>
      </c>
      <c r="D3197" s="186" t="str">
        <f>IFERROR(__xludf.DUMMYFUNCTION("""COMPUTED_VALUE"""),"INMETRO Toys System 5 - Ordinance 302")</f>
        <v>INMETRO Toys System 5 - Ordinance 302</v>
      </c>
    </row>
    <row r="3198">
      <c r="B3198" s="186" t="str">
        <f>IFERROR(__xludf.DUMMYFUNCTION("""COMPUTED_VALUE"""),"PI6613Y")</f>
        <v>PI6613Y</v>
      </c>
      <c r="C3198" s="186" t="str">
        <f>IFERROR(__xludf.DUMMYFUNCTION("""COMPUTED_VALUE"""),"PELUCIA X SALADINHO E MARIA BATATINHA")</f>
        <v>PELUCIA X SALADINHO E MARIA BATATINHA</v>
      </c>
      <c r="D3198" s="186" t="str">
        <f>IFERROR(__xludf.DUMMYFUNCTION("""COMPUTED_VALUE"""),"INMETRO Toys System 5 - Ordinance 302")</f>
        <v>INMETRO Toys System 5 - Ordinance 302</v>
      </c>
    </row>
    <row r="3199">
      <c r="B3199" s="186" t="str">
        <f>IFERROR(__xludf.DUMMYFUNCTION("""COMPUTED_VALUE"""),"PI7380Y")</f>
        <v>PI7380Y</v>
      </c>
      <c r="C3199" s="186" t="str">
        <f>IFERROR(__xludf.DUMMYFUNCTION("""COMPUTED_VALUE"""),"PELUCIA ZECA G")</f>
        <v>PELUCIA ZECA G</v>
      </c>
      <c r="D3199" s="186" t="str">
        <f>IFERROR(__xludf.DUMMYFUNCTION("""COMPUTED_VALUE"""),"INMETRO Toys System 5 - Ordinance 302")</f>
        <v>INMETRO Toys System 5 - Ordinance 302</v>
      </c>
    </row>
    <row r="3200">
      <c r="B3200" s="186" t="str">
        <f>IFERROR(__xludf.DUMMYFUNCTION("""COMPUTED_VALUE"""),"PI7379Y")</f>
        <v>PI7379Y</v>
      </c>
      <c r="C3200" s="186" t="str">
        <f>IFERROR(__xludf.DUMMYFUNCTION("""COMPUTED_VALUE"""),"PELUCIA ZECA P")</f>
        <v>PELUCIA ZECA P</v>
      </c>
      <c r="D3200" s="186" t="str">
        <f>IFERROR(__xludf.DUMMYFUNCTION("""COMPUTED_VALUE"""),"INMETRO Toys System 5 - Ordinance 302")</f>
        <v>INMETRO Toys System 5 - Ordinance 302</v>
      </c>
    </row>
    <row r="3201">
      <c r="B3201" s="186" t="str">
        <f>IFERROR(__xludf.DUMMYFUNCTION("""COMPUTED_VALUE"""),"PI7032Y")</f>
        <v>PI7032Y</v>
      </c>
      <c r="C3201" s="186" t="str">
        <f>IFERROR(__xludf.DUMMYFUNCTION("""COMPUTED_VALUE"""),"LUMINARIA DE SILICONE URSO POLAR")</f>
        <v>LUMINARIA DE SILICONE URSO POLAR</v>
      </c>
      <c r="D3201" s="186" t="str">
        <f>IFERROR(__xludf.DUMMYFUNCTION("""COMPUTED_VALUE"""),"FALSO")</f>
        <v>FALSO</v>
      </c>
    </row>
    <row r="3202">
      <c r="B3202" s="186" t="str">
        <f>IFERROR(__xludf.DUMMYFUNCTION("""COMPUTED_VALUE"""),"PI4891Y")</f>
        <v>PI4891Y</v>
      </c>
      <c r="C3202" s="186" t="str">
        <f>IFERROR(__xludf.DUMMYFUNCTION("""COMPUTED_VALUE"""),"KIT PIPOCA HP HONEY DUKES")</f>
        <v>KIT PIPOCA HP HONEY DUKES</v>
      </c>
      <c r="D3202" s="186" t="str">
        <f>IFERROR(__xludf.DUMMYFUNCTION("""COMPUTED_VALUE"""),"FALSO")</f>
        <v>FALSO</v>
      </c>
    </row>
    <row r="3203">
      <c r="B3203" s="186" t="str">
        <f>IFERROR(__xludf.DUMMYFUNCTION("""COMPUTED_VALUE"""),"PI5396Y")</f>
        <v>PI5396Y</v>
      </c>
      <c r="C3203" s="186" t="str">
        <f>IFERROR(__xludf.DUMMYFUNCTION("""COMPUTED_VALUE"""),"LUMINARIA LED NEON PICOLE")</f>
        <v>LUMINARIA LED NEON PICOLE</v>
      </c>
      <c r="D3203" s="186" t="str">
        <f>IFERROR(__xludf.DUMMYFUNCTION("""COMPUTED_VALUE"""),"FALSO")</f>
        <v>FALSO</v>
      </c>
    </row>
    <row r="3204">
      <c r="B3204" s="186" t="str">
        <f>IFERROR(__xludf.DUMMYFUNCTION("""COMPUTED_VALUE"""),"PI5069Y")</f>
        <v>PI5069Y</v>
      </c>
      <c r="C3204" s="186" t="str">
        <f>IFERROR(__xludf.DUMMYFUNCTION("""COMPUTED_VALUE"""),"SUPORTE PARA CELULAR CAPIVARA")</f>
        <v>SUPORTE PARA CELULAR CAPIVARA</v>
      </c>
      <c r="D3204" s="186" t="str">
        <f>IFERROR(__xludf.DUMMYFUNCTION("""COMPUTED_VALUE"""),"FALSO")</f>
        <v>FALSO</v>
      </c>
    </row>
    <row r="3205">
      <c r="B3205" s="186" t="str">
        <f>IFERROR(__xludf.DUMMYFUNCTION("""COMPUTED_VALUE"""),"PI5778Y")</f>
        <v>PI5778Y</v>
      </c>
      <c r="C3205" s="186" t="str">
        <f>IFERROR(__xludf.DUMMYFUNCTION("""COMPUTED_VALUE"""),"CARTAO POP UP CAIXA DE PRESENTE")</f>
        <v>CARTAO POP UP CAIXA DE PRESENTE</v>
      </c>
      <c r="D3205" s="186" t="str">
        <f>IFERROR(__xludf.DUMMYFUNCTION("""COMPUTED_VALUE"""),"FALSO")</f>
        <v>FALSO</v>
      </c>
    </row>
    <row r="3206">
      <c r="B3206" s="186" t="str">
        <f>IFERROR(__xludf.DUMMYFUNCTION("""COMPUTED_VALUE"""),"PI5778Y")</f>
        <v>PI5778Y</v>
      </c>
      <c r="C3206" s="186" t="str">
        <f>IFERROR(__xludf.DUMMYFUNCTION("""COMPUTED_VALUE"""),"CARTAO POP UP CAIXA DE PRESENTE")</f>
        <v>CARTAO POP UP CAIXA DE PRESENTE</v>
      </c>
      <c r="D3206" s="186" t="str">
        <f>IFERROR(__xludf.DUMMYFUNCTION("""COMPUTED_VALUE"""),"FALSO")</f>
        <v>FALSO</v>
      </c>
    </row>
    <row r="3207">
      <c r="B3207" s="186" t="str">
        <f>IFERROR(__xludf.DUMMYFUNCTION("""COMPUTED_VALUE"""),"PI5771Y")</f>
        <v>PI5771Y</v>
      </c>
      <c r="C3207" s="186" t="str">
        <f>IFERROR(__xludf.DUMMYFUNCTION("""COMPUTED_VALUE"""),"PORTA BIJOUX MISTICO MAO TAROT")</f>
        <v>PORTA BIJOUX MISTICO MAO TAROT</v>
      </c>
      <c r="D3207" s="186" t="str">
        <f>IFERROR(__xludf.DUMMYFUNCTION("""COMPUTED_VALUE"""),"FALSO")</f>
        <v>FALSO</v>
      </c>
    </row>
    <row r="3208">
      <c r="B3208" s="186" t="str">
        <f>IFERROR(__xludf.DUMMYFUNCTION("""COMPUTED_VALUE"""),"GE0086")</f>
        <v>GE0086</v>
      </c>
      <c r="C3208" s="186" t="str">
        <f>IFERROR(__xludf.DUMMYFUNCTION("""COMPUTED_VALUE"""),"PORTA BIJOUX SMILES")</f>
        <v>PORTA BIJOUX SMILES</v>
      </c>
      <c r="D3208" s="186" t="str">
        <f>IFERROR(__xludf.DUMMYFUNCTION("""COMPUTED_VALUE"""),"FALSO")</f>
        <v>FALSO</v>
      </c>
    </row>
    <row r="3209">
      <c r="B3209" s="186" t="str">
        <f>IFERROR(__xludf.DUMMYFUNCTION("""COMPUTED_VALUE"""),"PI5171Y")</f>
        <v>PI5171Y</v>
      </c>
      <c r="C3209" s="186" t="str">
        <f>IFERROR(__xludf.DUMMYFUNCTION("""COMPUTED_VALUE"""),"CLIMATIZADOR DE AR PORTATIL RETRO CLIMAO")</f>
        <v>CLIMATIZADOR DE AR PORTATIL RETRO CLIMAO</v>
      </c>
      <c r="D3209" s="186" t="str">
        <f>IFERROR(__xludf.DUMMYFUNCTION("""COMPUTED_VALUE"""),"FALSO")</f>
        <v>FALSO</v>
      </c>
    </row>
    <row r="3210">
      <c r="B3210" s="186" t="str">
        <f>IFERROR(__xludf.DUMMYFUNCTION("""COMPUTED_VALUE"""),"PI7463Y")</f>
        <v>PI7463Y</v>
      </c>
      <c r="C3210" s="186" t="str">
        <f>IFERROR(__xludf.DUMMYFUNCTION("""COMPUTED_VALUE"""),"CHURRASQUEIRA PORTATIL DIRETO AO PONTO")</f>
        <v>CHURRASQUEIRA PORTATIL DIRETO AO PONTO</v>
      </c>
      <c r="D3210" s="186" t="str">
        <f>IFERROR(__xludf.DUMMYFUNCTION("""COMPUTED_VALUE"""),"FALSO")</f>
        <v>FALSO</v>
      </c>
    </row>
    <row r="3211">
      <c r="B3211" s="186" t="str">
        <f>IFERROR(__xludf.DUMMYFUNCTION("""COMPUTED_VALUE"""),"PI6651Y")</f>
        <v>PI6651Y</v>
      </c>
      <c r="C3211" s="186" t="str">
        <f>IFERROR(__xludf.DUMMYFUNCTION("""COMPUTED_VALUE"""),"CHURRASQUEIRA PORTATIL FAZENDO CHURRASCO")</f>
        <v>CHURRASQUEIRA PORTATIL FAZENDO CHURRASCO</v>
      </c>
      <c r="D3211" s="186" t="str">
        <f>IFERROR(__xludf.DUMMYFUNCTION("""COMPUTED_VALUE"""),"FALSO")</f>
        <v>FALSO</v>
      </c>
    </row>
    <row r="3212">
      <c r="B3212" s="186" t="str">
        <f>IFERROR(__xludf.DUMMYFUNCTION("""COMPUTED_VALUE"""),"PI5558Y")</f>
        <v>PI5558Y</v>
      </c>
      <c r="C3212" s="186" t="str">
        <f>IFERROR(__xludf.DUMMYFUNCTION("""COMPUTED_VALUE"""),"KARAOKE PORTATIL 2 MIC ALTO E BOM TOM")</f>
        <v>KARAOKE PORTATIL 2 MIC ALTO E BOM TOM</v>
      </c>
      <c r="D3212" s="186" t="str">
        <f>IFERROR(__xludf.DUMMYFUNCTION("""COMPUTED_VALUE"""),"Anatel Category 2 - Bluetooth Module")</f>
        <v>Anatel Category 2 - Bluetooth Module</v>
      </c>
    </row>
    <row r="3213">
      <c r="B3213" s="186" t="str">
        <f>IFERROR(__xludf.DUMMYFUNCTION("""COMPUTED_VALUE"""),"PI5558Y")</f>
        <v>PI5558Y</v>
      </c>
      <c r="C3213" s="186" t="str">
        <f>IFERROR(__xludf.DUMMYFUNCTION("""COMPUTED_VALUE"""),"KARAOKE PORTATIL 2 MIC ALTO E BOM TOM")</f>
        <v>KARAOKE PORTATIL 2 MIC ALTO E BOM TOM</v>
      </c>
      <c r="D3213" s="186" t="str">
        <f>IFERROR(__xludf.DUMMYFUNCTION("""COMPUTED_VALUE"""),"Anatel Category 2 - Bluetooth Module")</f>
        <v>Anatel Category 2 - Bluetooth Module</v>
      </c>
    </row>
    <row r="3214">
      <c r="B3214" s="186" t="str">
        <f>IFERROR(__xludf.DUMMYFUNCTION("""COMPUTED_VALUE"""),"PI5558Y")</f>
        <v>PI5558Y</v>
      </c>
      <c r="C3214" s="186" t="str">
        <f>IFERROR(__xludf.DUMMYFUNCTION("""COMPUTED_VALUE"""),"KARAOKE PORTATIL 2 MIC ALTO E BOM TOM")</f>
        <v>KARAOKE PORTATIL 2 MIC ALTO E BOM TOM</v>
      </c>
      <c r="D3214" s="186" t="str">
        <f>IFERROR(__xludf.DUMMYFUNCTION("""COMPUTED_VALUE"""),"Anatel Category 2 - Bluetooth Module")</f>
        <v>Anatel Category 2 - Bluetooth Module</v>
      </c>
    </row>
    <row r="3215">
      <c r="B3215" s="186" t="str">
        <f>IFERROR(__xludf.DUMMYFUNCTION("""COMPUTED_VALUE"""),"PI5558Y")</f>
        <v>PI5558Y</v>
      </c>
      <c r="C3215" s="186" t="str">
        <f>IFERROR(__xludf.DUMMYFUNCTION("""COMPUTED_VALUE"""),"KARAOKE PORTATIL 2 MIC ALTO E BOM TOM")</f>
        <v>KARAOKE PORTATIL 2 MIC ALTO E BOM TOM</v>
      </c>
      <c r="D3215" s="186" t="str">
        <f>IFERROR(__xludf.DUMMYFUNCTION("""COMPUTED_VALUE"""),"Anatel Category 2 - Bluetooth Module")</f>
        <v>Anatel Category 2 - Bluetooth Module</v>
      </c>
    </row>
    <row r="3216">
      <c r="B3216" s="186" t="str">
        <f>IFERROR(__xludf.DUMMYFUNCTION("""COMPUTED_VALUE"""),"PI5558Y")</f>
        <v>PI5558Y</v>
      </c>
      <c r="C3216" s="186" t="str">
        <f>IFERROR(__xludf.DUMMYFUNCTION("""COMPUTED_VALUE"""),"KARAOKE PORTATIL 2 MIC ALTO E BOM TOM")</f>
        <v>KARAOKE PORTATIL 2 MIC ALTO E BOM TOM</v>
      </c>
      <c r="D3216" s="186" t="str">
        <f>IFERROR(__xludf.DUMMYFUNCTION("""COMPUTED_VALUE"""),"Anatel Category 2 - Bluetooth Module")</f>
        <v>Anatel Category 2 - Bluetooth Module</v>
      </c>
    </row>
    <row r="3217">
      <c r="B3217" s="186" t="str">
        <f>IFERROR(__xludf.DUMMYFUNCTION("""COMPUTED_VALUE"""),"PI7580Y")</f>
        <v>PI7580Y</v>
      </c>
      <c r="C3217" s="186" t="str">
        <f>IFERROR(__xludf.DUMMYFUNCTION("""COMPUTED_VALUE"""),"MIXER PORTATIL MISTURA DIFERENCIADA")</f>
        <v>MIXER PORTATIL MISTURA DIFERENCIADA</v>
      </c>
      <c r="D3217" s="186" t="str">
        <f>IFERROR(__xludf.DUMMYFUNCTION("""COMPUTED_VALUE"""),"FALSO")</f>
        <v>FALSO</v>
      </c>
    </row>
    <row r="3218">
      <c r="B3218" s="186" t="str">
        <f>IFERROR(__xludf.DUMMYFUNCTION("""COMPUTED_VALUE"""),"PI6725Y")</f>
        <v>PI6725Y</v>
      </c>
      <c r="C3218" s="186" t="str">
        <f>IFERROR(__xludf.DUMMYFUNCTION("""COMPUTED_VALUE"""),"MIXER PORTATIL TUDO JUNTO E MIXTURADO")</f>
        <v>MIXER PORTATIL TUDO JUNTO E MIXTURADO</v>
      </c>
      <c r="D3218" s="186" t="str">
        <f>IFERROR(__xludf.DUMMYFUNCTION("""COMPUTED_VALUE"""),"FALSO")</f>
        <v>FALSO</v>
      </c>
    </row>
    <row r="3219">
      <c r="B3219" s="186" t="str">
        <f>IFERROR(__xludf.DUMMYFUNCTION("""COMPUTED_VALUE"""),"PI6725Y")</f>
        <v>PI6725Y</v>
      </c>
      <c r="C3219" s="186" t="str">
        <f>IFERROR(__xludf.DUMMYFUNCTION("""COMPUTED_VALUE"""),"MIXER PORTATIL TUDO JUNTO E MIXTURADO")</f>
        <v>MIXER PORTATIL TUDO JUNTO E MIXTURADO</v>
      </c>
      <c r="D3219" s="186" t="str">
        <f>IFERROR(__xludf.DUMMYFUNCTION("""COMPUTED_VALUE"""),"FALSO")</f>
        <v>FALSO</v>
      </c>
    </row>
    <row r="3220">
      <c r="B3220" s="186" t="str">
        <f>IFERROR(__xludf.DUMMYFUNCTION("""COMPUTED_VALUE"""),"PI5103Y")</f>
        <v>PI5103Y</v>
      </c>
      <c r="C3220" s="186" t="str">
        <f>IFERROR(__xludf.DUMMYFUNCTION("""COMPUTED_VALUE"""),"PROJETOR PORTATIL NETFLIX VERMELHO")</f>
        <v>PROJETOR PORTATIL NETFLIX VERMELHO</v>
      </c>
      <c r="D3220" s="186" t="str">
        <f>IFERROR(__xludf.DUMMYFUNCTION("""COMPUTED_VALUE"""),"Anatel Category 2 - Bluetooth and Radiofrequency Comms")</f>
        <v>Anatel Category 2 - Bluetooth and Radiofrequency Comms</v>
      </c>
    </row>
    <row r="3221">
      <c r="B3221" s="186" t="str">
        <f>IFERROR(__xludf.DUMMYFUNCTION("""COMPUTED_VALUE"""),"PI6688Y")</f>
        <v>PI6688Y</v>
      </c>
      <c r="C3221" s="186" t="str">
        <f>IFERROR(__xludf.DUMMYFUNCTION("""COMPUTED_VALUE"""),"PARAFUSADEIRA PORTATIL COM CASE PRETO")</f>
        <v>PARAFUSADEIRA PORTATIL COM CASE PRETO</v>
      </c>
      <c r="D3221" s="186" t="str">
        <f>IFERROR(__xludf.DUMMYFUNCTION("""COMPUTED_VALUE"""),"FALSO")</f>
        <v>FALSO</v>
      </c>
    </row>
    <row r="3222">
      <c r="B3222" s="186" t="str">
        <f>IFERROR(__xludf.DUMMYFUNCTION("""COMPUTED_VALUE"""),"PI7223Y")</f>
        <v>PI7223Y</v>
      </c>
      <c r="C3222" s="186" t="str">
        <f>IFERROR(__xludf.DUMMYFUNCTION("""COMPUTED_VALUE"""),"CAIXA DE SOM PORTATIL COM ALCA PRETA")</f>
        <v>CAIXA DE SOM PORTATIL COM ALCA PRETA</v>
      </c>
      <c r="D3222" s="186" t="str">
        <f>IFERROR(__xludf.DUMMYFUNCTION("""COMPUTED_VALUE"""),"	Anatel Category 2 - Bluetooth and Radiofrequency Comms")</f>
        <v>	Anatel Category 2 - Bluetooth and Radiofrequency Comms</v>
      </c>
    </row>
    <row r="3223">
      <c r="B3223" s="186" t="str">
        <f>IFERROR(__xludf.DUMMYFUNCTION("""COMPUTED_VALUE"""),"PI7224Y")</f>
        <v>PI7224Y</v>
      </c>
      <c r="C3223" s="186" t="str">
        <f>IFERROR(__xludf.DUMMYFUNCTION("""COMPUTED_VALUE"""),"CAIXA DE SOM PORTATIL COM ALCA AZUL")</f>
        <v>CAIXA DE SOM PORTATIL COM ALCA AZUL</v>
      </c>
      <c r="D3223" s="186" t="str">
        <f>IFERROR(__xludf.DUMMYFUNCTION("""COMPUTED_VALUE"""),"	Anatel Category 2 - Bluetooth and Radiofrequency Comms")</f>
        <v>	Anatel Category 2 - Bluetooth and Radiofrequency Comms</v>
      </c>
    </row>
    <row r="3224">
      <c r="B3224" s="186" t="str">
        <f>IFERROR(__xludf.DUMMYFUNCTION("""COMPUTED_VALUE"""),"PI7226Y")</f>
        <v>PI7226Y</v>
      </c>
      <c r="C3224" s="186" t="str">
        <f>IFERROR(__xludf.DUMMYFUNCTION("""COMPUTED_VALUE"""),"CAIXA DE SOM PORTATIL COM ALCA VERDE")</f>
        <v>CAIXA DE SOM PORTATIL COM ALCA VERDE</v>
      </c>
      <c r="D3224" s="186" t="str">
        <f>IFERROR(__xludf.DUMMYFUNCTION("""COMPUTED_VALUE"""),"Anatel Category 2 - Bluetooth and Radiofrequency Comms")</f>
        <v>Anatel Category 2 - Bluetooth and Radiofrequency Comms</v>
      </c>
    </row>
    <row r="3225">
      <c r="B3225" s="186" t="str">
        <f>IFERROR(__xludf.DUMMYFUNCTION("""COMPUTED_VALUE"""),"PI7227Y")</f>
        <v>PI7227Y</v>
      </c>
      <c r="C3225" s="186" t="str">
        <f>IFERROR(__xludf.DUMMYFUNCTION("""COMPUTED_VALUE"""),"CAIXA DE SOM PORTATIL COM ALCA OFF WHITE")</f>
        <v>CAIXA DE SOM PORTATIL COM ALCA OFF WHITE</v>
      </c>
      <c r="D3225" s="186" t="str">
        <f>IFERROR(__xludf.DUMMYFUNCTION("""COMPUTED_VALUE"""),"Anatel Category 2 - Bluetooth and Radiofrequency Comms")</f>
        <v>Anatel Category 2 - Bluetooth and Radiofrequency Comms</v>
      </c>
    </row>
    <row r="3226">
      <c r="B3226" s="186" t="str">
        <f>IFERROR(__xludf.DUMMYFUNCTION("""COMPUTED_VALUE"""),"PI7225Y")</f>
        <v>PI7225Y</v>
      </c>
      <c r="C3226" s="186" t="str">
        <f>IFERROR(__xludf.DUMMYFUNCTION("""COMPUTED_VALUE"""),"CAIXA DE SOM PORTATIL COM ALCA ROSA")</f>
        <v>CAIXA DE SOM PORTATIL COM ALCA ROSA</v>
      </c>
      <c r="D3226" s="186" t="str">
        <f>IFERROR(__xludf.DUMMYFUNCTION("""COMPUTED_VALUE"""),"Anatel Category 2 - Bluetooth and Radiofrequency Comms")</f>
        <v>Anatel Category 2 - Bluetooth and Radiofrequency Comms</v>
      </c>
    </row>
    <row r="3227">
      <c r="B3227" s="186" t="str">
        <f>IFERROR(__xludf.DUMMYFUNCTION("""COMPUTED_VALUE"""),"GE0102")</f>
        <v>GE0102</v>
      </c>
      <c r="C3227" s="186" t="str">
        <f>IFERROR(__xludf.DUMMYFUNCTION("""COMPUTED_VALUE"""),"PORTA CHAVES COM FOTO NOVA MENSAGEM")</f>
        <v>PORTA CHAVES COM FOTO NOVA MENSAGEM</v>
      </c>
      <c r="D3227" s="186" t="str">
        <f>IFERROR(__xludf.DUMMYFUNCTION("""COMPUTED_VALUE"""),"FALSO")</f>
        <v>FALSO</v>
      </c>
    </row>
    <row r="3228">
      <c r="B3228" s="186" t="str">
        <f>IFERROR(__xludf.DUMMYFUNCTION("""COMPUTED_VALUE"""),"GE0090")</f>
        <v>GE0090</v>
      </c>
      <c r="C3228" s="186" t="str">
        <f>IFERROR(__xludf.DUMMYFUNCTION("""COMPUTED_VALUE"""),"PORTA CHAVES HP CARTA DE HOGWARTS")</f>
        <v>PORTA CHAVES HP CARTA DE HOGWARTS</v>
      </c>
      <c r="D3228" s="186" t="str">
        <f>IFERROR(__xludf.DUMMYFUNCTION("""COMPUTED_VALUE"""),"FALSO")</f>
        <v>FALSO</v>
      </c>
    </row>
    <row r="3229">
      <c r="B3229" s="186" t="str">
        <f>IFERROR(__xludf.DUMMYFUNCTION("""COMPUTED_VALUE"""),"GE0094")</f>
        <v>GE0094</v>
      </c>
      <c r="C3229" s="186" t="str">
        <f>IFERROR(__xludf.DUMMYFUNCTION("""COMPUTED_VALUE"""),"PORTA LIVROS AVENTURA")</f>
        <v>PORTA LIVROS AVENTURA</v>
      </c>
      <c r="D3229" s="186" t="str">
        <f>IFERROR(__xludf.DUMMYFUNCTION("""COMPUTED_VALUE"""),"FALSO")</f>
        <v>FALSO</v>
      </c>
    </row>
    <row r="3230">
      <c r="B3230" s="186" t="str">
        <f>IFERROR(__xludf.DUMMYFUNCTION("""COMPUTED_VALUE"""),"GE0095")</f>
        <v>GE0095</v>
      </c>
      <c r="C3230" s="186" t="str">
        <f>IFERROR(__xludf.DUMMYFUNCTION("""COMPUTED_VALUE"""),"PORTA LIVROS CASINHAS")</f>
        <v>PORTA LIVROS CASINHAS</v>
      </c>
      <c r="D3230" s="186" t="str">
        <f>IFERROR(__xludf.DUMMYFUNCTION("""COMPUTED_VALUE"""),"FALSO")</f>
        <v>FALSO</v>
      </c>
    </row>
    <row r="3231">
      <c r="B3231" s="186" t="str">
        <f>IFERROR(__xludf.DUMMYFUNCTION("""COMPUTED_VALUE"""),"GE0089")</f>
        <v>GE0089</v>
      </c>
      <c r="C3231" s="186" t="str">
        <f>IFERROR(__xludf.DUMMYFUNCTION("""COMPUTED_VALUE"""),"PORTA LIVROS HP CASTELO DE HOGWARTS")</f>
        <v>PORTA LIVROS HP CASTELO DE HOGWARTS</v>
      </c>
      <c r="D3231" s="186" t="str">
        <f>IFERROR(__xludf.DUMMYFUNCTION("""COMPUTED_VALUE"""),"FALSO")</f>
        <v>FALSO</v>
      </c>
    </row>
    <row r="3232">
      <c r="B3232" s="186" t="str">
        <f>IFERROR(__xludf.DUMMYFUNCTION("""COMPUTED_VALUE"""),"GE0096")</f>
        <v>GE0096</v>
      </c>
      <c r="C3232" s="186" t="str">
        <f>IFERROR(__xludf.DUMMYFUNCTION("""COMPUTED_VALUE"""),"PORTA RECADOS LOUSA IDEIAS BRILHANTES")</f>
        <v>PORTA RECADOS LOUSA IDEIAS BRILHANTES</v>
      </c>
      <c r="D3232" s="186" t="str">
        <f>IFERROR(__xludf.DUMMYFUNCTION("""COMPUTED_VALUE"""),"FALSO")</f>
        <v>FALSO</v>
      </c>
    </row>
    <row r="3233">
      <c r="B3233" s="186" t="str">
        <f>IFERROR(__xludf.DUMMYFUNCTION("""COMPUTED_VALUE"""),"CS2108")</f>
        <v>CS2108</v>
      </c>
      <c r="C3233" s="186" t="str">
        <f>IFERROR(__xludf.DUMMYFUNCTION("""COMPUTED_VALUE"""),"PORTA RETRATO AMOR SINGULAR")</f>
        <v>PORTA RETRATO AMOR SINGULAR</v>
      </c>
      <c r="D3233" s="186" t="str">
        <f>IFERROR(__xludf.DUMMYFUNCTION("""COMPUTED_VALUE"""),"FALSO")</f>
        <v>FALSO</v>
      </c>
    </row>
    <row r="3234">
      <c r="B3234" s="186" t="str">
        <f>IFERROR(__xludf.DUMMYFUNCTION("""COMPUTED_VALUE"""),"GE0088")</f>
        <v>GE0088</v>
      </c>
      <c r="C3234" s="186" t="str">
        <f>IFERROR(__xludf.DUMMYFUNCTION("""COMPUTED_VALUE"""),"PORTA RETRATO CORACAO COM A MAO")</f>
        <v>PORTA RETRATO CORACAO COM A MAO</v>
      </c>
      <c r="D3234" s="186" t="str">
        <f>IFERROR(__xludf.DUMMYFUNCTION("""COMPUTED_VALUE"""),"FALSO")</f>
        <v>FALSO</v>
      </c>
    </row>
    <row r="3235">
      <c r="B3235" s="186" t="str">
        <f>IFERROR(__xludf.DUMMYFUNCTION("""COMPUTED_VALUE"""),"CS2104")</f>
        <v>CS2104</v>
      </c>
      <c r="C3235" s="186" t="str">
        <f>IFERROR(__xludf.DUMMYFUNCTION("""COMPUTED_VALUE"""),"PORTA RETRATO DUPLO CARA METADE")</f>
        <v>PORTA RETRATO DUPLO CARA METADE</v>
      </c>
      <c r="D3235" s="186" t="str">
        <f>IFERROR(__xludf.DUMMYFUNCTION("""COMPUTED_VALUE"""),"FALSO")</f>
        <v>FALSO</v>
      </c>
    </row>
    <row r="3236">
      <c r="B3236" s="186" t="str">
        <f>IFERROR(__xludf.DUMMYFUNCTION("""COMPUTED_VALUE"""),"CS2102")</f>
        <v>CS2102</v>
      </c>
      <c r="C3236" s="186" t="str">
        <f>IFERROR(__xludf.DUMMYFUNCTION("""COMPUTED_VALUE"""),"PORTA RETRATO IMAS CORACAO EU E VC")</f>
        <v>PORTA RETRATO IMAS CORACAO EU E VC</v>
      </c>
      <c r="D3236" s="186" t="str">
        <f>IFERROR(__xludf.DUMMYFUNCTION("""COMPUTED_VALUE"""),"FALSO")</f>
        <v>FALSO</v>
      </c>
    </row>
    <row r="3237">
      <c r="B3237" s="186" t="str">
        <f>IFERROR(__xludf.DUMMYFUNCTION("""COMPUTED_VALUE"""),"CS2101")</f>
        <v>CS2101</v>
      </c>
      <c r="C3237" s="186" t="str">
        <f>IFERROR(__xludf.DUMMYFUNCTION("""COMPUTED_VALUE"""),"PORTA RETRATO IMAS MELHOR TBT")</f>
        <v>PORTA RETRATO IMAS MELHOR TBT</v>
      </c>
      <c r="D3237" s="186" t="str">
        <f>IFERROR(__xludf.DUMMYFUNCTION("""COMPUTED_VALUE"""),"FALSO")</f>
        <v>FALSO</v>
      </c>
    </row>
    <row r="3238">
      <c r="B3238" s="186" t="str">
        <f>IFERROR(__xludf.DUMMYFUNCTION("""COMPUTED_VALUE"""),"GE0092")</f>
        <v>GE0092</v>
      </c>
      <c r="C3238" s="186" t="str">
        <f>IFERROR(__xludf.DUMMYFUNCTION("""COMPUTED_VALUE"""),"PORTA RETRATOS IMAS CARTA DE BARALHO REI")</f>
        <v>PORTA RETRATOS IMAS CARTA DE BARALHO REI</v>
      </c>
      <c r="D3238" s="186" t="str">
        <f>IFERROR(__xludf.DUMMYFUNCTION("""COMPUTED_VALUE"""),"FALSO")</f>
        <v>FALSO</v>
      </c>
    </row>
    <row r="3239">
      <c r="B3239" s="186" t="str">
        <f>IFERROR(__xludf.DUMMYFUNCTION("""COMPUTED_VALUE"""),"GE0091")</f>
        <v>GE0091</v>
      </c>
      <c r="C3239" s="186" t="str">
        <f>IFERROR(__xludf.DUMMYFUNCTION("""COMPUTED_VALUE"""),"PORTA RETRATOS IMAS DEU MATCH")</f>
        <v>PORTA RETRATOS IMAS DEU MATCH</v>
      </c>
      <c r="D3239" s="186" t="str">
        <f>IFERROR(__xludf.DUMMYFUNCTION("""COMPUTED_VALUE"""),"FALSO")</f>
        <v>FALSO</v>
      </c>
    </row>
    <row r="3240">
      <c r="B3240" s="186" t="str">
        <f>IFERROR(__xludf.DUMMYFUNCTION("""COMPUTED_VALUE"""),"GE0087")</f>
        <v>GE0087</v>
      </c>
      <c r="C3240" s="186" t="str">
        <f>IFERROR(__xludf.DUMMYFUNCTION("""COMPUTED_VALUE"""),"PORTA RETRATO TAG CURTIDA")</f>
        <v>PORTA RETRATO TAG CURTIDA</v>
      </c>
      <c r="D3240" s="186" t="str">
        <f>IFERROR(__xludf.DUMMYFUNCTION("""COMPUTED_VALUE"""),"FALSO")</f>
        <v>FALSO</v>
      </c>
    </row>
    <row r="3241">
      <c r="B3241" s="186" t="str">
        <f>IFERROR(__xludf.DUMMYFUNCTION("""COMPUTED_VALUE"""),"GE0107")</f>
        <v>GE0107</v>
      </c>
      <c r="C3241" s="186" t="str">
        <f>IFERROR(__xludf.DUMMYFUNCTION("""COMPUTED_VALUE"""),"PORTA RETRATO TRIPLO QUADRINHOS")</f>
        <v>PORTA RETRATO TRIPLO QUADRINHOS</v>
      </c>
      <c r="D3241" s="186" t="str">
        <f>IFERROR(__xludf.DUMMYFUNCTION("""COMPUTED_VALUE"""),"FALSO")</f>
        <v>FALSO</v>
      </c>
    </row>
    <row r="3242">
      <c r="B3242" s="186" t="str">
        <f>IFERROR(__xludf.DUMMYFUNCTION("""COMPUTED_VALUE"""),"US0110")</f>
        <v>US0110</v>
      </c>
      <c r="C3242" s="186" t="str">
        <f>IFERROR(__xludf.DUMMYFUNCTION("""COMPUTED_VALUE"""),"LUMINARIA  PORTA ROLHAS GARRAFA ESCRITA")</f>
        <v>LUMINARIA  PORTA ROLHAS GARRAFA ESCRITA</v>
      </c>
      <c r="D3242" s="186" t="str">
        <f>IFERROR(__xludf.DUMMYFUNCTION("""COMPUTED_VALUE"""),"FALSO")</f>
        <v>FALSO</v>
      </c>
    </row>
    <row r="3243">
      <c r="B3243" s="186" t="str">
        <f>IFERROR(__xludf.DUMMYFUNCTION("""COMPUTED_VALUE"""),"CS2310")</f>
        <v>CS2310</v>
      </c>
      <c r="C3243" s="186" t="str">
        <f>IFERROR(__xludf.DUMMYFUNCTION("""COMPUTED_VALUE"""),"CARTAO POSTAL HP HOGWARTS")</f>
        <v>CARTAO POSTAL HP HOGWARTS</v>
      </c>
      <c r="D3243" s="186" t="str">
        <f>IFERROR(__xludf.DUMMYFUNCTION("""COMPUTED_VALUE"""),"FALSO")</f>
        <v>FALSO</v>
      </c>
    </row>
    <row r="3244">
      <c r="B3244" s="186" t="str">
        <f>IFERROR(__xludf.DUMMYFUNCTION("""COMPUTED_VALUE"""),"CS2310")</f>
        <v>CS2310</v>
      </c>
      <c r="C3244" s="186" t="str">
        <f>IFERROR(__xludf.DUMMYFUNCTION("""COMPUTED_VALUE"""),"CARTAO POSTAL HP HOGWARTS")</f>
        <v>CARTAO POSTAL HP HOGWARTS</v>
      </c>
      <c r="D3244" s="186" t="str">
        <f>IFERROR(__xludf.DUMMYFUNCTION("""COMPUTED_VALUE"""),"FALSO")</f>
        <v>FALSO</v>
      </c>
    </row>
    <row r="3245">
      <c r="B3245" s="186" t="str">
        <f>IFERROR(__xludf.DUMMYFUNCTION("""COMPUTED_VALUE"""),"PI5063Y")</f>
        <v>PI5063Y</v>
      </c>
      <c r="C3245" s="186" t="str">
        <f>IFERROR(__xludf.DUMMYFUNCTION("""COMPUTED_VALUE"""),"CARREGADOR PORTATIL CAPIVARA")</f>
        <v>CARREGADOR PORTATIL CAPIVARA</v>
      </c>
      <c r="D3245" s="186" t="str">
        <f>IFERROR(__xludf.DUMMYFUNCTION("""COMPUTED_VALUE"""),"FALSO")</f>
        <v>FALSO</v>
      </c>
    </row>
    <row r="3246">
      <c r="B3246" s="186" t="str">
        <f>IFERROR(__xludf.DUMMYFUNCTION("""COMPUTED_VALUE"""),"PI7711Y")</f>
        <v>PI7711Y</v>
      </c>
      <c r="C3246" s="186" t="str">
        <f>IFERROR(__xludf.DUMMYFUNCTION("""COMPUTED_VALUE"""),"CAMERA IMPRESSORA OFF WHITE")</f>
        <v>CAMERA IMPRESSORA OFF WHITE</v>
      </c>
      <c r="D3246" s="186" t="str">
        <f>IFERROR(__xludf.DUMMYFUNCTION("""COMPUTED_VALUE"""),"FALSO")</f>
        <v>FALSO</v>
      </c>
    </row>
    <row r="3247">
      <c r="B3247" s="186" t="str">
        <f>IFERROR(__xludf.DUMMYFUNCTION("""COMPUTED_VALUE"""),"PI5301Y")</f>
        <v>PI5301Y</v>
      </c>
      <c r="C3247" s="186" t="str">
        <f>IFERROR(__xludf.DUMMYFUNCTION("""COMPUTED_VALUE"""),"LUMINARIA PROJETORA ARCO IRIS LILAS")</f>
        <v>LUMINARIA PROJETORA ARCO IRIS LILAS</v>
      </c>
      <c r="D3247" s="186" t="str">
        <f>IFERROR(__xludf.DUMMYFUNCTION("""COMPUTED_VALUE"""),"FALSO")</f>
        <v>FALSO</v>
      </c>
    </row>
    <row r="3248">
      <c r="B3248" s="186" t="str">
        <f>IFERROR(__xludf.DUMMYFUNCTION("""COMPUTED_VALUE"""),"PI5334Y")</f>
        <v>PI5334Y</v>
      </c>
      <c r="C3248" s="186" t="str">
        <f>IFERROR(__xludf.DUMMYFUNCTION("""COMPUTED_VALUE"""),"LUMINARIA PROJETORA SIGNOS")</f>
        <v>LUMINARIA PROJETORA SIGNOS</v>
      </c>
      <c r="D3248" s="186" t="str">
        <f>IFERROR(__xludf.DUMMYFUNCTION("""COMPUTED_VALUE"""),"FALSO")</f>
        <v>FALSO</v>
      </c>
    </row>
    <row r="3249">
      <c r="B3249" s="186" t="str">
        <f>IFERROR(__xludf.DUMMYFUNCTION("""COMPUTED_VALUE"""),"PI5334Y")</f>
        <v>PI5334Y</v>
      </c>
      <c r="C3249" s="186" t="str">
        <f>IFERROR(__xludf.DUMMYFUNCTION("""COMPUTED_VALUE"""),"LUMINARIA PROJETORA SIGNOS")</f>
        <v>LUMINARIA PROJETORA SIGNOS</v>
      </c>
      <c r="D3249" s="186" t="str">
        <f>IFERROR(__xludf.DUMMYFUNCTION("""COMPUTED_VALUE"""),"FALSO")</f>
        <v>FALSO</v>
      </c>
    </row>
    <row r="3250">
      <c r="B3250" s="186" t="str">
        <f>IFERROR(__xludf.DUMMYFUNCTION("""COMPUTED_VALUE"""),"PI5334Y")</f>
        <v>PI5334Y</v>
      </c>
      <c r="C3250" s="186" t="str">
        <f>IFERROR(__xludf.DUMMYFUNCTION("""COMPUTED_VALUE"""),"LUMINARIA PROJETORA SIGNOS")</f>
        <v>LUMINARIA PROJETORA SIGNOS</v>
      </c>
      <c r="D3250" s="186" t="str">
        <f>IFERROR(__xludf.DUMMYFUNCTION("""COMPUTED_VALUE"""),"FALSO")</f>
        <v>FALSO</v>
      </c>
    </row>
    <row r="3251">
      <c r="B3251" s="186" t="str">
        <f>IFERROR(__xludf.DUMMYFUNCTION("""COMPUTED_VALUE"""),"PI5334Y")</f>
        <v>PI5334Y</v>
      </c>
      <c r="C3251" s="186" t="str">
        <f>IFERROR(__xludf.DUMMYFUNCTION("""COMPUTED_VALUE"""),"LUMINARIA PROJETORA SIGNOS")</f>
        <v>LUMINARIA PROJETORA SIGNOS</v>
      </c>
      <c r="D3251" s="186" t="str">
        <f>IFERROR(__xludf.DUMMYFUNCTION("""COMPUTED_VALUE"""),"FALSO")</f>
        <v>FALSO</v>
      </c>
    </row>
    <row r="3252">
      <c r="B3252" s="186" t="str">
        <f>IFERROR(__xludf.DUMMYFUNCTION("""COMPUTED_VALUE"""),"PI5334Y")</f>
        <v>PI5334Y</v>
      </c>
      <c r="C3252" s="186" t="str">
        <f>IFERROR(__xludf.DUMMYFUNCTION("""COMPUTED_VALUE"""),"LUMINARIA PROJETORA SIGNOS")</f>
        <v>LUMINARIA PROJETORA SIGNOS</v>
      </c>
      <c r="D3252" s="186" t="str">
        <f>IFERROR(__xludf.DUMMYFUNCTION("""COMPUTED_VALUE"""),"FALSO")</f>
        <v>FALSO</v>
      </c>
    </row>
    <row r="3253">
      <c r="B3253" s="186" t="str">
        <f>IFERROR(__xludf.DUMMYFUNCTION("""COMPUTED_VALUE"""),"PI5334Y")</f>
        <v>PI5334Y</v>
      </c>
      <c r="C3253" s="186" t="str">
        <f>IFERROR(__xludf.DUMMYFUNCTION("""COMPUTED_VALUE"""),"LUMINARIA PROJETORA SIGNOS")</f>
        <v>LUMINARIA PROJETORA SIGNOS</v>
      </c>
      <c r="D3253" s="186" t="str">
        <f>IFERROR(__xludf.DUMMYFUNCTION("""COMPUTED_VALUE"""),"FALSO")</f>
        <v>FALSO</v>
      </c>
    </row>
    <row r="3254">
      <c r="B3254" s="186" t="str">
        <f>IFERROR(__xludf.DUMMYFUNCTION("""COMPUTED_VALUE"""),"PI5088Y")</f>
        <v>PI5088Y</v>
      </c>
      <c r="C3254" s="186" t="str">
        <f>IFERROR(__xludf.DUMMYFUNCTION("""COMPUTED_VALUE"""),"GUARDA CHUVA PARA PET CAO DE GUARDA")</f>
        <v>GUARDA CHUVA PARA PET CAO DE GUARDA</v>
      </c>
      <c r="D3254" s="186" t="str">
        <f>IFERROR(__xludf.DUMMYFUNCTION("""COMPUTED_VALUE"""),"FALSO")</f>
        <v>FALSO</v>
      </c>
    </row>
    <row r="3255">
      <c r="B3255" s="186" t="str">
        <f>IFERROR(__xludf.DUMMYFUNCTION("""COMPUTED_VALUE"""),"PI6460Y")</f>
        <v>PI6460Y</v>
      </c>
      <c r="C3255" s="186" t="str">
        <f>IFERROR(__xludf.DUMMYFUNCTION("""COMPUTED_VALUE"""),"CAIXA DE SOM PORTÁTIL ROXO")</f>
        <v>CAIXA DE SOM PORTÁTIL ROXO</v>
      </c>
      <c r="D3255" s="186" t="str">
        <f>IFERROR(__xludf.DUMMYFUNCTION("""COMPUTED_VALUE"""),"Anatel Category 2 - Bluetooth and Radiofrequency Comms")</f>
        <v>Anatel Category 2 - Bluetooth and Radiofrequency Comms</v>
      </c>
    </row>
    <row r="3256">
      <c r="B3256" s="186"/>
      <c r="C3256" s="186"/>
      <c r="D3256" s="186"/>
    </row>
    <row r="3257">
      <c r="B3257" s="186" t="str">
        <f>IFERROR(__xludf.DUMMYFUNCTION("""COMPUTED_VALUE"""),"AC2140Y")</f>
        <v>AC2140Y</v>
      </c>
      <c r="C3257" s="186" t="str">
        <f>IFERROR(__xludf.DUMMYFUNCTION("""COMPUTED_VALUE"""),"NIQUELEIRA PLANNER HP PI4942Y")</f>
        <v>NIQUELEIRA PLANNER HP PI4942Y</v>
      </c>
      <c r="D3257" s="186" t="str">
        <f>IFERROR(__xludf.DUMMYFUNCTION("""COMPUTED_VALUE"""),"FALSO")</f>
        <v>FALSO</v>
      </c>
    </row>
    <row r="3258">
      <c r="B3258" s="186" t="str">
        <f>IFERROR(__xludf.DUMMYFUNCTION("""COMPUTED_VALUE"""),"PI5062Y")</f>
        <v>PI5062Y</v>
      </c>
      <c r="C3258" s="186" t="str">
        <f>IFERROR(__xludf.DUMMYFUNCTION("""COMPUTED_VALUE"""),"ESPELHO DE BOLSA COM CAIXINHA SOL")</f>
        <v>ESPELHO DE BOLSA COM CAIXINHA SOL</v>
      </c>
      <c r="D3258" s="186" t="str">
        <f>IFERROR(__xludf.DUMMYFUNCTION("""COMPUTED_VALUE"""),"FALSO")</f>
        <v>FALSO</v>
      </c>
    </row>
    <row r="3259">
      <c r="B3259" s="186" t="str">
        <f>IFERROR(__xludf.DUMMYFUNCTION("""COMPUTED_VALUE"""),"GR0005")</f>
        <v>GR0005</v>
      </c>
      <c r="C3259" s="186" t="str">
        <f>IFERROR(__xludf.DUMMYFUNCTION("""COMPUTED_VALUE"""),"JOGO HP GROW 4")</f>
        <v>JOGO HP GROW 4</v>
      </c>
      <c r="D3259" s="186" t="str">
        <f>IFERROR(__xludf.DUMMYFUNCTION("""COMPUTED_VALUE"""),"FALSO")</f>
        <v>FALSO</v>
      </c>
    </row>
    <row r="3260">
      <c r="B3260" s="186" t="str">
        <f>IFERROR(__xludf.DUMMYFUNCTION("""COMPUTED_VALUE"""),"GR0003")</f>
        <v>GR0003</v>
      </c>
      <c r="C3260" s="186" t="str">
        <f>IFERROR(__xludf.DUMMYFUNCTION("""COMPUTED_VALUE"""),"JOGO HP GROW 2")</f>
        <v>JOGO HP GROW 2</v>
      </c>
      <c r="D3260" s="186" t="str">
        <f>IFERROR(__xludf.DUMMYFUNCTION("""COMPUTED_VALUE"""),"FALSO")</f>
        <v>FALSO</v>
      </c>
    </row>
    <row r="3261">
      <c r="B3261" s="186" t="str">
        <f>IFERROR(__xludf.DUMMYFUNCTION("""COMPUTED_VALUE"""),"GR0004")</f>
        <v>GR0004</v>
      </c>
      <c r="C3261" s="186" t="str">
        <f>IFERROR(__xludf.DUMMYFUNCTION("""COMPUTED_VALUE"""),"JOGO HP GROW 3")</f>
        <v>JOGO HP GROW 3</v>
      </c>
      <c r="D3261" s="186" t="str">
        <f>IFERROR(__xludf.DUMMYFUNCTION("""COMPUTED_VALUE"""),"FALSO")</f>
        <v>FALSO</v>
      </c>
    </row>
    <row r="3262">
      <c r="B3262" s="186" t="str">
        <f>IFERROR(__xludf.DUMMYFUNCTION("""COMPUTED_VALUE"""),"GR0001")</f>
        <v>GR0001</v>
      </c>
      <c r="C3262" s="186" t="str">
        <f>IFERROR(__xludf.DUMMYFUNCTION("""COMPUTED_VALUE"""),"JOGO HP GROW 6")</f>
        <v>JOGO HP GROW 6</v>
      </c>
      <c r="D3262" s="186" t="str">
        <f>IFERROR(__xludf.DUMMYFUNCTION("""COMPUTED_VALUE"""),"FALSO")</f>
        <v>FALSO</v>
      </c>
    </row>
    <row r="3263">
      <c r="B3263" s="186" t="str">
        <f>IFERROR(__xludf.DUMMYFUNCTION("""COMPUTED_VALUE"""),"GR0002")</f>
        <v>GR0002</v>
      </c>
      <c r="C3263" s="186" t="str">
        <f>IFERROR(__xludf.DUMMYFUNCTION("""COMPUTED_VALUE"""),"JOGO HP GROW 1")</f>
        <v>JOGO HP GROW 1</v>
      </c>
      <c r="D3263" s="186" t="str">
        <f>IFERROR(__xludf.DUMMYFUNCTION("""COMPUTED_VALUE"""),"FALSO")</f>
        <v>FALSO</v>
      </c>
    </row>
    <row r="3264">
      <c r="B3264" s="186" t="str">
        <f>IFERROR(__xludf.DUMMYFUNCTION("""COMPUTED_VALUE"""),"CS2232")</f>
        <v>CS2232</v>
      </c>
      <c r="C3264" s="186" t="str">
        <f>IFERROR(__xludf.DUMMYFUNCTION("""COMPUTED_VALUE"""),"QUADRO AZULEJO FELIPE MOROZINI EXISTIA")</f>
        <v>QUADRO AZULEJO FELIPE MOROZINI EXISTIA</v>
      </c>
      <c r="D3264" s="186" t="str">
        <f>IFERROR(__xludf.DUMMYFUNCTION("""COMPUTED_VALUE"""),"FALSO")</f>
        <v>FALSO</v>
      </c>
    </row>
    <row r="3265">
      <c r="B3265" s="186" t="str">
        <f>IFERROR(__xludf.DUMMYFUNCTION("""COMPUTED_VALUE"""),"CS2233")</f>
        <v>CS2233</v>
      </c>
      <c r="C3265" s="186" t="str">
        <f>IFERROR(__xludf.DUMMYFUNCTION("""COMPUTED_VALUE"""),"QUADRO AZULEJO FELIPE MOROZINI ME VEJO")</f>
        <v>QUADRO AZULEJO FELIPE MOROZINI ME VEJO</v>
      </c>
      <c r="D3265" s="186" t="str">
        <f>IFERROR(__xludf.DUMMYFUNCTION("""COMPUTED_VALUE"""),"FALSO")</f>
        <v>FALSO</v>
      </c>
    </row>
    <row r="3266">
      <c r="B3266" s="186" t="str">
        <f>IFERROR(__xludf.DUMMYFUNCTION("""COMPUTED_VALUE"""),"CS2234")</f>
        <v>CS2234</v>
      </c>
      <c r="C3266" s="186" t="str">
        <f>IFERROR(__xludf.DUMMYFUNCTION("""COMPUTED_VALUE"""),"QUADRO AZULEJO FELIPE MOROZINI SOU FELIZ")</f>
        <v>QUADRO AZULEJO FELIPE MOROZINI SOU FELIZ</v>
      </c>
      <c r="D3266" s="186" t="str">
        <f>IFERROR(__xludf.DUMMYFUNCTION("""COMPUTED_VALUE"""),"FALSO")</f>
        <v>FALSO</v>
      </c>
    </row>
    <row r="3267">
      <c r="B3267" s="186" t="str">
        <f>IFERROR(__xludf.DUMMYFUNCTION("""COMPUTED_VALUE"""),"CS2155")</f>
        <v>CS2155</v>
      </c>
      <c r="C3267" s="186" t="str">
        <f>IFERROR(__xludf.DUMMYFUNCTION("""COMPUTED_VALUE"""),"QUEBRA CABECA FORMATO CORACAO")</f>
        <v>QUEBRA CABECA FORMATO CORACAO</v>
      </c>
      <c r="D3267" s="186" t="str">
        <f>IFERROR(__xludf.DUMMYFUNCTION("""COMPUTED_VALUE"""),"INMETRO Toys System 5 - Ordinance 302 (Factory)")</f>
        <v>INMETRO Toys System 5 - Ordinance 302 (Factory)</v>
      </c>
    </row>
    <row r="3268">
      <c r="B3268" s="186" t="str">
        <f>IFERROR(__xludf.DUMMYFUNCTION("""COMPUTED_VALUE"""),"PI6816Y")</f>
        <v>PI6816Y</v>
      </c>
      <c r="C3268" s="186" t="str">
        <f>IFERROR(__xludf.DUMMYFUNCTION("""COMPUTED_VALUE"""),"ROUPAO QUADRIBOL HP GRIFINORIA")</f>
        <v>ROUPAO QUADRIBOL HP GRIFINORIA</v>
      </c>
      <c r="D3268" s="186" t="str">
        <f>IFERROR(__xludf.DUMMYFUNCTION("""COMPUTED_VALUE"""),"FALSO")</f>
        <v>FALSO</v>
      </c>
    </row>
    <row r="3269">
      <c r="B3269" s="186" t="str">
        <f>IFERROR(__xludf.DUMMYFUNCTION("""COMPUTED_VALUE"""),"PI7374Y")</f>
        <v>PI7374Y</v>
      </c>
      <c r="C3269" s="186" t="str">
        <f>IFERROR(__xludf.DUMMYFUNCTION("""COMPUTED_VALUE"""),"CHAVEIRO PELUCIA COELHO")</f>
        <v>CHAVEIRO PELUCIA COELHO</v>
      </c>
      <c r="D3269" s="186" t="str">
        <f>IFERROR(__xludf.DUMMYFUNCTION("""COMPUTED_VALUE"""),"INMETRO Toys System 5 - Ordinance 302")</f>
        <v>INMETRO Toys System 5 - Ordinance 302</v>
      </c>
    </row>
    <row r="3270">
      <c r="B3270" s="186" t="str">
        <f>IFERROR(__xludf.DUMMYFUNCTION("""COMPUTED_VALUE"""),"PI7563Y")</f>
        <v>PI7563Y</v>
      </c>
      <c r="C3270" s="186" t="str">
        <f>IFERROR(__xludf.DUMMYFUNCTION("""COMPUTED_VALUE"""),"CANETA PINGENTE ARCO IRIS")</f>
        <v>CANETA PINGENTE ARCO IRIS</v>
      </c>
      <c r="D3270" s="186" t="str">
        <f>IFERROR(__xludf.DUMMYFUNCTION("""COMPUTED_VALUE"""),"INMETRO SCHOOL ARTICLES SYSTEM 5 - ORDINANCE 481")</f>
        <v>INMETRO SCHOOL ARTICLES SYSTEM 5 - ORDINANCE 481</v>
      </c>
    </row>
    <row r="3271">
      <c r="B3271" s="186" t="str">
        <f>IFERROR(__xludf.DUMMYFUNCTION("""COMPUTED_VALUE"""),"PI4948Y")</f>
        <v>PI4948Y</v>
      </c>
      <c r="C3271" s="186" t="str">
        <f>IFERROR(__xludf.DUMMYFUNCTION("""COMPUTED_VALUE"""),"LUMINARIA DE LEITURA ARTICULADA BEATLES")</f>
        <v>LUMINARIA DE LEITURA ARTICULADA BEATLES</v>
      </c>
      <c r="D3271" s="186" t="str">
        <f>IFERROR(__xludf.DUMMYFUNCTION("""COMPUTED_VALUE"""),"FALSO")</f>
        <v>FALSO</v>
      </c>
    </row>
    <row r="3272">
      <c r="B3272" s="186" t="str">
        <f>IFERROR(__xludf.DUMMYFUNCTION("""COMPUTED_VALUE"""),"PI6173Y")</f>
        <v>PI6173Y</v>
      </c>
      <c r="C3272" s="186" t="str">
        <f>IFERROR(__xludf.DUMMYFUNCTION("""COMPUTED_VALUE"""),"LUMINARIA DE LEITURA BORIS")</f>
        <v>LUMINARIA DE LEITURA BORIS</v>
      </c>
      <c r="D3272" s="186" t="str">
        <f>IFERROR(__xludf.DUMMYFUNCTION("""COMPUTED_VALUE"""),"FALSO")</f>
        <v>FALSO</v>
      </c>
    </row>
    <row r="3273">
      <c r="B3273" s="186" t="str">
        <f>IFERROR(__xludf.DUMMYFUNCTION("""COMPUTED_VALUE"""),"PI6173Y")</f>
        <v>PI6173Y</v>
      </c>
      <c r="C3273" s="186" t="str">
        <f>IFERROR(__xludf.DUMMYFUNCTION("""COMPUTED_VALUE"""),"LUMINARIA DE LEITURA BORIS")</f>
        <v>LUMINARIA DE LEITURA BORIS</v>
      </c>
      <c r="D3273" s="186" t="str">
        <f>IFERROR(__xludf.DUMMYFUNCTION("""COMPUTED_VALUE"""),"FALSO")</f>
        <v>FALSO</v>
      </c>
    </row>
    <row r="3274">
      <c r="B3274" s="186" t="str">
        <f>IFERROR(__xludf.DUMMYFUNCTION("""COMPUTED_VALUE"""),"PI7514Y")</f>
        <v>PI7514Y</v>
      </c>
      <c r="C3274" s="186" t="str">
        <f>IFERROR(__xludf.DUMMYFUNCTION("""COMPUTED_VALUE"""),"LUMINARIA DE LEITURA BORIS STYLE")</f>
        <v>LUMINARIA DE LEITURA BORIS STYLE</v>
      </c>
      <c r="D3274" s="186" t="str">
        <f>IFERROR(__xludf.DUMMYFUNCTION("""COMPUTED_VALUE"""),"FALSO")</f>
        <v>FALSO</v>
      </c>
    </row>
    <row r="3275">
      <c r="B3275" s="186" t="str">
        <f>IFERROR(__xludf.DUMMYFUNCTION("""COMPUTED_VALUE"""),"PI7515Y")</f>
        <v>PI7515Y</v>
      </c>
      <c r="C3275" s="186" t="str">
        <f>IFERROR(__xludf.DUMMYFUNCTION("""COMPUTED_VALUE"""),"LUMINARIA DE LEITURA CATITA STYLE")</f>
        <v>LUMINARIA DE LEITURA CATITA STYLE</v>
      </c>
      <c r="D3275" s="186" t="str">
        <f>IFERROR(__xludf.DUMMYFUNCTION("""COMPUTED_VALUE"""),"FALSO")</f>
        <v>FALSO</v>
      </c>
    </row>
    <row r="3276">
      <c r="B3276" s="186" t="str">
        <f>IFERROR(__xludf.DUMMYFUNCTION("""COMPUTED_VALUE"""),"PI7518Y")</f>
        <v>PI7518Y</v>
      </c>
      <c r="C3276" s="186" t="str">
        <f>IFERROR(__xludf.DUMMYFUNCTION("""COMPUTED_VALUE"""),"LUMINARIA DE LEITURA GURUMELO STYLE")</f>
        <v>LUMINARIA DE LEITURA GURUMELO STYLE</v>
      </c>
      <c r="D3276" s="186" t="str">
        <f>IFERROR(__xludf.DUMMYFUNCTION("""COMPUTED_VALUE"""),"FALSO")</f>
        <v>FALSO</v>
      </c>
    </row>
    <row r="3277">
      <c r="B3277" s="186" t="str">
        <f>IFERROR(__xludf.DUMMYFUNCTION("""COMPUTED_VALUE"""),"PI7536Y")</f>
        <v>PI7536Y</v>
      </c>
      <c r="C3277" s="186" t="str">
        <f>IFERROR(__xludf.DUMMYFUNCTION("""COMPUTED_VALUE"""),"LUMINARIA DE LEITURA HP EDWIGES")</f>
        <v>LUMINARIA DE LEITURA HP EDWIGES</v>
      </c>
      <c r="D3277" s="186" t="str">
        <f>IFERROR(__xludf.DUMMYFUNCTION("""COMPUTED_VALUE"""),"FALSO")</f>
        <v>FALSO</v>
      </c>
    </row>
    <row r="3278">
      <c r="B3278" s="186" t="str">
        <f>IFERROR(__xludf.DUMMYFUNCTION("""COMPUTED_VALUE"""),"PI7536Y")</f>
        <v>PI7536Y</v>
      </c>
      <c r="C3278" s="186" t="str">
        <f>IFERROR(__xludf.DUMMYFUNCTION("""COMPUTED_VALUE"""),"LUMINARIA DE LEITURA HP EDWIGES")</f>
        <v>LUMINARIA DE LEITURA HP EDWIGES</v>
      </c>
      <c r="D3278" s="186" t="str">
        <f>IFERROR(__xludf.DUMMYFUNCTION("""COMPUTED_VALUE"""),"FALSO")</f>
        <v>FALSO</v>
      </c>
    </row>
    <row r="3279">
      <c r="B3279" s="186" t="str">
        <f>IFERROR(__xludf.DUMMYFUNCTION("""COMPUTED_VALUE"""),"PI5288Y")</f>
        <v>PI5288Y</v>
      </c>
      <c r="C3279" s="186" t="str">
        <f>IFERROR(__xludf.DUMMYFUNCTION("""COMPUTED_VALUE"""),"LUMINARIA DE LEITURA ARTICULADA HP HARRY")</f>
        <v>LUMINARIA DE LEITURA ARTICULADA HP HARRY</v>
      </c>
      <c r="D3279" s="186" t="str">
        <f>IFERROR(__xludf.DUMMYFUNCTION("""COMPUTED_VALUE"""),"FALSO")</f>
        <v>FALSO</v>
      </c>
    </row>
    <row r="3280">
      <c r="B3280" s="186" t="str">
        <f>IFERROR(__xludf.DUMMYFUNCTION("""COMPUTED_VALUE"""),"PI5288Y")</f>
        <v>PI5288Y</v>
      </c>
      <c r="C3280" s="186" t="str">
        <f>IFERROR(__xludf.DUMMYFUNCTION("""COMPUTED_VALUE"""),"LUMINARIA DE LEITURA ARTICULADA HP HARRY")</f>
        <v>LUMINARIA DE LEITURA ARTICULADA HP HARRY</v>
      </c>
      <c r="D3280" s="186" t="str">
        <f>IFERROR(__xludf.DUMMYFUNCTION("""COMPUTED_VALUE"""),"FALSO")</f>
        <v>FALSO</v>
      </c>
    </row>
    <row r="3281">
      <c r="B3281" s="186" t="str">
        <f>IFERROR(__xludf.DUMMYFUNCTION("""COMPUTED_VALUE"""),"PI5288Y")</f>
        <v>PI5288Y</v>
      </c>
      <c r="C3281" s="186" t="str">
        <f>IFERROR(__xludf.DUMMYFUNCTION("""COMPUTED_VALUE"""),"LUMINARIA DE LEITURA ARTICULADA HP HARRY")</f>
        <v>LUMINARIA DE LEITURA ARTICULADA HP HARRY</v>
      </c>
      <c r="D3281" s="186" t="str">
        <f>IFERROR(__xludf.DUMMYFUNCTION("""COMPUTED_VALUE"""),"FALSO")</f>
        <v>FALSO</v>
      </c>
    </row>
    <row r="3282">
      <c r="B3282" s="186" t="str">
        <f>IFERROR(__xludf.DUMMYFUNCTION("""COMPUTED_VALUE"""),"PI5288Y")</f>
        <v>PI5288Y</v>
      </c>
      <c r="C3282" s="186" t="str">
        <f>IFERROR(__xludf.DUMMYFUNCTION("""COMPUTED_VALUE"""),"LUMINARIA DE LEITURA ARTICULADA HP HARRY")</f>
        <v>LUMINARIA DE LEITURA ARTICULADA HP HARRY</v>
      </c>
      <c r="D3282" s="186" t="str">
        <f>IFERROR(__xludf.DUMMYFUNCTION("""COMPUTED_VALUE"""),"FALSO")</f>
        <v>FALSO</v>
      </c>
    </row>
    <row r="3283">
      <c r="B3283" s="186" t="str">
        <f>IFERROR(__xludf.DUMMYFUNCTION("""COMPUTED_VALUE"""),"PI5288Y")</f>
        <v>PI5288Y</v>
      </c>
      <c r="C3283" s="186" t="str">
        <f>IFERROR(__xludf.DUMMYFUNCTION("""COMPUTED_VALUE"""),"LUMINARIA DE LEITURA ARTICULADA HP HARRY")</f>
        <v>LUMINARIA DE LEITURA ARTICULADA HP HARRY</v>
      </c>
      <c r="D3283" s="186" t="str">
        <f>IFERROR(__xludf.DUMMYFUNCTION("""COMPUTED_VALUE"""),"FALSO")</f>
        <v>FALSO</v>
      </c>
    </row>
    <row r="3284">
      <c r="B3284" s="186"/>
      <c r="C3284" s="186"/>
      <c r="D3284" s="186"/>
    </row>
    <row r="3285">
      <c r="B3285" s="186"/>
      <c r="C3285" s="186"/>
      <c r="D3285" s="186"/>
    </row>
    <row r="3286">
      <c r="B3286" s="186" t="str">
        <f>IFERROR(__xludf.DUMMYFUNCTION("""COMPUTED_VALUE"""),"PI7533Y")</f>
        <v>PI7533Y</v>
      </c>
      <c r="C3286" s="186" t="str">
        <f>IFERROR(__xludf.DUMMYFUNCTION("""COMPUTED_VALUE"""),"LUMINARIA DE LEITURA HP HERMIONE")</f>
        <v>LUMINARIA DE LEITURA HP HERMIONE</v>
      </c>
      <c r="D3286" s="186" t="str">
        <f>IFERROR(__xludf.DUMMYFUNCTION("""COMPUTED_VALUE"""),"FALSO")</f>
        <v>FALSO</v>
      </c>
    </row>
    <row r="3287">
      <c r="B3287" s="186" t="str">
        <f>IFERROR(__xludf.DUMMYFUNCTION("""COMPUTED_VALUE"""),"PI4831Y")</f>
        <v>PI4831Y</v>
      </c>
      <c r="C3287" s="186" t="str">
        <f>IFERROR(__xludf.DUMMYFUNCTION("""COMPUTED_VALUE"""),"LUMINARIA DE LEITURA ARTICULADA HP LUNA")</f>
        <v>LUMINARIA DE LEITURA ARTICULADA HP LUNA</v>
      </c>
      <c r="D3287" s="186" t="str">
        <f>IFERROR(__xludf.DUMMYFUNCTION("""COMPUTED_VALUE"""),"FALSO")</f>
        <v>FALSO</v>
      </c>
    </row>
    <row r="3288">
      <c r="B3288" s="186" t="str">
        <f>IFERROR(__xludf.DUMMYFUNCTION("""COMPUTED_VALUE"""),"PI4831Y")</f>
        <v>PI4831Y</v>
      </c>
      <c r="C3288" s="186" t="str">
        <f>IFERROR(__xludf.DUMMYFUNCTION("""COMPUTED_VALUE"""),"LUMINARIA DE LEITURA ARTICULADA HP LUNA")</f>
        <v>LUMINARIA DE LEITURA ARTICULADA HP LUNA</v>
      </c>
      <c r="D3288" s="186" t="str">
        <f>IFERROR(__xludf.DUMMYFUNCTION("""COMPUTED_VALUE"""),"FALSO")</f>
        <v>FALSO</v>
      </c>
    </row>
    <row r="3289">
      <c r="B3289" s="186" t="str">
        <f>IFERROR(__xludf.DUMMYFUNCTION("""COMPUTED_VALUE"""),"PI4831Y")</f>
        <v>PI4831Y</v>
      </c>
      <c r="C3289" s="186" t="str">
        <f>IFERROR(__xludf.DUMMYFUNCTION("""COMPUTED_VALUE"""),"LUMINARIA DE LEITURA ARTICULADA HP LUNA")</f>
        <v>LUMINARIA DE LEITURA ARTICULADA HP LUNA</v>
      </c>
      <c r="D3289" s="186" t="str">
        <f>IFERROR(__xludf.DUMMYFUNCTION("""COMPUTED_VALUE"""),"FALSO")</f>
        <v>FALSO</v>
      </c>
    </row>
    <row r="3290">
      <c r="B3290" s="186" t="str">
        <f>IFERROR(__xludf.DUMMYFUNCTION("""COMPUTED_VALUE"""),"PI7534Y")</f>
        <v>PI7534Y</v>
      </c>
      <c r="C3290" s="186" t="str">
        <f>IFERROR(__xludf.DUMMYFUNCTION("""COMPUTED_VALUE"""),"LUMINARIA DE LEITURA HP RONY")</f>
        <v>LUMINARIA DE LEITURA HP RONY</v>
      </c>
      <c r="D3290" s="186" t="str">
        <f>IFERROR(__xludf.DUMMYFUNCTION("""COMPUTED_VALUE"""),"FALSO")</f>
        <v>FALSO</v>
      </c>
    </row>
    <row r="3291">
      <c r="B3291" s="186" t="str">
        <f>IFERROR(__xludf.DUMMYFUNCTION("""COMPUTED_VALUE"""),"PI7535Y")</f>
        <v>PI7535Y</v>
      </c>
      <c r="C3291" s="186" t="str">
        <f>IFERROR(__xludf.DUMMYFUNCTION("""COMPUTED_VALUE"""),"LUMINARIA DE LEITURA HP VOLDEMORT")</f>
        <v>LUMINARIA DE LEITURA HP VOLDEMORT</v>
      </c>
      <c r="D3291" s="186" t="str">
        <f>IFERROR(__xludf.DUMMYFUNCTION("""COMPUTED_VALUE"""),"FALSO")</f>
        <v>FALSO</v>
      </c>
    </row>
    <row r="3292">
      <c r="B3292" s="186" t="str">
        <f>IFERROR(__xludf.DUMMYFUNCTION("""COMPUTED_VALUE"""),"PI7517Y")</f>
        <v>PI7517Y</v>
      </c>
      <c r="C3292" s="186" t="str">
        <f>IFERROR(__xludf.DUMMYFUNCTION("""COMPUTED_VALUE"""),"LUMINARIA DE LEITURA MELINHA STYLE")</f>
        <v>LUMINARIA DE LEITURA MELINHA STYLE</v>
      </c>
      <c r="D3292" s="186" t="str">
        <f>IFERROR(__xludf.DUMMYFUNCTION("""COMPUTED_VALUE"""),"FALSO")</f>
        <v>FALSO</v>
      </c>
    </row>
    <row r="3293">
      <c r="B3293" s="186" t="str">
        <f>IFERROR(__xludf.DUMMYFUNCTION("""COMPUTED_VALUE"""),"PI7516Y")</f>
        <v>PI7516Y</v>
      </c>
      <c r="C3293" s="186" t="str">
        <f>IFERROR(__xludf.DUMMYFUNCTION("""COMPUTED_VALUE"""),"LUMINARIA DE LEITURA MORCEGUITO STYLE")</f>
        <v>LUMINARIA DE LEITURA MORCEGUITO STYLE</v>
      </c>
      <c r="D3293" s="186" t="str">
        <f>IFERROR(__xludf.DUMMYFUNCTION("""COMPUTED_VALUE"""),"FALSO")</f>
        <v>FALSO</v>
      </c>
    </row>
    <row r="3294">
      <c r="B3294" s="186" t="str">
        <f>IFERROR(__xludf.DUMMYFUNCTION("""COMPUTED_VALUE"""),"PI5832Y")</f>
        <v>PI5832Y</v>
      </c>
      <c r="C3294" s="186" t="str">
        <f>IFERROR(__xludf.DUMMYFUNCTION("""COMPUTED_VALUE"""),"LUMINARIA RECARREGAVEL CORACAO")</f>
        <v>LUMINARIA RECARREGAVEL CORACAO</v>
      </c>
      <c r="D3294" s="186" t="str">
        <f>IFERROR(__xludf.DUMMYFUNCTION("""COMPUTED_VALUE"""),"FALSO")</f>
        <v>FALSO</v>
      </c>
    </row>
    <row r="3295">
      <c r="B3295" s="186" t="str">
        <f>IFERROR(__xludf.DUMMYFUNCTION("""COMPUTED_VALUE"""),"PI5815Y")</f>
        <v>PI5815Y</v>
      </c>
      <c r="C3295" s="186" t="str">
        <f>IFERROR(__xludf.DUMMYFUNCTION("""COMPUTED_VALUE"""),"ALBUM GRAVADOR NO CORACAO E NA MEMORIA")</f>
        <v>ALBUM GRAVADOR NO CORACAO E NA MEMORIA</v>
      </c>
      <c r="D3295" s="186" t="str">
        <f>IFERROR(__xludf.DUMMYFUNCTION("""COMPUTED_VALUE"""),"FALSO")</f>
        <v>FALSO</v>
      </c>
    </row>
    <row r="3296">
      <c r="B3296" s="186" t="str">
        <f>IFERROR(__xludf.DUMMYFUNCTION("""COMPUTED_VALUE"""),"PI6609Y")</f>
        <v>PI6609Y</v>
      </c>
      <c r="C3296" s="186" t="str">
        <f>IFERROR(__xludf.DUMMYFUNCTION("""COMPUTED_VALUE"""),"ALBUM GRAVADOR EU E VC")</f>
        <v>ALBUM GRAVADOR EU E VC</v>
      </c>
      <c r="D3296" s="186" t="str">
        <f>IFERROR(__xludf.DUMMYFUNCTION("""COMPUTED_VALUE"""),"FALSO")</f>
        <v>FALSO</v>
      </c>
    </row>
    <row r="3297">
      <c r="B3297" s="186" t="str">
        <f>IFERROR(__xludf.DUMMYFUNCTION("""COMPUTED_VALUE"""),"PI6609Y")</f>
        <v>PI6609Y</v>
      </c>
      <c r="C3297" s="186" t="str">
        <f>IFERROR(__xludf.DUMMYFUNCTION("""COMPUTED_VALUE"""),"ALBUM GRAVADOR EU E VC")</f>
        <v>ALBUM GRAVADOR EU E VC</v>
      </c>
      <c r="D3297" s="186" t="str">
        <f>IFERROR(__xludf.DUMMYFUNCTION("""COMPUTED_VALUE"""),"FALSO")</f>
        <v>FALSO</v>
      </c>
    </row>
    <row r="3298">
      <c r="B3298" s="186" t="str">
        <f>IFERROR(__xludf.DUMMYFUNCTION("""COMPUTED_VALUE"""),"PI5865Y")</f>
        <v>PI5865Y</v>
      </c>
      <c r="C3298" s="186" t="str">
        <f>IFERROR(__xludf.DUMMYFUNCTION("""COMPUTED_VALUE"""),"TRAVESSEIRO COM GRAVADOR MIX DE EMOCOES")</f>
        <v>TRAVESSEIRO COM GRAVADOR MIX DE EMOCOES</v>
      </c>
      <c r="D3298" s="186" t="str">
        <f>IFERROR(__xludf.DUMMYFUNCTION("""COMPUTED_VALUE"""),"INMETRO Toys System 5 - Ordinance 302")</f>
        <v>INMETRO Toys System 5 - Ordinance 302</v>
      </c>
    </row>
    <row r="3299">
      <c r="B3299" s="186" t="str">
        <f>IFERROR(__xludf.DUMMYFUNCTION("""COMPUTED_VALUE"""),"PI5874Y")</f>
        <v>PI5874Y</v>
      </c>
      <c r="C3299" s="186" t="str">
        <f>IFERROR(__xludf.DUMMYFUNCTION("""COMPUTED_VALUE"""),"PORTA RETRATO GRAVADOR MANDA UM AUDIO")</f>
        <v>PORTA RETRATO GRAVADOR MANDA UM AUDIO</v>
      </c>
      <c r="D3299" s="186" t="str">
        <f>IFERROR(__xludf.DUMMYFUNCTION("""COMPUTED_VALUE"""),"FALSO")</f>
        <v>FALSO</v>
      </c>
    </row>
    <row r="3300">
      <c r="B3300" s="186" t="str">
        <f>IFERROR(__xludf.DUMMYFUNCTION("""COMPUTED_VALUE"""),"PI5874Y")</f>
        <v>PI5874Y</v>
      </c>
      <c r="C3300" s="186" t="str">
        <f>IFERROR(__xludf.DUMMYFUNCTION("""COMPUTED_VALUE"""),"PORTA RETRATO GRAVADOR MANDA UM AUDIO")</f>
        <v>PORTA RETRATO GRAVADOR MANDA UM AUDIO</v>
      </c>
      <c r="D3300" s="186" t="str">
        <f>IFERROR(__xludf.DUMMYFUNCTION("""COMPUTED_VALUE"""),"FALSO")</f>
        <v>FALSO</v>
      </c>
    </row>
    <row r="3301">
      <c r="B3301" s="186" t="str">
        <f>IFERROR(__xludf.DUMMYFUNCTION("""COMPUTED_VALUE"""),"PI6459Y")</f>
        <v>PI6459Y</v>
      </c>
      <c r="C3301" s="186" t="str">
        <f>IFERROR(__xludf.DUMMYFUNCTION("""COMPUTED_VALUE"""),"CAIXA DE SOM PORTÁTIL VERMELHA")</f>
        <v>CAIXA DE SOM PORTÁTIL VERMELHA</v>
      </c>
      <c r="D3301" s="186" t="str">
        <f>IFERROR(__xludf.DUMMYFUNCTION("""COMPUTED_VALUE"""),"Anatel Category 2 - Bluetooth and Radiofrequency Comms")</f>
        <v>Anatel Category 2 - Bluetooth and Radiofrequency Comms</v>
      </c>
    </row>
    <row r="3302">
      <c r="B3302" s="186"/>
      <c r="C3302" s="186"/>
      <c r="D3302" s="186"/>
    </row>
    <row r="3303">
      <c r="B3303" s="186" t="str">
        <f>IFERROR(__xludf.DUMMYFUNCTION("""COMPUTED_VALUE"""),"PI6159")</f>
        <v>PI6159</v>
      </c>
      <c r="C3303" s="186" t="str">
        <f>IFERROR(__xludf.DUMMYFUNCTION("""COMPUTED_VALUE"""),"ESPELHO RETRÁTIL UM BOM DIA")</f>
        <v>ESPELHO RETRÁTIL UM BOM DIA</v>
      </c>
      <c r="D3303" s="186" t="str">
        <f>IFERROR(__xludf.DUMMYFUNCTION("""COMPUTED_VALUE"""),"FALSO")</f>
        <v>FALSO</v>
      </c>
    </row>
    <row r="3304">
      <c r="B3304" s="186" t="str">
        <f>IFERROR(__xludf.DUMMYFUNCTION("""COMPUTED_VALUE"""),"PI6998Y")</f>
        <v>PI6998Y</v>
      </c>
      <c r="C3304" s="186" t="str">
        <f>IFERROR(__xludf.DUMMYFUNCTION("""COMPUTED_VALUE"""),"PORTA RETRATO GIRATORIO CUBO")</f>
        <v>PORTA RETRATO GIRATORIO CUBO</v>
      </c>
      <c r="D3304" s="186" t="str">
        <f>IFERROR(__xludf.DUMMYFUNCTION("""COMPUTED_VALUE"""),"FALSO")</f>
        <v>FALSO</v>
      </c>
    </row>
    <row r="3305">
      <c r="B3305" s="186" t="str">
        <f>IFERROR(__xludf.DUMMYFUNCTION("""COMPUTED_VALUE"""),"PI6998Y")</f>
        <v>PI6998Y</v>
      </c>
      <c r="C3305" s="186" t="str">
        <f>IFERROR(__xludf.DUMMYFUNCTION("""COMPUTED_VALUE"""),"PORTA RETRATO GIRATORIO CUBO")</f>
        <v>PORTA RETRATO GIRATORIO CUBO</v>
      </c>
      <c r="D3305" s="186" t="str">
        <f>IFERROR(__xludf.DUMMYFUNCTION("""COMPUTED_VALUE"""),"FALSO")</f>
        <v>FALSO</v>
      </c>
    </row>
    <row r="3306">
      <c r="B3306" s="186" t="str">
        <f>IFERROR(__xludf.DUMMYFUNCTION("""COMPUTED_VALUE"""),"PI6998Y")</f>
        <v>PI6998Y</v>
      </c>
      <c r="C3306" s="186" t="str">
        <f>IFERROR(__xludf.DUMMYFUNCTION("""COMPUTED_VALUE"""),"PORTA RETRATO GIRATORIO CUBO")</f>
        <v>PORTA RETRATO GIRATORIO CUBO</v>
      </c>
      <c r="D3306" s="186" t="str">
        <f>IFERROR(__xludf.DUMMYFUNCTION("""COMPUTED_VALUE"""),"FALSO")</f>
        <v>FALSO</v>
      </c>
    </row>
    <row r="3307">
      <c r="B3307" s="186" t="str">
        <f>IFERROR(__xludf.DUMMYFUNCTION("""COMPUTED_VALUE"""),"PI6213Y")</f>
        <v>PI6213Y</v>
      </c>
      <c r="C3307" s="186" t="str">
        <f>IFERROR(__xludf.DUMMYFUNCTION("""COMPUTED_VALUE"""),"GLOBO GIRATÓRIO GIRA MUNDO")</f>
        <v>GLOBO GIRATÓRIO GIRA MUNDO</v>
      </c>
      <c r="D3307" s="186" t="str">
        <f>IFERROR(__xludf.DUMMYFUNCTION("""COMPUTED_VALUE"""),"FALSO")</f>
        <v>FALSO</v>
      </c>
    </row>
    <row r="3308">
      <c r="B3308" s="186" t="str">
        <f>IFERROR(__xludf.DUMMYFUNCTION("""COMPUTED_VALUE"""),"PI6213Y")</f>
        <v>PI6213Y</v>
      </c>
      <c r="C3308" s="186" t="str">
        <f>IFERROR(__xludf.DUMMYFUNCTION("""COMPUTED_VALUE"""),"GLOBO GIRATÓRIO GIRA MUNDO")</f>
        <v>GLOBO GIRATÓRIO GIRA MUNDO</v>
      </c>
      <c r="D3308" s="186" t="str">
        <f>IFERROR(__xludf.DUMMYFUNCTION("""COMPUTED_VALUE"""),"FALSO")</f>
        <v>FALSO</v>
      </c>
    </row>
    <row r="3309">
      <c r="B3309" s="186" t="str">
        <f>IFERROR(__xludf.DUMMYFUNCTION("""COMPUTED_VALUE"""),"PI6213Y")</f>
        <v>PI6213Y</v>
      </c>
      <c r="C3309" s="186" t="str">
        <f>IFERROR(__xludf.DUMMYFUNCTION("""COMPUTED_VALUE"""),"GLOBO GIRATÓRIO GIRA MUNDO")</f>
        <v>GLOBO GIRATÓRIO GIRA MUNDO</v>
      </c>
      <c r="D3309" s="186" t="str">
        <f>IFERROR(__xludf.DUMMYFUNCTION("""COMPUTED_VALUE"""),"FALSO")</f>
        <v>FALSO</v>
      </c>
    </row>
    <row r="3310">
      <c r="B3310" s="186" t="str">
        <f>IFERROR(__xludf.DUMMYFUNCTION("""COMPUTED_VALUE"""),"PI6213Y")</f>
        <v>PI6213Y</v>
      </c>
      <c r="C3310" s="186" t="str">
        <f>IFERROR(__xludf.DUMMYFUNCTION("""COMPUTED_VALUE"""),"GLOBO GIRATÓRIO GIRA MUNDO")</f>
        <v>GLOBO GIRATÓRIO GIRA MUNDO</v>
      </c>
      <c r="D3310" s="186" t="str">
        <f>IFERROR(__xludf.DUMMYFUNCTION("""COMPUTED_VALUE"""),"FALSO")</f>
        <v>FALSO</v>
      </c>
    </row>
    <row r="3311">
      <c r="B3311" s="186" t="str">
        <f>IFERROR(__xludf.DUMMYFUNCTION("""COMPUTED_VALUE"""),"PI6213Y")</f>
        <v>PI6213Y</v>
      </c>
      <c r="C3311" s="186" t="str">
        <f>IFERROR(__xludf.DUMMYFUNCTION("""COMPUTED_VALUE"""),"GLOBO GIRATÓRIO GIRA MUNDO")</f>
        <v>GLOBO GIRATÓRIO GIRA MUNDO</v>
      </c>
      <c r="D3311" s="186" t="str">
        <f>IFERROR(__xludf.DUMMYFUNCTION("""COMPUTED_VALUE"""),"FALSO")</f>
        <v>FALSO</v>
      </c>
    </row>
    <row r="3312">
      <c r="B3312" s="186" t="str">
        <f>IFERROR(__xludf.DUMMYFUNCTION("""COMPUTED_VALUE"""),"PI6213Y")</f>
        <v>PI6213Y</v>
      </c>
      <c r="C3312" s="186" t="str">
        <f>IFERROR(__xludf.DUMMYFUNCTION("""COMPUTED_VALUE"""),"GLOBO GIRATÓRIO GIRA MUNDO")</f>
        <v>GLOBO GIRATÓRIO GIRA MUNDO</v>
      </c>
      <c r="D3312" s="186" t="str">
        <f>IFERROR(__xludf.DUMMYFUNCTION("""COMPUTED_VALUE"""),"FALSO")</f>
        <v>FALSO</v>
      </c>
    </row>
    <row r="3313">
      <c r="B3313" s="186" t="str">
        <f>IFERROR(__xludf.DUMMYFUNCTION("""COMPUTED_VALUE"""),"PI5047Y")</f>
        <v>PI5047Y</v>
      </c>
      <c r="C3313" s="186" t="str">
        <f>IFERROR(__xludf.DUMMYFUNCTION("""COMPUTED_VALUE"""),"KIT RING LIGHT LED PARA FOTOS CORACAO")</f>
        <v>KIT RING LIGHT LED PARA FOTOS CORACAO</v>
      </c>
      <c r="D3313" s="186" t="str">
        <f>IFERROR(__xludf.DUMMYFUNCTION("""COMPUTED_VALUE"""),"FALSO")</f>
        <v>FALSO</v>
      </c>
    </row>
    <row r="3314">
      <c r="B3314" s="186" t="str">
        <f>IFERROR(__xludf.DUMMYFUNCTION("""COMPUTED_VALUE"""),"PI7752Y")</f>
        <v>PI7752Y</v>
      </c>
      <c r="C3314" s="186" t="str">
        <f>IFERROR(__xludf.DUMMYFUNCTION("""COMPUTED_VALUE"""),"ROUPAO ABELHA RAINHA")</f>
        <v>ROUPAO ABELHA RAINHA</v>
      </c>
      <c r="D3314" s="186" t="str">
        <f>IFERROR(__xludf.DUMMYFUNCTION("""COMPUTED_VALUE"""),"FALSO")</f>
        <v>FALSO</v>
      </c>
    </row>
    <row r="3315">
      <c r="B3315" s="186" t="str">
        <f>IFERROR(__xludf.DUMMYFUNCTION("""COMPUTED_VALUE"""),"PI7262Y")</f>
        <v>PI7262Y</v>
      </c>
      <c r="C3315" s="186" t="str">
        <f>IFERROR(__xludf.DUMMYFUNCTION("""COMPUTED_VALUE"""),"ROUPAO HOJE NAO VAI DAR")</f>
        <v>ROUPAO HOJE NAO VAI DAR</v>
      </c>
      <c r="D3315" s="186" t="str">
        <f>IFERROR(__xludf.DUMMYFUNCTION("""COMPUTED_VALUE"""),"FALSO")</f>
        <v>FALSO</v>
      </c>
    </row>
    <row r="3316">
      <c r="B3316" s="186"/>
      <c r="C3316" s="186"/>
      <c r="D3316" s="186"/>
    </row>
    <row r="3317">
      <c r="B3317" s="186" t="str">
        <f>IFERROR(__xludf.DUMMYFUNCTION("""COMPUTED_VALUE"""),"PI6497Y")</f>
        <v>PI6497Y</v>
      </c>
      <c r="C3317" s="186" t="str">
        <f>IFERROR(__xludf.DUMMYFUNCTION("""COMPUTED_VALUE"""),"ROUPÃO COM EMBALAGEM PRESENTEÁVEL")</f>
        <v>ROUPÃO COM EMBALAGEM PRESENTEÁVEL</v>
      </c>
      <c r="D3317" s="186" t="str">
        <f>IFERROR(__xludf.DUMMYFUNCTION("""COMPUTED_VALUE"""),"FALSO")</f>
        <v>FALSO</v>
      </c>
    </row>
    <row r="3318">
      <c r="B3318" s="186" t="str">
        <f>IFERROR(__xludf.DUMMYFUNCTION("""COMPUTED_VALUE"""),"PI5076Y")</f>
        <v>PI5076Y</v>
      </c>
      <c r="C3318" s="186" t="str">
        <f>IFERROR(__xludf.DUMMYFUNCTION("""COMPUTED_VALUE"""),"PATINS RETRO M LILAS")</f>
        <v>PATINS RETRO M LILAS</v>
      </c>
      <c r="D3318" s="186" t="str">
        <f>IFERROR(__xludf.DUMMYFUNCTION("""COMPUTED_VALUE"""),"FALSO")</f>
        <v>FALSO</v>
      </c>
    </row>
    <row r="3319">
      <c r="B3319" s="186" t="str">
        <f>IFERROR(__xludf.DUMMYFUNCTION("""COMPUTED_VALUE"""),"PI5075Y")</f>
        <v>PI5075Y</v>
      </c>
      <c r="C3319" s="186" t="str">
        <f>IFERROR(__xludf.DUMMYFUNCTION("""COMPUTED_VALUE"""),"PATINS RETRO P LILAS")</f>
        <v>PATINS RETRO P LILAS</v>
      </c>
      <c r="D3319" s="186" t="str">
        <f>IFERROR(__xludf.DUMMYFUNCTION("""COMPUTED_VALUE"""),"FALSO")</f>
        <v>FALSO</v>
      </c>
    </row>
    <row r="3320">
      <c r="B3320" s="186" t="str">
        <f>IFERROR(__xludf.DUMMYFUNCTION("""COMPUTED_VALUE"""),"PI7085Y")</f>
        <v>PI7085Y</v>
      </c>
      <c r="C3320" s="186" t="str">
        <f>IFERROR(__xludf.DUMMYFUNCTION("""COMPUTED_VALUE"""),"PORTA RETRATO GIRATORIO MAGNETICO")</f>
        <v>PORTA RETRATO GIRATORIO MAGNETICO</v>
      </c>
      <c r="D3320" s="186" t="str">
        <f>IFERROR(__xludf.DUMMYFUNCTION("""COMPUTED_VALUE"""),"FALSO")</f>
        <v>FALSO</v>
      </c>
    </row>
    <row r="3321">
      <c r="B3321" s="186" t="str">
        <f>IFERROR(__xludf.DUMMYFUNCTION("""COMPUTED_VALUE"""),"PI7085Y")</f>
        <v>PI7085Y</v>
      </c>
      <c r="C3321" s="186" t="str">
        <f>IFERROR(__xludf.DUMMYFUNCTION("""COMPUTED_VALUE"""),"PORTA RETRATO GIRATORIO MAGNETICO")</f>
        <v>PORTA RETRATO GIRATORIO MAGNETICO</v>
      </c>
      <c r="D3321" s="186" t="str">
        <f>IFERROR(__xludf.DUMMYFUNCTION("""COMPUTED_VALUE"""),"FALSO")</f>
        <v>FALSO</v>
      </c>
    </row>
    <row r="3322">
      <c r="B3322" s="186" t="str">
        <f>IFERROR(__xludf.DUMMYFUNCTION("""COMPUTED_VALUE"""),"PI7284Y")</f>
        <v>PI7284Y</v>
      </c>
      <c r="C3322" s="186" t="str">
        <f>IFERROR(__xludf.DUMMYFUNCTION("""COMPUTED_VALUE"""),"PORTA RETRATO GIRATORIO AMARELO 12x12 CM")</f>
        <v>PORTA RETRATO GIRATORIO AMARELO 12x12 CM</v>
      </c>
      <c r="D3322" s="186" t="str">
        <f>IFERROR(__xludf.DUMMYFUNCTION("""COMPUTED_VALUE"""),"FALSO")</f>
        <v>FALSO</v>
      </c>
    </row>
    <row r="3323">
      <c r="B3323" s="186" t="str">
        <f>IFERROR(__xludf.DUMMYFUNCTION("""COMPUTED_VALUE"""),"PI6220Y")</f>
        <v>PI6220Y</v>
      </c>
      <c r="C3323" s="186" t="str">
        <f>IFERROR(__xludf.DUMMYFUNCTION("""COMPUTED_VALUE"""),"JOGO DE ROLETA GIROU BEBEU")</f>
        <v>JOGO DE ROLETA GIROU BEBEU</v>
      </c>
      <c r="D3323" s="186" t="str">
        <f>IFERROR(__xludf.DUMMYFUNCTION("""COMPUTED_VALUE"""),"FALSO")</f>
        <v>FALSO</v>
      </c>
    </row>
    <row r="3324">
      <c r="B3324" s="186" t="str">
        <f>IFERROR(__xludf.DUMMYFUNCTION("""COMPUTED_VALUE"""),"PI6220Y")</f>
        <v>PI6220Y</v>
      </c>
      <c r="C3324" s="186" t="str">
        <f>IFERROR(__xludf.DUMMYFUNCTION("""COMPUTED_VALUE"""),"JOGO DE ROLETA GIROU BEBEU")</f>
        <v>JOGO DE ROLETA GIROU BEBEU</v>
      </c>
      <c r="D3324" s="186" t="str">
        <f>IFERROR(__xludf.DUMMYFUNCTION("""COMPUTED_VALUE"""),"FALSO")</f>
        <v>FALSO</v>
      </c>
    </row>
    <row r="3325">
      <c r="B3325" s="186" t="str">
        <f>IFERROR(__xludf.DUMMYFUNCTION("""COMPUTED_VALUE"""),"PI7953")</f>
        <v>PI7953</v>
      </c>
      <c r="C3325" s="186" t="str">
        <f>IFERROR(__xludf.DUMMYFUNCTION("""COMPUTED_VALUE"""),"ESPELHO LED PORTA BIJOUX REDONDO ROSA")</f>
        <v>ESPELHO LED PORTA BIJOUX REDONDO ROSA</v>
      </c>
      <c r="D3325" s="186" t="str">
        <f>IFERROR(__xludf.DUMMYFUNCTION("""COMPUTED_VALUE"""),"FALSO")</f>
        <v>FALSO</v>
      </c>
    </row>
    <row r="3326">
      <c r="B3326" s="186" t="str">
        <f>IFERROR(__xludf.DUMMYFUNCTION("""COMPUTED_VALUE"""),"PI7952")</f>
        <v>PI7952</v>
      </c>
      <c r="C3326" s="186" t="str">
        <f>IFERROR(__xludf.DUMMYFUNCTION("""COMPUTED_VALUE"""),"ESPELHO LED PORTA BIJOUX REDONDO BRANCO")</f>
        <v>ESPELHO LED PORTA BIJOUX REDONDO BRANCO</v>
      </c>
      <c r="D3326" s="186" t="str">
        <f>IFERROR(__xludf.DUMMYFUNCTION("""COMPUTED_VALUE"""),"FALSO")</f>
        <v>FALSO</v>
      </c>
    </row>
    <row r="3327">
      <c r="B3327" s="186" t="str">
        <f>IFERROR(__xludf.DUMMYFUNCTION("""COMPUTED_VALUE"""),"CS2096")</f>
        <v>CS2096</v>
      </c>
      <c r="C3327" s="186" t="str">
        <f>IFERROR(__xludf.DUMMYFUNCTION("""COMPUTED_VALUE"""),"ROUPAO DIAS DE LUTA")</f>
        <v>ROUPAO DIAS DE LUTA</v>
      </c>
      <c r="D3327" s="186" t="str">
        <f>IFERROR(__xludf.DUMMYFUNCTION("""COMPUTED_VALUE"""),"FALSO")</f>
        <v>FALSO</v>
      </c>
    </row>
    <row r="3328">
      <c r="B3328" s="186" t="str">
        <f>IFERROR(__xludf.DUMMYFUNCTION("""COMPUTED_VALUE"""),"PI6245Y")</f>
        <v>PI6245Y</v>
      </c>
      <c r="C3328" s="186" t="str">
        <f>IFERROR(__xludf.DUMMYFUNCTION("""COMPUTED_VALUE"""),"RELÓGIO DESPERTADOR DIGITAL FUGITIVO")</f>
        <v>RELÓGIO DESPERTADOR DIGITAL FUGITIVO</v>
      </c>
      <c r="D3328" s="186" t="str">
        <f>IFERROR(__xludf.DUMMYFUNCTION("""COMPUTED_VALUE"""),"FALSO")</f>
        <v>FALSO</v>
      </c>
    </row>
    <row r="3329">
      <c r="B3329" s="186" t="str">
        <f>IFERROR(__xludf.DUMMYFUNCTION("""COMPUTED_VALUE"""),"PI6298Y")</f>
        <v>PI6298Y</v>
      </c>
      <c r="C3329" s="186" t="str">
        <f>IFERROR(__xludf.DUMMYFUNCTION("""COMPUTED_VALUE"""),"LIVRO COFRE DESIGN INTERIOR")</f>
        <v>LIVRO COFRE DESIGN INTERIOR</v>
      </c>
      <c r="D3329" s="186" t="str">
        <f>IFERROR(__xludf.DUMMYFUNCTION("""COMPUTED_VALUE"""),"FALSO")</f>
        <v>FALSO</v>
      </c>
    </row>
    <row r="3330">
      <c r="B3330" s="186" t="str">
        <f>IFERROR(__xludf.DUMMYFUNCTION("""COMPUTED_VALUE"""),"PI6297Y")</f>
        <v>PI6297Y</v>
      </c>
      <c r="C3330" s="186" t="str">
        <f>IFERROR(__xludf.DUMMYFUNCTION("""COMPUTED_VALUE"""),"LIVRO COFRE SEGREDOS DE VERÃO")</f>
        <v>LIVRO COFRE SEGREDOS DE VERÃO</v>
      </c>
      <c r="D3330" s="186" t="str">
        <f>IFERROR(__xludf.DUMMYFUNCTION("""COMPUTED_VALUE"""),"FALSO")</f>
        <v>FALSO</v>
      </c>
    </row>
    <row r="3331">
      <c r="B3331" s="186" t="str">
        <f>IFERROR(__xludf.DUMMYFUNCTION("""COMPUTED_VALUE"""),"PI5936Y")</f>
        <v>PI5936Y</v>
      </c>
      <c r="C3331" s="186" t="str">
        <f>IFERROR(__xludf.DUMMYFUNCTION("""COMPUTED_VALUE"""),"COFRE COM LOUSA PINBALL")</f>
        <v>COFRE COM LOUSA PINBALL</v>
      </c>
      <c r="D3331" s="186" t="str">
        <f>IFERROR(__xludf.DUMMYFUNCTION("""COMPUTED_VALUE"""),"FALSO")</f>
        <v>FALSO</v>
      </c>
    </row>
    <row r="3332">
      <c r="B3332" s="186" t="str">
        <f>IFERROR(__xludf.DUMMYFUNCTION("""COMPUTED_VALUE"""),"PI3016Y")</f>
        <v>PI3016Y</v>
      </c>
      <c r="C3332" s="186" t="str">
        <f>IFERROR(__xludf.DUMMYFUNCTION("""COMPUTED_VALUE"""),"COFRE CAIXA ELETRONICO")</f>
        <v>COFRE CAIXA ELETRONICO</v>
      </c>
      <c r="D3332" s="186" t="str">
        <f>IFERROR(__xludf.DUMMYFUNCTION("""COMPUTED_VALUE"""),"FALSO")</f>
        <v>FALSO</v>
      </c>
    </row>
    <row r="3333">
      <c r="B3333" s="186" t="str">
        <f>IFERROR(__xludf.DUMMYFUNCTION("""COMPUTED_VALUE"""),"PI3016Y")</f>
        <v>PI3016Y</v>
      </c>
      <c r="C3333" s="186" t="str">
        <f>IFERROR(__xludf.DUMMYFUNCTION("""COMPUTED_VALUE"""),"COFRE CAIXA ELETRONICO")</f>
        <v>COFRE CAIXA ELETRONICO</v>
      </c>
      <c r="D3333" s="186" t="str">
        <f>IFERROR(__xludf.DUMMYFUNCTION("""COMPUTED_VALUE"""),"FALSO")</f>
        <v>FALSO</v>
      </c>
    </row>
    <row r="3334">
      <c r="B3334" s="186" t="str">
        <f>IFERROR(__xludf.DUMMYFUNCTION("""COMPUTED_VALUE"""),"PI6357Y")</f>
        <v>PI6357Y</v>
      </c>
      <c r="C3334" s="186" t="str">
        <f>IFERROR(__xludf.DUMMYFUNCTION("""COMPUTED_VALUE"""),"SALEIRO E PIMENTEIRO FANTASMA")</f>
        <v>SALEIRO E PIMENTEIRO FANTASMA</v>
      </c>
      <c r="D3334" s="186" t="str">
        <f>IFERROR(__xludf.DUMMYFUNCTION("""COMPUTED_VALUE"""),"FALSO")</f>
        <v>FALSO</v>
      </c>
    </row>
    <row r="3335">
      <c r="B3335" s="186" t="str">
        <f>IFERROR(__xludf.DUMMYFUNCTION("""COMPUTED_VALUE"""),"PI6356Y")</f>
        <v>PI6356Y</v>
      </c>
      <c r="C3335" s="186" t="str">
        <f>IFERROR(__xludf.DUMMYFUNCTION("""COMPUTED_VALUE"""),"SALEIRO E PIMENTEIRO CAVEIRA")</f>
        <v>SALEIRO E PIMENTEIRO CAVEIRA</v>
      </c>
      <c r="D3335" s="186" t="str">
        <f>IFERROR(__xludf.DUMMYFUNCTION("""COMPUTED_VALUE"""),"FALSO")</f>
        <v>FALSO</v>
      </c>
    </row>
    <row r="3336">
      <c r="B3336" s="186" t="str">
        <f>IFERROR(__xludf.DUMMYFUNCTION("""COMPUTED_VALUE"""),"LI3069")</f>
        <v>LI3069</v>
      </c>
      <c r="C3336" s="186" t="str">
        <f>IFERROR(__xludf.DUMMYFUNCTION("""COMPUTED_VALUE"""),"SANDALIA LINUS AREIA 34/35")</f>
        <v>SANDALIA LINUS AREIA 34/35</v>
      </c>
      <c r="D3336" s="186" t="str">
        <f>IFERROR(__xludf.DUMMYFUNCTION("""COMPUTED_VALUE"""),"FALSO")</f>
        <v>FALSO</v>
      </c>
    </row>
    <row r="3337">
      <c r="B3337" s="186" t="str">
        <f>IFERROR(__xludf.DUMMYFUNCTION("""COMPUTED_VALUE"""),"LI3070")</f>
        <v>LI3070</v>
      </c>
      <c r="C3337" s="186" t="str">
        <f>IFERROR(__xludf.DUMMYFUNCTION("""COMPUTED_VALUE"""),"SANDALIA LINUS AREIA 36/37")</f>
        <v>SANDALIA LINUS AREIA 36/37</v>
      </c>
      <c r="D3337" s="186" t="str">
        <f>IFERROR(__xludf.DUMMYFUNCTION("""COMPUTED_VALUE"""),"FALSO")</f>
        <v>FALSO</v>
      </c>
    </row>
    <row r="3338">
      <c r="B3338" s="186" t="str">
        <f>IFERROR(__xludf.DUMMYFUNCTION("""COMPUTED_VALUE"""),"LI3071")</f>
        <v>LI3071</v>
      </c>
      <c r="C3338" s="186" t="str">
        <f>IFERROR(__xludf.DUMMYFUNCTION("""COMPUTED_VALUE"""),"SANDALIA LINUS AREIA 38/39")</f>
        <v>SANDALIA LINUS AREIA 38/39</v>
      </c>
      <c r="D3338" s="186" t="str">
        <f>IFERROR(__xludf.DUMMYFUNCTION("""COMPUTED_VALUE"""),"FALSO")</f>
        <v>FALSO</v>
      </c>
    </row>
    <row r="3339">
      <c r="B3339" s="186" t="str">
        <f>IFERROR(__xludf.DUMMYFUNCTION("""COMPUTED_VALUE"""),"LI3072")</f>
        <v>LI3072</v>
      </c>
      <c r="C3339" s="186" t="str">
        <f>IFERROR(__xludf.DUMMYFUNCTION("""COMPUTED_VALUE"""),"SANDALIA LINUS AREIA 40/41")</f>
        <v>SANDALIA LINUS AREIA 40/41</v>
      </c>
      <c r="D3339" s="186" t="str">
        <f>IFERROR(__xludf.DUMMYFUNCTION("""COMPUTED_VALUE"""),"FALSO")</f>
        <v>FALSO</v>
      </c>
    </row>
    <row r="3340">
      <c r="B3340" s="186" t="str">
        <f>IFERROR(__xludf.DUMMYFUNCTION("""COMPUTED_VALUE"""),"LI3073")</f>
        <v>LI3073</v>
      </c>
      <c r="C3340" s="186" t="str">
        <f>IFERROR(__xludf.DUMMYFUNCTION("""COMPUTED_VALUE"""),"SANDALIA LINUS AREIA 42/43")</f>
        <v>SANDALIA LINUS AREIA 42/43</v>
      </c>
      <c r="D3340" s="186" t="str">
        <f>IFERROR(__xludf.DUMMYFUNCTION("""COMPUTED_VALUE"""),"FALSO")</f>
        <v>FALSO</v>
      </c>
    </row>
    <row r="3341">
      <c r="B3341" s="186" t="str">
        <f>IFERROR(__xludf.DUMMYFUNCTION("""COMPUTED_VALUE"""),"LI3074")</f>
        <v>LI3074</v>
      </c>
      <c r="C3341" s="186" t="str">
        <f>IFERROR(__xludf.DUMMYFUNCTION("""COMPUTED_VALUE"""),"SANDALIA LINUS CHUMBO 34/35")</f>
        <v>SANDALIA LINUS CHUMBO 34/35</v>
      </c>
      <c r="D3341" s="186" t="str">
        <f>IFERROR(__xludf.DUMMYFUNCTION("""COMPUTED_VALUE"""),"FALSO")</f>
        <v>FALSO</v>
      </c>
    </row>
    <row r="3342">
      <c r="B3342" s="186" t="str">
        <f>IFERROR(__xludf.DUMMYFUNCTION("""COMPUTED_VALUE"""),"LI3075")</f>
        <v>LI3075</v>
      </c>
      <c r="C3342" s="186" t="str">
        <f>IFERROR(__xludf.DUMMYFUNCTION("""COMPUTED_VALUE"""),"SANDALIA LINUS CHUMBO 36/37")</f>
        <v>SANDALIA LINUS CHUMBO 36/37</v>
      </c>
      <c r="D3342" s="186" t="str">
        <f>IFERROR(__xludf.DUMMYFUNCTION("""COMPUTED_VALUE"""),"FALSO")</f>
        <v>FALSO</v>
      </c>
    </row>
    <row r="3343">
      <c r="B3343" s="186" t="str">
        <f>IFERROR(__xludf.DUMMYFUNCTION("""COMPUTED_VALUE"""),"LI3076")</f>
        <v>LI3076</v>
      </c>
      <c r="C3343" s="186" t="str">
        <f>IFERROR(__xludf.DUMMYFUNCTION("""COMPUTED_VALUE"""),"SANDALIA LINUS CHUMBO 38/39")</f>
        <v>SANDALIA LINUS CHUMBO 38/39</v>
      </c>
      <c r="D3343" s="186" t="str">
        <f>IFERROR(__xludf.DUMMYFUNCTION("""COMPUTED_VALUE"""),"FALSO")</f>
        <v>FALSO</v>
      </c>
    </row>
    <row r="3344">
      <c r="B3344" s="186" t="str">
        <f>IFERROR(__xludf.DUMMYFUNCTION("""COMPUTED_VALUE"""),"LI3077")</f>
        <v>LI3077</v>
      </c>
      <c r="C3344" s="186" t="str">
        <f>IFERROR(__xludf.DUMMYFUNCTION("""COMPUTED_VALUE"""),"SANDALIA LINUS CHUMBO 40/41")</f>
        <v>SANDALIA LINUS CHUMBO 40/41</v>
      </c>
      <c r="D3344" s="186" t="str">
        <f>IFERROR(__xludf.DUMMYFUNCTION("""COMPUTED_VALUE"""),"FALSO")</f>
        <v>FALSO</v>
      </c>
    </row>
    <row r="3345">
      <c r="B3345" s="186" t="str">
        <f>IFERROR(__xludf.DUMMYFUNCTION("""COMPUTED_VALUE"""),"LI3078")</f>
        <v>LI3078</v>
      </c>
      <c r="C3345" s="186" t="str">
        <f>IFERROR(__xludf.DUMMYFUNCTION("""COMPUTED_VALUE"""),"SANDALIA LINUS CHUMBO 42/43")</f>
        <v>SANDALIA LINUS CHUMBO 42/43</v>
      </c>
      <c r="D3345" s="186" t="str">
        <f>IFERROR(__xludf.DUMMYFUNCTION("""COMPUTED_VALUE"""),"FALSO")</f>
        <v>FALSO</v>
      </c>
    </row>
    <row r="3346">
      <c r="B3346" s="186" t="str">
        <f>IFERROR(__xludf.DUMMYFUNCTION("""COMPUTED_VALUE"""),"US0108")</f>
        <v>US0108</v>
      </c>
      <c r="C3346" s="186" t="str">
        <f>IFERROR(__xludf.DUMMYFUNCTION("""COMPUTED_VALUE"""),"LUMINARIA DE MESA SATURNO")</f>
        <v>LUMINARIA DE MESA SATURNO</v>
      </c>
      <c r="D3346" s="186" t="str">
        <f>IFERROR(__xludf.DUMMYFUNCTION("""COMPUTED_VALUE"""),"FALSO")</f>
        <v>FALSO</v>
      </c>
    </row>
    <row r="3347">
      <c r="B3347" s="186" t="str">
        <f>IFERROR(__xludf.DUMMYFUNCTION("""COMPUTED_VALUE"""),"PI7168Y")</f>
        <v>PI7168Y</v>
      </c>
      <c r="C3347" s="186" t="str">
        <f>IFERROR(__xludf.DUMMYFUNCTION("""COMPUTED_VALUE"""),"AGENDA 2025 CLAQUETE ROTEIRO DO ANO")</f>
        <v>AGENDA 2025 CLAQUETE ROTEIRO DO ANO</v>
      </c>
      <c r="D3347" s="186" t="str">
        <f>IFERROR(__xludf.DUMMYFUNCTION("""COMPUTED_VALUE"""),"FALSO")</f>
        <v>FALSO</v>
      </c>
    </row>
    <row r="3348">
      <c r="B3348" s="186" t="str">
        <f>IFERROR(__xludf.DUMMYFUNCTION("""COMPUTED_VALUE"""),"PI7074Y")</f>
        <v>PI7074Y</v>
      </c>
      <c r="C3348" s="186" t="str">
        <f>IFERROR(__xludf.DUMMYFUNCTION("""COMPUTED_VALUE"""),"AGENDA 2025 ESTAMPA BEIJA FLOR")</f>
        <v>AGENDA 2025 ESTAMPA BEIJA FLOR</v>
      </c>
      <c r="D3348" s="186" t="str">
        <f>IFERROR(__xludf.DUMMYFUNCTION("""COMPUTED_VALUE"""),"FALSO")</f>
        <v>FALSO</v>
      </c>
    </row>
    <row r="3349">
      <c r="B3349" s="186" t="str">
        <f>IFERROR(__xludf.DUMMYFUNCTION("""COMPUTED_VALUE"""),"PI7800Y")</f>
        <v>PI7800Y</v>
      </c>
      <c r="C3349" s="186" t="str">
        <f>IFERROR(__xludf.DUMMYFUNCTION("""COMPUTED_VALUE"""),"CARTAO RASPADINHA CUPONS DO AMOR")</f>
        <v>CARTAO RASPADINHA CUPONS DO AMOR</v>
      </c>
      <c r="D3349" s="186" t="str">
        <f>IFERROR(__xludf.DUMMYFUNCTION("""COMPUTED_VALUE"""),"FALSO")</f>
        <v>FALSO</v>
      </c>
    </row>
    <row r="3350">
      <c r="B3350" s="186" t="str">
        <f>IFERROR(__xludf.DUMMYFUNCTION("""COMPUTED_VALUE"""),"PI6708Y")</f>
        <v>PI6708Y</v>
      </c>
      <c r="C3350" s="186" t="str">
        <f>IFERROR(__xludf.DUMMYFUNCTION("""COMPUTED_VALUE"""),"KIT DE CHAVES DE FENDA APERTA TUDO")</f>
        <v>KIT DE CHAVES DE FENDA APERTA TUDO</v>
      </c>
      <c r="D3350" s="186" t="str">
        <f>IFERROR(__xludf.DUMMYFUNCTION("""COMPUTED_VALUE"""),"FALSO")</f>
        <v>FALSO</v>
      </c>
    </row>
    <row r="3351">
      <c r="B3351" s="186" t="str">
        <f>IFERROR(__xludf.DUMMYFUNCTION("""COMPUTED_VALUE"""),"PI6708Y")</f>
        <v>PI6708Y</v>
      </c>
      <c r="C3351" s="186" t="str">
        <f>IFERROR(__xludf.DUMMYFUNCTION("""COMPUTED_VALUE"""),"KIT DE CHAVES DE FENDA APERTA TUDO")</f>
        <v>KIT DE CHAVES DE FENDA APERTA TUDO</v>
      </c>
      <c r="D3351" s="186" t="str">
        <f>IFERROR(__xludf.DUMMYFUNCTION("""COMPUTED_VALUE"""),"FALSO")</f>
        <v>FALSO</v>
      </c>
    </row>
    <row r="3352">
      <c r="B3352" s="186" t="str">
        <f>IFERROR(__xludf.DUMMYFUNCTION("""COMPUTED_VALUE"""),"PI5160Y")</f>
        <v>PI5160Y</v>
      </c>
      <c r="C3352" s="186" t="str">
        <f>IFERROR(__xludf.DUMMYFUNCTION("""COMPUTED_VALUE"""),"AUTOIRRIGADOR DE PLANTAS CORACAO")</f>
        <v>AUTOIRRIGADOR DE PLANTAS CORACAO</v>
      </c>
      <c r="D3352" s="186" t="str">
        <f>IFERROR(__xludf.DUMMYFUNCTION("""COMPUTED_VALUE"""),"FALSO")</f>
        <v>FALSO</v>
      </c>
    </row>
    <row r="3353">
      <c r="B3353" s="186" t="str">
        <f>IFERROR(__xludf.DUMMYFUNCTION("""COMPUTED_VALUE"""),"PI5784Y")</f>
        <v>PI5784Y</v>
      </c>
      <c r="C3353" s="186" t="str">
        <f>IFERROR(__xludf.DUMMYFUNCTION("""COMPUTED_VALUE"""),"DUPLA DE COPOS MISTICO CONSTELACAO")</f>
        <v>DUPLA DE COPOS MISTICO CONSTELACAO</v>
      </c>
      <c r="D3353" s="186" t="str">
        <f>IFERROR(__xludf.DUMMYFUNCTION("""COMPUTED_VALUE"""),"FALSO")</f>
        <v>FALSO</v>
      </c>
    </row>
    <row r="3354">
      <c r="B3354" s="186" t="str">
        <f>IFERROR(__xludf.DUMMYFUNCTION("""COMPUTED_VALUE"""),"PI5742Y")</f>
        <v>PI5742Y</v>
      </c>
      <c r="C3354" s="186" t="str">
        <f>IFERROR(__xludf.DUMMYFUNCTION("""COMPUTED_VALUE"""),"KIT PORTA COPOS MISTICO BOAS ENERGIAS")</f>
        <v>KIT PORTA COPOS MISTICO BOAS ENERGIAS</v>
      </c>
      <c r="D3354" s="186" t="str">
        <f>IFERROR(__xludf.DUMMYFUNCTION("""COMPUTED_VALUE"""),"FALSO")</f>
        <v>FALSO</v>
      </c>
    </row>
    <row r="3355">
      <c r="B3355" s="186" t="str">
        <f>IFERROR(__xludf.DUMMYFUNCTION("""COMPUTED_VALUE"""),"PI5573Y")</f>
        <v>PI5573Y</v>
      </c>
      <c r="C3355" s="186" t="str">
        <f>IFERROR(__xludf.DUMMYFUNCTION("""COMPUTED_VALUE"""),"KIT PINCEIS MAKE E ESPELHO LED BRILHAR")</f>
        <v>KIT PINCEIS MAKE E ESPELHO LED BRILHAR</v>
      </c>
      <c r="D3355" s="186" t="str">
        <f>IFERROR(__xludf.DUMMYFUNCTION("""COMPUTED_VALUE"""),"FALSO")</f>
        <v>FALSO</v>
      </c>
    </row>
    <row r="3356">
      <c r="B3356" s="186" t="str">
        <f>IFERROR(__xludf.DUMMYFUNCTION("""COMPUTED_VALUE"""),"PI5122Y")</f>
        <v>PI5122Y</v>
      </c>
      <c r="C3356" s="186" t="str">
        <f>IFERROR(__xludf.DUMMYFUNCTION("""COMPUTED_VALUE"""),"DUPLA PORTA LATAS TERMICO ZECA PAGODINHO")</f>
        <v>DUPLA PORTA LATAS TERMICO ZECA PAGODINHO</v>
      </c>
      <c r="D3356" s="186" t="str">
        <f>IFERROR(__xludf.DUMMYFUNCTION("""COMPUTED_VALUE"""),"FALSO")</f>
        <v>FALSO</v>
      </c>
    </row>
    <row r="3357">
      <c r="B3357" s="186" t="str">
        <f>IFERROR(__xludf.DUMMYFUNCTION("""COMPUTED_VALUE"""),"PI5449Y")</f>
        <v>PI5449Y</v>
      </c>
      <c r="C3357" s="186" t="str">
        <f>IFERROR(__xludf.DUMMYFUNCTION("""COMPUTED_VALUE"""),"KIT PORTA COPOS FILOSOFIAS DE BOTECO")</f>
        <v>KIT PORTA COPOS FILOSOFIAS DE BOTECO</v>
      </c>
      <c r="D3357" s="186" t="str">
        <f>IFERROR(__xludf.DUMMYFUNCTION("""COMPUTED_VALUE"""),"FALSO")</f>
        <v>FALSO</v>
      </c>
    </row>
    <row r="3358">
      <c r="B3358" s="186" t="str">
        <f>IFERROR(__xludf.DUMMYFUNCTION("""COMPUTED_VALUE"""),"PI4972Y")</f>
        <v>PI4972Y</v>
      </c>
      <c r="C3358" s="186" t="str">
        <f>IFERROR(__xludf.DUMMYFUNCTION("""COMPUTED_VALUE"""),"KIT PORTA COPOS BEATLES MUSICAS")</f>
        <v>KIT PORTA COPOS BEATLES MUSICAS</v>
      </c>
      <c r="D3358" s="186" t="str">
        <f>IFERROR(__xludf.DUMMYFUNCTION("""COMPUTED_VALUE"""),"FALSO")</f>
        <v>FALSO</v>
      </c>
    </row>
    <row r="3359">
      <c r="B3359" s="186" t="str">
        <f>IFERROR(__xludf.DUMMYFUNCTION("""COMPUTED_VALUE"""),"PI5450Y")</f>
        <v>PI5450Y</v>
      </c>
      <c r="C3359" s="186" t="str">
        <f>IFERROR(__xludf.DUMMYFUNCTION("""COMPUTED_VALUE"""),"KIT PORTA COPOS CAFE DA MANHA")</f>
        <v>KIT PORTA COPOS CAFE DA MANHA</v>
      </c>
      <c r="D3359" s="186" t="str">
        <f>IFERROR(__xludf.DUMMYFUNCTION("""COMPUTED_VALUE"""),"FALSO")</f>
        <v>FALSO</v>
      </c>
    </row>
    <row r="3360">
      <c r="B3360" s="186" t="str">
        <f>IFERROR(__xludf.DUMMYFUNCTION("""COMPUTED_VALUE"""),"PI4971Y")</f>
        <v>PI4971Y</v>
      </c>
      <c r="C3360" s="186" t="str">
        <f>IFERROR(__xludf.DUMMYFUNCTION("""COMPUTED_VALUE"""),"KIT PORTA COPOS GAMER FITAS")</f>
        <v>KIT PORTA COPOS GAMER FITAS</v>
      </c>
      <c r="D3360" s="186" t="str">
        <f>IFERROR(__xludf.DUMMYFUNCTION("""COMPUTED_VALUE"""),"FALSO")</f>
        <v>FALSO</v>
      </c>
    </row>
    <row r="3361">
      <c r="B3361" s="186" t="str">
        <f>IFERROR(__xludf.DUMMYFUNCTION("""COMPUTED_VALUE"""),"PI5119Y")</f>
        <v>PI5119Y</v>
      </c>
      <c r="C3361" s="186" t="str">
        <f>IFERROR(__xludf.DUMMYFUNCTION("""COMPUTED_VALUE"""),"KIT PORTA COPOS ZECA LADRILHOS")</f>
        <v>KIT PORTA COPOS ZECA LADRILHOS</v>
      </c>
      <c r="D3361" s="186" t="str">
        <f>IFERROR(__xludf.DUMMYFUNCTION("""COMPUTED_VALUE"""),"FALSO")</f>
        <v>FALSO</v>
      </c>
    </row>
    <row r="3362">
      <c r="B3362" s="186" t="str">
        <f>IFERROR(__xludf.DUMMYFUNCTION("""COMPUTED_VALUE"""),"PI5873Y")</f>
        <v>PI5873Y</v>
      </c>
      <c r="C3362" s="186" t="str">
        <f>IFERROR(__xludf.DUMMYFUNCTION("""COMPUTED_VALUE"""),"DUPLA DE COPOS CORACOES AMOR DE DENTRO")</f>
        <v>DUPLA DE COPOS CORACOES AMOR DE DENTRO</v>
      </c>
      <c r="D3362" s="186" t="str">
        <f>IFERROR(__xludf.DUMMYFUNCTION("""COMPUTED_VALUE"""),"FALSO")</f>
        <v>FALSO</v>
      </c>
    </row>
    <row r="3363">
      <c r="B3363" s="186" t="str">
        <f>IFERROR(__xludf.DUMMYFUNCTION("""COMPUTED_VALUE"""),"PI5120Y")</f>
        <v>PI5120Y</v>
      </c>
      <c r="C3363" s="186" t="str">
        <f>IFERROR(__xludf.DUMMYFUNCTION("""COMPUTED_VALUE"""),"KIT PINCEIS DE MAQUIAGEM ONCA PINTADAH")</f>
        <v>KIT PINCEIS DE MAQUIAGEM ONCA PINTADAH</v>
      </c>
      <c r="D3363" s="186" t="str">
        <f>IFERROR(__xludf.DUMMYFUNCTION("""COMPUTED_VALUE"""),"FALSO")</f>
        <v>FALSO</v>
      </c>
    </row>
    <row r="3364">
      <c r="B3364" s="186" t="str">
        <f>IFERROR(__xludf.DUMMYFUNCTION("""COMPUTED_VALUE"""),"PI5656Y")</f>
        <v>PI5656Y</v>
      </c>
      <c r="C3364" s="186" t="str">
        <f>IFERROR(__xludf.DUMMYFUNCTION("""COMPUTED_VALUE"""),"CONJUNTO DE CANECAS MOZAO E MOZINHO")</f>
        <v>CONJUNTO DE CANECAS MOZAO E MOZINHO</v>
      </c>
      <c r="D3364" s="186" t="str">
        <f>IFERROR(__xludf.DUMMYFUNCTION("""COMPUTED_VALUE"""),"FALSO")</f>
        <v>FALSO</v>
      </c>
    </row>
    <row r="3365">
      <c r="B3365" s="186" t="str">
        <f>IFERROR(__xludf.DUMMYFUNCTION("""COMPUTED_VALUE"""),"PI6178Y")</f>
        <v>PI6178Y</v>
      </c>
      <c r="C3365" s="186" t="str">
        <f>IFERROR(__xludf.DUMMYFUNCTION("""COMPUTED_VALUE"""),"CONJUNTO DE MARCADORES ENCAIXE")</f>
        <v>CONJUNTO DE MARCADORES ENCAIXE</v>
      </c>
      <c r="D3365" s="186" t="str">
        <f>IFERROR(__xludf.DUMMYFUNCTION("""COMPUTED_VALUE"""),"INMETRO SCHOOL ARTICLES SYSTEM 5 - ORDINANCE 481")</f>
        <v>INMETRO SCHOOL ARTICLES SYSTEM 5 - ORDINANCE 481</v>
      </c>
    </row>
    <row r="3366">
      <c r="B3366" s="186" t="str">
        <f>IFERROR(__xludf.DUMMYFUNCTION("""COMPUTED_VALUE"""),"PI6178Y")</f>
        <v>PI6178Y</v>
      </c>
      <c r="C3366" s="186" t="str">
        <f>IFERROR(__xludf.DUMMYFUNCTION("""COMPUTED_VALUE"""),"CONJUNTO DE MARCADORES ENCAIXE")</f>
        <v>CONJUNTO DE MARCADORES ENCAIXE</v>
      </c>
      <c r="D3366" s="186" t="str">
        <f>IFERROR(__xludf.DUMMYFUNCTION("""COMPUTED_VALUE"""),"INMETRO SCHOOL ARTICLES SYSTEM 5 - ORDINANCE 481")</f>
        <v>INMETRO SCHOOL ARTICLES SYSTEM 5 - ORDINANCE 481</v>
      </c>
    </row>
    <row r="3367">
      <c r="B3367" s="186" t="str">
        <f>IFERROR(__xludf.DUMMYFUNCTION("""COMPUTED_VALUE"""),"PI6177Y")</f>
        <v>PI6177Y</v>
      </c>
      <c r="C3367" s="186" t="str">
        <f>IFERROR(__xludf.DUMMYFUNCTION("""COMPUTED_VALUE"""),"CONJUNTO DE MARCADORES SORVETINHO")</f>
        <v>CONJUNTO DE MARCADORES SORVETINHO</v>
      </c>
      <c r="D3367" s="186" t="str">
        <f>IFERROR(__xludf.DUMMYFUNCTION("""COMPUTED_VALUE"""),"INMETRO SCHOOL ARTICLES SYSTEM 5 - ORDINANCE 481")</f>
        <v>INMETRO SCHOOL ARTICLES SYSTEM 5 - ORDINANCE 481</v>
      </c>
    </row>
    <row r="3368">
      <c r="B3368" s="186" t="str">
        <f>IFERROR(__xludf.DUMMYFUNCTION("""COMPUTED_VALUE"""),"PI6177Y")</f>
        <v>PI6177Y</v>
      </c>
      <c r="C3368" s="186" t="str">
        <f>IFERROR(__xludf.DUMMYFUNCTION("""COMPUTED_VALUE"""),"CONJUNTO DE MARCADORES SORVETINHO")</f>
        <v>CONJUNTO DE MARCADORES SORVETINHO</v>
      </c>
      <c r="D3368" s="186" t="str">
        <f>IFERROR(__xludf.DUMMYFUNCTION("""COMPUTED_VALUE"""),"INMETRO SCHOOL ARTICLES SYSTEM 5 - ORDINANCE 481")</f>
        <v>INMETRO SCHOOL ARTICLES SYSTEM 5 - ORDINANCE 481</v>
      </c>
    </row>
    <row r="3369">
      <c r="B3369" s="186" t="str">
        <f>IFERROR(__xludf.DUMMYFUNCTION("""COMPUTED_VALUE"""),"PI6177Y")</f>
        <v>PI6177Y</v>
      </c>
      <c r="C3369" s="186" t="str">
        <f>IFERROR(__xludf.DUMMYFUNCTION("""COMPUTED_VALUE"""),"CONJUNTO DE MARCADORES SORVETINHO")</f>
        <v>CONJUNTO DE MARCADORES SORVETINHO</v>
      </c>
      <c r="D3369" s="186" t="str">
        <f>IFERROR(__xludf.DUMMYFUNCTION("""COMPUTED_VALUE"""),"INMETRO SCHOOL ARTICLES SYSTEM 5 - ORDINANCE 481")</f>
        <v>INMETRO SCHOOL ARTICLES SYSTEM 5 - ORDINANCE 481</v>
      </c>
    </row>
    <row r="3370">
      <c r="B3370" s="186" t="str">
        <f>IFERROR(__xludf.DUMMYFUNCTION("""COMPUTED_VALUE"""),"PI6179Y")</f>
        <v>PI6179Y</v>
      </c>
      <c r="C3370" s="186" t="str">
        <f>IFERROR(__xludf.DUMMYFUNCTION("""COMPUTED_VALUE"""),"CONJUNTO DE MARCADORES POLVO")</f>
        <v>CONJUNTO DE MARCADORES POLVO</v>
      </c>
      <c r="D3370" s="186" t="str">
        <f>IFERROR(__xludf.DUMMYFUNCTION("""COMPUTED_VALUE"""),"INMETRO SCHOOL ARTICLES SYSTEM 5 - ORDINANCE 481")</f>
        <v>INMETRO SCHOOL ARTICLES SYSTEM 5 - ORDINANCE 481</v>
      </c>
    </row>
    <row r="3371">
      <c r="B3371" s="186" t="str">
        <f>IFERROR(__xludf.DUMMYFUNCTION("""COMPUTED_VALUE"""),"PI6179Y")</f>
        <v>PI6179Y</v>
      </c>
      <c r="C3371" s="186" t="str">
        <f>IFERROR(__xludf.DUMMYFUNCTION("""COMPUTED_VALUE"""),"CONJUNTO DE MARCADORES POLVO")</f>
        <v>CONJUNTO DE MARCADORES POLVO</v>
      </c>
      <c r="D3371" s="186" t="str">
        <f>IFERROR(__xludf.DUMMYFUNCTION("""COMPUTED_VALUE"""),"INMETRO SCHOOL ARTICLES SYSTEM 5 - ORDINANCE 481")</f>
        <v>INMETRO SCHOOL ARTICLES SYSTEM 5 - ORDINANCE 481</v>
      </c>
    </row>
    <row r="3372">
      <c r="B3372" s="186" t="str">
        <f>IFERROR(__xludf.DUMMYFUNCTION("""COMPUTED_VALUE"""),"PI6176Y")</f>
        <v>PI6176Y</v>
      </c>
      <c r="C3372" s="186" t="str">
        <f>IFERROR(__xludf.DUMMYFUNCTION("""COMPUTED_VALUE"""),"CONJUNTO DE LAPIS TUDO PODE FLORESCER")</f>
        <v>CONJUNTO DE LAPIS TUDO PODE FLORESCER</v>
      </c>
      <c r="D3372" s="186" t="str">
        <f>IFERROR(__xludf.DUMMYFUNCTION("""COMPUTED_VALUE"""),"INMETRO SCHOOL ARTICLES SYSTEM 5 - ORDINANCE 481")</f>
        <v>INMETRO SCHOOL ARTICLES SYSTEM 5 - ORDINANCE 481</v>
      </c>
    </row>
    <row r="3373">
      <c r="B3373" s="186" t="str">
        <f>IFERROR(__xludf.DUMMYFUNCTION("""COMPUTED_VALUE"""),"PI5137Y")</f>
        <v>PI5137Y</v>
      </c>
      <c r="C3373" s="186" t="str">
        <f>IFERROR(__xludf.DUMMYFUNCTION("""COMPUTED_VALUE"""),"COQUETELEIRA SHAKER FITDANCE MEXE MAIS")</f>
        <v>COQUETELEIRA SHAKER FITDANCE MEXE MAIS</v>
      </c>
      <c r="D3373" s="186" t="str">
        <f>IFERROR(__xludf.DUMMYFUNCTION("""COMPUTED_VALUE"""),"FALSO")</f>
        <v>FALSO</v>
      </c>
    </row>
    <row r="3374">
      <c r="B3374" s="186"/>
      <c r="C3374" s="186"/>
      <c r="D3374" s="186"/>
    </row>
    <row r="3375">
      <c r="B3375" s="186" t="str">
        <f>IFERROR(__xludf.DUMMYFUNCTION("""COMPUTED_VALUE"""),"PI7705Y")</f>
        <v>PI7705Y</v>
      </c>
      <c r="C3375" s="186" t="str">
        <f>IFERROR(__xludf.DUMMYFUNCTION("""COMPUTED_VALUE"""),"CANETA TUBARAO")</f>
        <v>CANETA TUBARAO</v>
      </c>
      <c r="D3375" s="186" t="str">
        <f>IFERROR(__xludf.DUMMYFUNCTION("""COMPUTED_VALUE"""),"INMETRO SCHOOL ARTICLES SYSTEM 5 - ORDINANCE 481")</f>
        <v>INMETRO SCHOOL ARTICLES SYSTEM 5 - ORDINANCE 481</v>
      </c>
    </row>
    <row r="3376">
      <c r="B3376" s="186" t="str">
        <f>IFERROR(__xludf.DUMMYFUNCTION("""COMPUTED_VALUE"""),"PI7561Y")</f>
        <v>PI7561Y</v>
      </c>
      <c r="C3376" s="186" t="str">
        <f>IFERROR(__xludf.DUMMYFUNCTION("""COMPUTED_VALUE"""),"CANETA OVELHA")</f>
        <v>CANETA OVELHA</v>
      </c>
      <c r="D3376" s="186" t="str">
        <f>IFERROR(__xludf.DUMMYFUNCTION("""COMPUTED_VALUE"""),"INMETRO SCHOOL ARTICLES SYSTEM 5 - ORDINANCE 481")</f>
        <v>INMETRO SCHOOL ARTICLES SYSTEM 5 - ORDINANCE 481</v>
      </c>
    </row>
    <row r="3377">
      <c r="B3377" s="186" t="str">
        <f>IFERROR(__xludf.DUMMYFUNCTION("""COMPUTED_VALUE"""),"PI7428Y")</f>
        <v>PI7428Y</v>
      </c>
      <c r="C3377" s="186" t="str">
        <f>IFERROR(__xludf.DUMMYFUNCTION("""COMPUTED_VALUE"""),"ALMOFADA SHIATSU POR MASSAGEM")</f>
        <v>ALMOFADA SHIATSU POR MASSAGEM</v>
      </c>
      <c r="D3377" s="186" t="str">
        <f>IFERROR(__xludf.DUMMYFUNCTION("""COMPUTED_VALUE"""),"FALSO")</f>
        <v>FALSO</v>
      </c>
    </row>
    <row r="3378">
      <c r="B3378" s="186" t="str">
        <f>IFERROR(__xludf.DUMMYFUNCTION("""COMPUTED_VALUE"""),"PI7429Y")</f>
        <v>PI7429Y</v>
      </c>
      <c r="C3378" s="186" t="str">
        <f>IFERROR(__xludf.DUMMYFUNCTION("""COMPUTED_VALUE"""),"ALMOFADA SHIATSU MAIS MASSAGEM")</f>
        <v>ALMOFADA SHIATSU MAIS MASSAGEM</v>
      </c>
      <c r="D3378" s="186" t="str">
        <f>IFERROR(__xludf.DUMMYFUNCTION("""COMPUTED_VALUE"""),"FALSO")</f>
        <v>FALSO</v>
      </c>
    </row>
    <row r="3379">
      <c r="B3379" s="186" t="str">
        <f>IFERROR(__xludf.DUMMYFUNCTION("""COMPUTED_VALUE"""),"PI6477Y")</f>
        <v>PI6477Y</v>
      </c>
      <c r="C3379" s="186" t="str">
        <f>IFERROR(__xludf.DUMMYFUNCTION("""COMPUTED_VALUE"""),"ALMOFADA SHIATSU RELAXAR TAMBEM E MASSA")</f>
        <v>ALMOFADA SHIATSU RELAXAR TAMBEM E MASSA</v>
      </c>
      <c r="D3379" s="186" t="str">
        <f>IFERROR(__xludf.DUMMYFUNCTION("""COMPUTED_VALUE"""),"FALSO")</f>
        <v>FALSO</v>
      </c>
    </row>
    <row r="3380">
      <c r="B3380" s="186" t="str">
        <f>IFERROR(__xludf.DUMMYFUNCTION("""COMPUTED_VALUE"""),"PI6477Y")</f>
        <v>PI6477Y</v>
      </c>
      <c r="C3380" s="186" t="str">
        <f>IFERROR(__xludf.DUMMYFUNCTION("""COMPUTED_VALUE"""),"ALMOFADA SHIATSU RELAXAR TAMBEM E MASSA")</f>
        <v>ALMOFADA SHIATSU RELAXAR TAMBEM E MASSA</v>
      </c>
      <c r="D3380" s="186" t="str">
        <f>IFERROR(__xludf.DUMMYFUNCTION("""COMPUTED_VALUE"""),"FALSO")</f>
        <v>FALSO</v>
      </c>
    </row>
    <row r="3381">
      <c r="B3381" s="186" t="str">
        <f>IFERROR(__xludf.DUMMYFUNCTION("""COMPUTED_VALUE"""),"PI6477Y")</f>
        <v>PI6477Y</v>
      </c>
      <c r="C3381" s="186" t="str">
        <f>IFERROR(__xludf.DUMMYFUNCTION("""COMPUTED_VALUE"""),"ALMOFADA SHIATSU RELAXAR TAMBEM E MASSA")</f>
        <v>ALMOFADA SHIATSU RELAXAR TAMBEM E MASSA</v>
      </c>
      <c r="D3381" s="186" t="str">
        <f>IFERROR(__xludf.DUMMYFUNCTION("""COMPUTED_VALUE"""),"FALSO")</f>
        <v>FALSO</v>
      </c>
    </row>
    <row r="3382">
      <c r="B3382" s="186" t="str">
        <f>IFERROR(__xludf.DUMMYFUNCTION("""COMPUTED_VALUE"""),"PI4651Y")</f>
        <v>PI4651Y</v>
      </c>
      <c r="C3382" s="186" t="str">
        <f>IFERROR(__xludf.DUMMYFUNCTION("""COMPUTED_VALUE"""),"ALMOFADA MASSAGEADORA SHIATSU VAI E FAZ")</f>
        <v>ALMOFADA MASSAGEADORA SHIATSU VAI E FAZ</v>
      </c>
      <c r="D3382" s="186" t="str">
        <f>IFERROR(__xludf.DUMMYFUNCTION("""COMPUTED_VALUE"""),"FALSO")</f>
        <v>FALSO</v>
      </c>
    </row>
    <row r="3383">
      <c r="B3383" s="186" t="str">
        <f>IFERROR(__xludf.DUMMYFUNCTION("""COMPUTED_VALUE"""),"PI5055Y")</f>
        <v>PI5055Y</v>
      </c>
      <c r="C3383" s="186" t="str">
        <f>IFERROR(__xludf.DUMMYFUNCTION("""COMPUTED_VALUE"""),"ALMOFADA MASSAGEADORA SHIATSU ROSA")</f>
        <v>ALMOFADA MASSAGEADORA SHIATSU ROSA</v>
      </c>
      <c r="D3383" s="186" t="str">
        <f>IFERROR(__xludf.DUMMYFUNCTION("""COMPUTED_VALUE"""),"FALSO")</f>
        <v>FALSO</v>
      </c>
    </row>
    <row r="3384">
      <c r="B3384" s="186" t="str">
        <f>IFERROR(__xludf.DUMMYFUNCTION("""COMPUTED_VALUE"""),"PI6692Y")</f>
        <v>PI6692Y</v>
      </c>
      <c r="C3384" s="186" t="str">
        <f>IFERROR(__xludf.DUMMYFUNCTION("""COMPUTED_VALUE"""),"MASSAGEADOR SHIATSU EGO")</f>
        <v>MASSAGEADOR SHIATSU EGO</v>
      </c>
      <c r="D3384" s="186" t="str">
        <f>IFERROR(__xludf.DUMMYFUNCTION("""COMPUTED_VALUE"""),"FALSO")</f>
        <v>FALSO</v>
      </c>
    </row>
    <row r="3385">
      <c r="B3385" s="186" t="str">
        <f>IFERROR(__xludf.DUMMYFUNCTION("""COMPUTED_VALUE"""),"PI6692Y")</f>
        <v>PI6692Y</v>
      </c>
      <c r="C3385" s="186" t="str">
        <f>IFERROR(__xludf.DUMMYFUNCTION("""COMPUTED_VALUE"""),"MASSAGEADOR SHIATSU EGO")</f>
        <v>MASSAGEADOR SHIATSU EGO</v>
      </c>
      <c r="D3385" s="186" t="str">
        <f>IFERROR(__xludf.DUMMYFUNCTION("""COMPUTED_VALUE"""),"FALSO")</f>
        <v>FALSO</v>
      </c>
    </row>
    <row r="3386">
      <c r="B3386" s="186" t="str">
        <f>IFERROR(__xludf.DUMMYFUNCTION("""COMPUTED_VALUE"""),"PI7191Y")</f>
        <v>PI7191Y</v>
      </c>
      <c r="C3386" s="186" t="str">
        <f>IFERROR(__xludf.DUMMYFUNCTION("""COMPUTED_VALUE"""),"MASSAGEADOR SHIATSU PONTO CERTO")</f>
        <v>MASSAGEADOR SHIATSU PONTO CERTO</v>
      </c>
      <c r="D3386" s="186" t="str">
        <f>IFERROR(__xludf.DUMMYFUNCTION("""COMPUTED_VALUE"""),"FALSO")</f>
        <v>FALSO</v>
      </c>
    </row>
    <row r="3387">
      <c r="B3387" s="186" t="str">
        <f>IFERROR(__xludf.DUMMYFUNCTION("""COMPUTED_VALUE"""),"PI5984Y")</f>
        <v>PI5984Y</v>
      </c>
      <c r="C3387" s="186" t="str">
        <f>IFERROR(__xludf.DUMMYFUNCTION("""COMPUTED_VALUE"""),"FORMA DE GELO COPINHOS DE SHOT")</f>
        <v>FORMA DE GELO COPINHOS DE SHOT</v>
      </c>
      <c r="D3387" s="186" t="str">
        <f>IFERROR(__xludf.DUMMYFUNCTION("""COMPUTED_VALUE"""),"FALSO")</f>
        <v>FALSO</v>
      </c>
    </row>
    <row r="3388">
      <c r="B3388" s="186" t="str">
        <f>IFERROR(__xludf.DUMMYFUNCTION("""COMPUTED_VALUE"""),"PI5989Y")</f>
        <v>PI5989Y</v>
      </c>
      <c r="C3388" s="186" t="str">
        <f>IFERROR(__xludf.DUMMYFUNCTION("""COMPUTED_VALUE"""),"KIT COPOS DE SHOT BORA VIRAR")</f>
        <v>KIT COPOS DE SHOT BORA VIRAR</v>
      </c>
      <c r="D3388" s="186" t="str">
        <f>IFERROR(__xludf.DUMMYFUNCTION("""COMPUTED_VALUE"""),"FALSO")</f>
        <v>FALSO</v>
      </c>
    </row>
    <row r="3389">
      <c r="B3389" s="186" t="str">
        <f>IFERROR(__xludf.DUMMYFUNCTION("""COMPUTED_VALUE"""),"PI5079Y")</f>
        <v>PI5079Y</v>
      </c>
      <c r="C3389" s="186" t="str">
        <f>IFERROR(__xludf.DUMMYFUNCTION("""COMPUTED_VALUE"""),"KIT COPOS DE SHOT VIRA VIROU")</f>
        <v>KIT COPOS DE SHOT VIRA VIROU</v>
      </c>
      <c r="D3389" s="186" t="str">
        <f>IFERROR(__xludf.DUMMYFUNCTION("""COMPUTED_VALUE"""),"FALSO")</f>
        <v>FALSO</v>
      </c>
    </row>
    <row r="3390">
      <c r="B3390" s="186" t="str">
        <f>IFERROR(__xludf.DUMMYFUNCTION("""COMPUTED_VALUE"""),"PI7969Y")</f>
        <v>PI7969Y</v>
      </c>
      <c r="C3390" s="186" t="str">
        <f>IFERROR(__xludf.DUMMYFUNCTION("""COMPUTED_VALUE"""),"COADOR DE SILICONE PARA CAFE CINZA")</f>
        <v>COADOR DE SILICONE PARA CAFE CINZA</v>
      </c>
      <c r="D3390" s="186" t="str">
        <f>IFERROR(__xludf.DUMMYFUNCTION("""COMPUTED_VALUE"""),"FALSO")</f>
        <v>FALSO</v>
      </c>
    </row>
    <row r="3391">
      <c r="B3391" s="186" t="str">
        <f>IFERROR(__xludf.DUMMYFUNCTION("""COMPUTED_VALUE"""),"PI7968Y")</f>
        <v>PI7968Y</v>
      </c>
      <c r="C3391" s="186" t="str">
        <f>IFERROR(__xludf.DUMMYFUNCTION("""COMPUTED_VALUE"""),"COADOR DE SILICONE PARA CAFE VERDE")</f>
        <v>COADOR DE SILICONE PARA CAFE VERDE</v>
      </c>
      <c r="D3391" s="186" t="str">
        <f>IFERROR(__xludf.DUMMYFUNCTION("""COMPUTED_VALUE"""),"FALSO")</f>
        <v>FALSO</v>
      </c>
    </row>
    <row r="3392">
      <c r="B3392" s="186" t="str">
        <f>IFERROR(__xludf.DUMMYFUNCTION("""COMPUTED_VALUE"""),"PI7967Y")</f>
        <v>PI7967Y</v>
      </c>
      <c r="C3392" s="186" t="str">
        <f>IFERROR(__xludf.DUMMYFUNCTION("""COMPUTED_VALUE"""),"COADOR DE SILICONE PARA CAFE LARANJA")</f>
        <v>COADOR DE SILICONE PARA CAFE LARANJA</v>
      </c>
      <c r="D3392" s="186" t="str">
        <f>IFERROR(__xludf.DUMMYFUNCTION("""COMPUTED_VALUE"""),"FALSO")</f>
        <v>FALSO</v>
      </c>
    </row>
    <row r="3393">
      <c r="B3393" s="186" t="str">
        <f>IFERROR(__xludf.DUMMYFUNCTION("""COMPUTED_VALUE"""),"PI7937Y")</f>
        <v>PI7937Y</v>
      </c>
      <c r="C3393" s="186" t="str">
        <f>IFERROR(__xludf.DUMMYFUNCTION("""COMPUTED_VALUE"""),"LUMINARIA DE SILICONE JACARE")</f>
        <v>LUMINARIA DE SILICONE JACARE</v>
      </c>
      <c r="D3393" s="186" t="str">
        <f>IFERROR(__xludf.DUMMYFUNCTION("""COMPUTED_VALUE"""),"FALSO")</f>
        <v>FALSO</v>
      </c>
    </row>
    <row r="3394">
      <c r="B3394" s="186" t="str">
        <f>IFERROR(__xludf.DUMMYFUNCTION("""COMPUTED_VALUE"""),"PI7933Y")</f>
        <v>PI7933Y</v>
      </c>
      <c r="C3394" s="186" t="str">
        <f>IFERROR(__xludf.DUMMYFUNCTION("""COMPUTED_VALUE"""),"LUMINARIA DE SILICONE ASTRONAUTA")</f>
        <v>LUMINARIA DE SILICONE ASTRONAUTA</v>
      </c>
      <c r="D3394" s="186" t="str">
        <f>IFERROR(__xludf.DUMMYFUNCTION("""COMPUTED_VALUE"""),"FALSO")</f>
        <v>FALSO</v>
      </c>
    </row>
    <row r="3395">
      <c r="B3395" s="186" t="str">
        <f>IFERROR(__xludf.DUMMYFUNCTION("""COMPUTED_VALUE"""),"PI7934Y")</f>
        <v>PI7934Y</v>
      </c>
      <c r="C3395" s="186" t="str">
        <f>IFERROR(__xludf.DUMMYFUNCTION("""COMPUTED_VALUE"""),"LUMINARIA DE SILICONE BROCOLIS")</f>
        <v>LUMINARIA DE SILICONE BROCOLIS</v>
      </c>
      <c r="D3395" s="186" t="str">
        <f>IFERROR(__xludf.DUMMYFUNCTION("""COMPUTED_VALUE"""),"FALSO")</f>
        <v>FALSO</v>
      </c>
    </row>
    <row r="3396">
      <c r="B3396" s="186" t="str">
        <f>IFERROR(__xludf.DUMMYFUNCTION("""COMPUTED_VALUE"""),"PI7926Y")</f>
        <v>PI7926Y</v>
      </c>
      <c r="C3396" s="186" t="str">
        <f>IFERROR(__xludf.DUMMYFUNCTION("""COMPUTED_VALUE"""),"LUMINARIA DE SILICONE COELHINHO")</f>
        <v>LUMINARIA DE SILICONE COELHINHO</v>
      </c>
      <c r="D3396" s="186" t="str">
        <f>IFERROR(__xludf.DUMMYFUNCTION("""COMPUTED_VALUE"""),"FALSO")</f>
        <v>FALSO</v>
      </c>
    </row>
    <row r="3397">
      <c r="B3397" s="186" t="str">
        <f>IFERROR(__xludf.DUMMYFUNCTION("""COMPUTED_VALUE"""),"PI7679Y")</f>
        <v>PI7679Y</v>
      </c>
      <c r="C3397" s="186" t="str">
        <f>IFERROR(__xludf.DUMMYFUNCTION("""COMPUTED_VALUE"""),"LUMINARIA DE SILICONE CAPIVARA")</f>
        <v>LUMINARIA DE SILICONE CAPIVARA</v>
      </c>
      <c r="D3397" s="186" t="str">
        <f>IFERROR(__xludf.DUMMYFUNCTION("""COMPUTED_VALUE"""),"FALSO")</f>
        <v>FALSO</v>
      </c>
    </row>
    <row r="3398">
      <c r="B3398" s="186" t="str">
        <f>IFERROR(__xludf.DUMMYFUNCTION("""COMPUTED_VALUE"""),"PI7939Y")</f>
        <v>PI7939Y</v>
      </c>
      <c r="C3398" s="186" t="str">
        <f>IFERROR(__xludf.DUMMYFUNCTION("""COMPUTED_VALUE"""),"LUMINARIA DE SILICONE CAPIVARA YOGA")</f>
        <v>LUMINARIA DE SILICONE CAPIVARA YOGA</v>
      </c>
      <c r="D3398" s="186" t="str">
        <f>IFERROR(__xludf.DUMMYFUNCTION("""COMPUTED_VALUE"""),"FALSO")</f>
        <v>FALSO</v>
      </c>
    </row>
    <row r="3399">
      <c r="B3399" s="186" t="str">
        <f>IFERROR(__xludf.DUMMYFUNCTION("""COMPUTED_VALUE"""),"PI7932Y")</f>
        <v>PI7932Y</v>
      </c>
      <c r="C3399" s="186" t="str">
        <f>IFERROR(__xludf.DUMMYFUNCTION("""COMPUTED_VALUE"""),"LUMINARIA DE SILICONE COCORICO")</f>
        <v>LUMINARIA DE SILICONE COCORICO</v>
      </c>
      <c r="D3399" s="186" t="str">
        <f>IFERROR(__xludf.DUMMYFUNCTION("""COMPUTED_VALUE"""),"FALSO")</f>
        <v>FALSO</v>
      </c>
    </row>
    <row r="3400">
      <c r="B3400" s="186" t="str">
        <f>IFERROR(__xludf.DUMMYFUNCTION("""COMPUTED_VALUE"""),"PI7940Y")</f>
        <v>PI7940Y</v>
      </c>
      <c r="C3400" s="186" t="str">
        <f>IFERROR(__xludf.DUMMYFUNCTION("""COMPUTED_VALUE"""),"LUMINARIA DE SILICONE DINO FOFO")</f>
        <v>LUMINARIA DE SILICONE DINO FOFO</v>
      </c>
      <c r="D3400" s="186" t="str">
        <f>IFERROR(__xludf.DUMMYFUNCTION("""COMPUTED_VALUE"""),"FALSO")</f>
        <v>FALSO</v>
      </c>
    </row>
    <row r="3401">
      <c r="B3401" s="186" t="str">
        <f>IFERROR(__xludf.DUMMYFUNCTION("""COMPUTED_VALUE"""),"PI7931Y")</f>
        <v>PI7931Y</v>
      </c>
      <c r="C3401" s="186" t="str">
        <f>IFERROR(__xludf.DUMMYFUNCTION("""COMPUTED_VALUE"""),"LUMINARIA DE SILICONE UNICORNIO FOFINHO")</f>
        <v>LUMINARIA DE SILICONE UNICORNIO FOFINHO</v>
      </c>
      <c r="D3401" s="186" t="str">
        <f>IFERROR(__xludf.DUMMYFUNCTION("""COMPUTED_VALUE"""),"FALSO")</f>
        <v>FALSO</v>
      </c>
    </row>
    <row r="3402">
      <c r="B3402" s="186" t="str">
        <f>IFERROR(__xludf.DUMMYFUNCTION("""COMPUTED_VALUE"""),"PI7942Y")</f>
        <v>PI7942Y</v>
      </c>
      <c r="C3402" s="186" t="str">
        <f>IFERROR(__xludf.DUMMYFUNCTION("""COMPUTED_VALUE"""),"LUMINARIA DE SILICONE PATO DE CHAPEU")</f>
        <v>LUMINARIA DE SILICONE PATO DE CHAPEU</v>
      </c>
      <c r="D3402" s="186" t="str">
        <f>IFERROR(__xludf.DUMMYFUNCTION("""COMPUTED_VALUE"""),"FALSO")</f>
        <v>FALSO</v>
      </c>
    </row>
    <row r="3403">
      <c r="B3403" s="186" t="str">
        <f>IFERROR(__xludf.DUMMYFUNCTION("""COMPUTED_VALUE"""),"PI7929Y")</f>
        <v>PI7929Y</v>
      </c>
      <c r="C3403" s="186" t="str">
        <f>IFERROR(__xludf.DUMMYFUNCTION("""COMPUTED_VALUE"""),"LUMINARIA DE SILICONE FANTASMINHA")</f>
        <v>LUMINARIA DE SILICONE FANTASMINHA</v>
      </c>
      <c r="D3403" s="186" t="str">
        <f>IFERROR(__xludf.DUMMYFUNCTION("""COMPUTED_VALUE"""),"FALSO")</f>
        <v>FALSO</v>
      </c>
    </row>
    <row r="3404">
      <c r="B3404" s="186" t="str">
        <f>IFERROR(__xludf.DUMMYFUNCTION("""COMPUTED_VALUE"""),"PI7677Y")</f>
        <v>PI7677Y</v>
      </c>
      <c r="C3404" s="186" t="str">
        <f>IFERROR(__xludf.DUMMYFUNCTION("""COMPUTED_VALUE"""),"LUMINARIA DE SILICONE DINOSSAURO VERDE")</f>
        <v>LUMINARIA DE SILICONE DINOSSAURO VERDE</v>
      </c>
      <c r="D3404" s="186" t="str">
        <f>IFERROR(__xludf.DUMMYFUNCTION("""COMPUTED_VALUE"""),"FALSO")</f>
        <v>FALSO</v>
      </c>
    </row>
    <row r="3405">
      <c r="B3405" s="186" t="str">
        <f>IFERROR(__xludf.DUMMYFUNCTION("""COMPUTED_VALUE"""),"PI7936Y")</f>
        <v>PI7936Y</v>
      </c>
      <c r="C3405" s="186" t="str">
        <f>IFERROR(__xludf.DUMMYFUNCTION("""COMPUTED_VALUE"""),"LUMINARIA DE SILICONE ESTRELINHA")</f>
        <v>LUMINARIA DE SILICONE ESTRELINHA</v>
      </c>
      <c r="D3405" s="186" t="str">
        <f>IFERROR(__xludf.DUMMYFUNCTION("""COMPUTED_VALUE"""),"FALSO")</f>
        <v>FALSO</v>
      </c>
    </row>
    <row r="3406">
      <c r="B3406" s="186" t="str">
        <f>IFERROR(__xludf.DUMMYFUNCTION("""COMPUTED_VALUE"""),"PI7935Y")</f>
        <v>PI7935Y</v>
      </c>
      <c r="C3406" s="186" t="str">
        <f>IFERROR(__xludf.DUMMYFUNCTION("""COMPUTED_VALUE"""),"LUMINARIA DE SILICONE PATO NINJA")</f>
        <v>LUMINARIA DE SILICONE PATO NINJA</v>
      </c>
      <c r="D3406" s="186" t="str">
        <f>IFERROR(__xludf.DUMMYFUNCTION("""COMPUTED_VALUE"""),"FALSO")</f>
        <v>FALSO</v>
      </c>
    </row>
    <row r="3407">
      <c r="B3407" s="186" t="str">
        <f>IFERROR(__xludf.DUMMYFUNCTION("""COMPUTED_VALUE"""),"PI7930Y")</f>
        <v>PI7930Y</v>
      </c>
      <c r="C3407" s="186" t="str">
        <f>IFERROR(__xludf.DUMMYFUNCTION("""COMPUTED_VALUE"""),"LUMINARIA DE SILICONE POLVO")</f>
        <v>LUMINARIA DE SILICONE POLVO</v>
      </c>
      <c r="D3407" s="186" t="str">
        <f>IFERROR(__xludf.DUMMYFUNCTION("""COMPUTED_VALUE"""),"FALSO")</f>
        <v>FALSO</v>
      </c>
    </row>
    <row r="3408">
      <c r="B3408" s="186" t="str">
        <f>IFERROR(__xludf.DUMMYFUNCTION("""COMPUTED_VALUE"""),"PI7927Y")</f>
        <v>PI7927Y</v>
      </c>
      <c r="C3408" s="186" t="str">
        <f>IFERROR(__xludf.DUMMYFUNCTION("""COMPUTED_VALUE"""),"LUMINARIA DE SILICONE CACHORRINHO")</f>
        <v>LUMINARIA DE SILICONE CACHORRINHO</v>
      </c>
      <c r="D3408" s="186" t="str">
        <f>IFERROR(__xludf.DUMMYFUNCTION("""COMPUTED_VALUE"""),"FALSO")</f>
        <v>FALSO</v>
      </c>
    </row>
    <row r="3409">
      <c r="B3409" s="186" t="str">
        <f>IFERROR(__xludf.DUMMYFUNCTION("""COMPUTED_VALUE"""),"PI7938Y")</f>
        <v>PI7938Y</v>
      </c>
      <c r="C3409" s="186" t="str">
        <f>IFERROR(__xludf.DUMMYFUNCTION("""COMPUTED_VALUE"""),"LUMINARIA DE SILICONE TUBARAO")</f>
        <v>LUMINARIA DE SILICONE TUBARAO</v>
      </c>
      <c r="D3409" s="186" t="str">
        <f>IFERROR(__xludf.DUMMYFUNCTION("""COMPUTED_VALUE"""),"FALSO")</f>
        <v>FALSO</v>
      </c>
    </row>
    <row r="3410">
      <c r="B3410" s="186" t="str">
        <f>IFERROR(__xludf.DUMMYFUNCTION("""COMPUTED_VALUE"""),"PI7599Y")</f>
        <v>PI7599Y</v>
      </c>
      <c r="C3410" s="186" t="str">
        <f>IFERROR(__xludf.DUMMYFUNCTION("""COMPUTED_VALUE"""),"LUMINARIA DE SILICONE PANDA SENTADO")</f>
        <v>LUMINARIA DE SILICONE PANDA SENTADO</v>
      </c>
      <c r="D3410" s="186" t="str">
        <f>IFERROR(__xludf.DUMMYFUNCTION("""COMPUTED_VALUE"""),"FALSO")</f>
        <v>FALSO</v>
      </c>
    </row>
    <row r="3411">
      <c r="B3411" s="186" t="str">
        <f>IFERROR(__xludf.DUMMYFUNCTION("""COMPUTED_VALUE"""),"PI6180Y")</f>
        <v>PI6180Y</v>
      </c>
      <c r="C3411" s="186" t="str">
        <f>IFERROR(__xludf.DUMMYFUNCTION("""COMPUTED_VALUE"""),"LUMINÁRIA DE SILICONE SORRISO")</f>
        <v>LUMINÁRIA DE SILICONE SORRISO</v>
      </c>
      <c r="D3411" s="186" t="str">
        <f>IFERROR(__xludf.DUMMYFUNCTION("""COMPUTED_VALUE"""),"FALSO")</f>
        <v>FALSO</v>
      </c>
    </row>
    <row r="3412">
      <c r="B3412" s="186" t="str">
        <f>IFERROR(__xludf.DUMMYFUNCTION("""COMPUTED_VALUE"""),"PI7671Y")</f>
        <v>PI7671Y</v>
      </c>
      <c r="C3412" s="186" t="str">
        <f>IFERROR(__xludf.DUMMYFUNCTION("""COMPUTED_VALUE"""),"LUMINARIA DE SILICONE BOLA DE FUTEBOL")</f>
        <v>LUMINARIA DE SILICONE BOLA DE FUTEBOL</v>
      </c>
      <c r="D3412" s="186" t="str">
        <f>IFERROR(__xludf.DUMMYFUNCTION("""COMPUTED_VALUE"""),"FALSO")</f>
        <v>FALSO</v>
      </c>
    </row>
    <row r="3413">
      <c r="B3413" s="186" t="str">
        <f>IFERROR(__xludf.DUMMYFUNCTION("""COMPUTED_VALUE"""),"PI7941Y")</f>
        <v>PI7941Y</v>
      </c>
      <c r="C3413" s="186" t="str">
        <f>IFERROR(__xludf.DUMMYFUNCTION("""COMPUTED_VALUE"""),"LUMINARIA DE SILICONE CHAPEU DE MORANGO")</f>
        <v>LUMINARIA DE SILICONE CHAPEU DE MORANGO</v>
      </c>
      <c r="D3413" s="186" t="str">
        <f>IFERROR(__xludf.DUMMYFUNCTION("""COMPUTED_VALUE"""),"FALSO")</f>
        <v>FALSO</v>
      </c>
    </row>
    <row r="3414">
      <c r="B3414" s="186" t="str">
        <f>IFERROR(__xludf.DUMMYFUNCTION("""COMPUTED_VALUE"""),"PI7928Y")</f>
        <v>PI7928Y</v>
      </c>
      <c r="C3414" s="186" t="str">
        <f>IFERROR(__xludf.DUMMYFUNCTION("""COMPUTED_VALUE"""),"LUMINARIA DE SILICONE PATINHO EXAUSTO")</f>
        <v>LUMINARIA DE SILICONE PATINHO EXAUSTO</v>
      </c>
      <c r="D3414" s="186" t="str">
        <f>IFERROR(__xludf.DUMMYFUNCTION("""COMPUTED_VALUE"""),"FALSO")</f>
        <v>FALSO</v>
      </c>
    </row>
    <row r="3415">
      <c r="B3415" s="186" t="str">
        <f>IFERROR(__xludf.DUMMYFUNCTION("""COMPUTED_VALUE"""),"PI7672Y")</f>
        <v>PI7672Y</v>
      </c>
      <c r="C3415" s="186" t="str">
        <f>IFERROR(__xludf.DUMMYFUNCTION("""COMPUTED_VALUE"""),"LUMINARIA DE SILICONE UNICORNIO COM ASAS")</f>
        <v>LUMINARIA DE SILICONE UNICORNIO COM ASAS</v>
      </c>
      <c r="D3415" s="186" t="str">
        <f>IFERROR(__xludf.DUMMYFUNCTION("""COMPUTED_VALUE"""),"FALSO")</f>
        <v>FALSO</v>
      </c>
    </row>
    <row r="3416">
      <c r="B3416" s="186" t="str">
        <f>IFERROR(__xludf.DUMMYFUNCTION("""COMPUTED_VALUE"""),"PI7094Y")</f>
        <v>PI7094Y</v>
      </c>
      <c r="C3416" s="186" t="str">
        <f>IFERROR(__xludf.DUMMYFUNCTION("""COMPUTED_VALUE"""),"CANETA DE SILICONE BORBOLETA")</f>
        <v>CANETA DE SILICONE BORBOLETA</v>
      </c>
      <c r="D3416" s="186" t="str">
        <f>IFERROR(__xludf.DUMMYFUNCTION("""COMPUTED_VALUE"""),"INMETRO SCHOOL ARTICLES - ORDINANCE 423")</f>
        <v>INMETRO SCHOOL ARTICLES - ORDINANCE 423</v>
      </c>
    </row>
    <row r="3417">
      <c r="B3417" s="186" t="str">
        <f>IFERROR(__xludf.DUMMYFUNCTION("""COMPUTED_VALUE"""),"PI7093Y")</f>
        <v>PI7093Y</v>
      </c>
      <c r="C3417" s="186" t="str">
        <f>IFERROR(__xludf.DUMMYFUNCTION("""COMPUTED_VALUE"""),"CANETA DE SILICONE FLOR E JOANINHA")</f>
        <v>CANETA DE SILICONE FLOR E JOANINHA</v>
      </c>
      <c r="D3417" s="186" t="str">
        <f>IFERROR(__xludf.DUMMYFUNCTION("""COMPUTED_VALUE"""),"INMETRO SCHOOL ARTICLES - ORDINANCE 423")</f>
        <v>INMETRO SCHOOL ARTICLES - ORDINANCE 423</v>
      </c>
    </row>
    <row r="3418">
      <c r="B3418" s="186" t="str">
        <f>IFERROR(__xludf.DUMMYFUNCTION("""COMPUTED_VALUE"""),"PI6167Y")</f>
        <v>PI6167Y</v>
      </c>
      <c r="C3418" s="186" t="str">
        <f>IFERROR(__xludf.DUMMYFUNCTION("""COMPUTED_VALUE"""),"CANETA DE SILICONE COPO DE LEITE")</f>
        <v>CANETA DE SILICONE COPO DE LEITE</v>
      </c>
      <c r="D3418" s="186" t="str">
        <f>IFERROR(__xludf.DUMMYFUNCTION("""COMPUTED_VALUE"""),"INMETRO SCHOOL ARTICLES SYSTEM 5 - ORDINANCE 481")</f>
        <v>INMETRO SCHOOL ARTICLES SYSTEM 5 - ORDINANCE 481</v>
      </c>
    </row>
    <row r="3419">
      <c r="B3419" s="186" t="str">
        <f>IFERROR(__xludf.DUMMYFUNCTION("""COMPUTED_VALUE"""),"PI6167Y")</f>
        <v>PI6167Y</v>
      </c>
      <c r="C3419" s="186" t="str">
        <f>IFERROR(__xludf.DUMMYFUNCTION("""COMPUTED_VALUE"""),"CANETA DE SILICONE COPO DE LEITE")</f>
        <v>CANETA DE SILICONE COPO DE LEITE</v>
      </c>
      <c r="D3419" s="186" t="str">
        <f>IFERROR(__xludf.DUMMYFUNCTION("""COMPUTED_VALUE"""),"INMETRO SCHOOL ARTICLES SYSTEM 5 - ORDINANCE 481")</f>
        <v>INMETRO SCHOOL ARTICLES SYSTEM 5 - ORDINANCE 481</v>
      </c>
    </row>
    <row r="3420">
      <c r="B3420" s="186" t="str">
        <f>IFERROR(__xludf.DUMMYFUNCTION("""COMPUTED_VALUE"""),"PI7091Y")</f>
        <v>PI7091Y</v>
      </c>
      <c r="C3420" s="186" t="str">
        <f>IFERROR(__xludf.DUMMYFUNCTION("""COMPUTED_VALUE"""),"CANETA DE SILICONE FLOR DE LEBRE")</f>
        <v>CANETA DE SILICONE FLOR DE LEBRE</v>
      </c>
      <c r="D3420" s="186" t="str">
        <f>IFERROR(__xludf.DUMMYFUNCTION("""COMPUTED_VALUE"""),"INMETRO SCHOOL ARTICLES - ORDINANCE 423")</f>
        <v>INMETRO SCHOOL ARTICLES - ORDINANCE 423</v>
      </c>
    </row>
    <row r="3421">
      <c r="B3421" s="186" t="str">
        <f>IFERROR(__xludf.DUMMYFUNCTION("""COMPUTED_VALUE"""),"PI6168Y")</f>
        <v>PI6168Y</v>
      </c>
      <c r="C3421" s="186" t="str">
        <f>IFERROR(__xludf.DUMMYFUNCTION("""COMPUTED_VALUE"""),"CANETA DE SILICONE ROSA")</f>
        <v>CANETA DE SILICONE ROSA</v>
      </c>
      <c r="D3421" s="186" t="str">
        <f>IFERROR(__xludf.DUMMYFUNCTION("""COMPUTED_VALUE"""),"INMETRO SCHOOL ARTICLES SYSTEM 5 - ORDINANCE 481")</f>
        <v>INMETRO SCHOOL ARTICLES SYSTEM 5 - ORDINANCE 481</v>
      </c>
    </row>
    <row r="3422">
      <c r="B3422" s="186" t="str">
        <f>IFERROR(__xludf.DUMMYFUNCTION("""COMPUTED_VALUE"""),"PI6168Y")</f>
        <v>PI6168Y</v>
      </c>
      <c r="C3422" s="186" t="str">
        <f>IFERROR(__xludf.DUMMYFUNCTION("""COMPUTED_VALUE"""),"CANETA DE SILICONE ROSA")</f>
        <v>CANETA DE SILICONE ROSA</v>
      </c>
      <c r="D3422" s="186" t="str">
        <f>IFERROR(__xludf.DUMMYFUNCTION("""COMPUTED_VALUE"""),"INMETRO SCHOOL ARTICLES SYSTEM 5 - ORDINANCE 481")</f>
        <v>INMETRO SCHOOL ARTICLES SYSTEM 5 - ORDINANCE 481</v>
      </c>
    </row>
    <row r="3423">
      <c r="B3423" s="186" t="str">
        <f>IFERROR(__xludf.DUMMYFUNCTION("""COMPUTED_VALUE"""),"PI6164Y")</f>
        <v>PI6164Y</v>
      </c>
      <c r="C3423" s="186" t="str">
        <f>IFERROR(__xludf.DUMMYFUNCTION("""COMPUTED_VALUE"""),"CANETA DE SILICONE FOLHA")</f>
        <v>CANETA DE SILICONE FOLHA</v>
      </c>
      <c r="D3423" s="186" t="str">
        <f>IFERROR(__xludf.DUMMYFUNCTION("""COMPUTED_VALUE"""),"INMETRO SCHOOL ARTICLES - ORDINANCE 423")</f>
        <v>INMETRO SCHOOL ARTICLES - ORDINANCE 423</v>
      </c>
    </row>
    <row r="3424">
      <c r="B3424" s="186" t="str">
        <f>IFERROR(__xludf.DUMMYFUNCTION("""COMPUTED_VALUE"""),"PI7092Y")</f>
        <v>PI7092Y</v>
      </c>
      <c r="C3424" s="186" t="str">
        <f>IFERROR(__xludf.DUMMYFUNCTION("""COMPUTED_VALUE"""),"CANETA DE SILICONE FLOR SORRIDENTE")</f>
        <v>CANETA DE SILICONE FLOR SORRIDENTE</v>
      </c>
      <c r="D3424" s="186" t="str">
        <f>IFERROR(__xludf.DUMMYFUNCTION("""COMPUTED_VALUE"""),"INMETRO SCHOOL ARTICLES - ORDINANCE 423")</f>
        <v>INMETRO SCHOOL ARTICLES - ORDINANCE 423</v>
      </c>
    </row>
    <row r="3425">
      <c r="B3425" s="186" t="str">
        <f>IFERROR(__xludf.DUMMYFUNCTION("""COMPUTED_VALUE"""),"PI7771Y")</f>
        <v>PI7771Y</v>
      </c>
      <c r="C3425" s="186" t="str">
        <f>IFERROR(__xludf.DUMMYFUNCTION("""COMPUTED_VALUE"""),"CARTELA ADESIVO HP PERSONAGENS")</f>
        <v>CARTELA ADESIVO HP PERSONAGENS</v>
      </c>
      <c r="D3425" s="186" t="str">
        <f>IFERROR(__xludf.DUMMYFUNCTION("""COMPUTED_VALUE"""),"FALSO")</f>
        <v>FALSO</v>
      </c>
    </row>
    <row r="3426">
      <c r="B3426" s="186" t="str">
        <f>IFERROR(__xludf.DUMMYFUNCTION("""COMPUTED_VALUE"""),"PI7724Y")</f>
        <v>PI7724Y</v>
      </c>
      <c r="C3426" s="186" t="str">
        <f>IFERROR(__xludf.DUMMYFUNCTION("""COMPUTED_VALUE"""),"TAG DE MALA SILICONE CAPIVARA")</f>
        <v>TAG DE MALA SILICONE CAPIVARA</v>
      </c>
      <c r="D3426" s="186" t="str">
        <f>IFERROR(__xludf.DUMMYFUNCTION("""COMPUTED_VALUE"""),"FALSO")</f>
        <v>FALSO</v>
      </c>
    </row>
    <row r="3427">
      <c r="B3427" s="186" t="str">
        <f>IFERROR(__xludf.DUMMYFUNCTION("""COMPUTED_VALUE"""),"PI7958Y")</f>
        <v>PI7958Y</v>
      </c>
      <c r="C3427" s="186" t="str">
        <f>IFERROR(__xludf.DUMMYFUNCTION("""COMPUTED_VALUE"""),"TAG DE MALA SILICONE CAPIVARA VOADORA")</f>
        <v>TAG DE MALA SILICONE CAPIVARA VOADORA</v>
      </c>
      <c r="D3427" s="186" t="str">
        <f>IFERROR(__xludf.DUMMYFUNCTION("""COMPUTED_VALUE"""),"FALSO")</f>
        <v>FALSO</v>
      </c>
    </row>
    <row r="3428">
      <c r="B3428" s="186" t="str">
        <f>IFERROR(__xludf.DUMMYFUNCTION("""COMPUTED_VALUE"""),"PI7960Y")</f>
        <v>PI7960Y</v>
      </c>
      <c r="C3428" s="186" t="str">
        <f>IFERROR(__xludf.DUMMYFUNCTION("""COMPUTED_VALUE"""),"TAG DE MALA SILICONE BATATA FRITA")</f>
        <v>TAG DE MALA SILICONE BATATA FRITA</v>
      </c>
      <c r="D3428" s="186" t="str">
        <f>IFERROR(__xludf.DUMMYFUNCTION("""COMPUTED_VALUE"""),"FALSO")</f>
        <v>FALSO</v>
      </c>
    </row>
    <row r="3429">
      <c r="B3429" s="186" t="str">
        <f>IFERROR(__xludf.DUMMYFUNCTION("""COMPUTED_VALUE"""),"PI7699Y")</f>
        <v>PI7699Y</v>
      </c>
      <c r="C3429" s="186" t="str">
        <f>IFERROR(__xludf.DUMMYFUNCTION("""COMPUTED_VALUE"""),"TAG DE MALA SILICONE HP EDWIGES")</f>
        <v>TAG DE MALA SILICONE HP EDWIGES</v>
      </c>
      <c r="D3429" s="186" t="str">
        <f>IFERROR(__xludf.DUMMYFUNCTION("""COMPUTED_VALUE"""),"FALSO")</f>
        <v>FALSO</v>
      </c>
    </row>
    <row r="3430">
      <c r="B3430" s="186" t="str">
        <f>IFERROR(__xludf.DUMMYFUNCTION("""COMPUTED_VALUE"""),"PI7698Y")</f>
        <v>PI7698Y</v>
      </c>
      <c r="C3430" s="186" t="str">
        <f>IFERROR(__xludf.DUMMYFUNCTION("""COMPUTED_VALUE"""),"TAG DE MALA SILICONE HP HARRY POTTER")</f>
        <v>TAG DE MALA SILICONE HP HARRY POTTER</v>
      </c>
      <c r="D3430" s="186" t="str">
        <f>IFERROR(__xludf.DUMMYFUNCTION("""COMPUTED_VALUE"""),"FALSO")</f>
        <v>FALSO</v>
      </c>
    </row>
    <row r="3431">
      <c r="B3431" s="186" t="str">
        <f>IFERROR(__xludf.DUMMYFUNCTION("""COMPUTED_VALUE"""),"PI7962Y")</f>
        <v>PI7962Y</v>
      </c>
      <c r="C3431" s="186" t="str">
        <f>IFERROR(__xludf.DUMMYFUNCTION("""COMPUTED_VALUE"""),"TAG DE MALA SILICONE JOANINHA")</f>
        <v>TAG DE MALA SILICONE JOANINHA</v>
      </c>
      <c r="D3431" s="186" t="str">
        <f>IFERROR(__xludf.DUMMYFUNCTION("""COMPUTED_VALUE"""),"FALSO")</f>
        <v>FALSO</v>
      </c>
    </row>
    <row r="3432">
      <c r="B3432" s="186" t="str">
        <f>IFERROR(__xludf.DUMMYFUNCTION("""COMPUTED_VALUE"""),"PI7963Y")</f>
        <v>PI7963Y</v>
      </c>
      <c r="C3432" s="186" t="str">
        <f>IFERROR(__xludf.DUMMYFUNCTION("""COMPUTED_VALUE"""),"TAG DE MALA SILICONE VAQUINHA")</f>
        <v>TAG DE MALA SILICONE VAQUINHA</v>
      </c>
      <c r="D3432" s="186" t="str">
        <f>IFERROR(__xludf.DUMMYFUNCTION("""COMPUTED_VALUE"""),"FALSO")</f>
        <v>FALSO</v>
      </c>
    </row>
    <row r="3433">
      <c r="B3433" s="186" t="str">
        <f>IFERROR(__xludf.DUMMYFUNCTION("""COMPUTED_VALUE"""),"PI7961Y")</f>
        <v>PI7961Y</v>
      </c>
      <c r="C3433" s="186" t="str">
        <f>IFERROR(__xludf.DUMMYFUNCTION("""COMPUTED_VALUE"""),"TAG DE MALA SILICONE BAGAGEM")</f>
        <v>TAG DE MALA SILICONE BAGAGEM</v>
      </c>
      <c r="D3433" s="186" t="str">
        <f>IFERROR(__xludf.DUMMYFUNCTION("""COMPUTED_VALUE"""),"FALSO")</f>
        <v>FALSO</v>
      </c>
    </row>
    <row r="3434">
      <c r="B3434" s="186" t="str">
        <f>IFERROR(__xludf.DUMMYFUNCTION("""COMPUTED_VALUE"""),"PI7957Y")</f>
        <v>PI7957Y</v>
      </c>
      <c r="C3434" s="186" t="str">
        <f>IFERROR(__xludf.DUMMYFUNCTION("""COMPUTED_VALUE"""),"TAG DE MALA SILICONE ARCO IRIS")</f>
        <v>TAG DE MALA SILICONE ARCO IRIS</v>
      </c>
      <c r="D3434" s="186" t="str">
        <f>IFERROR(__xludf.DUMMYFUNCTION("""COMPUTED_VALUE"""),"FALSO")</f>
        <v>FALSO</v>
      </c>
    </row>
    <row r="3435">
      <c r="B3435" s="186" t="str">
        <f>IFERROR(__xludf.DUMMYFUNCTION("""COMPUTED_VALUE"""),"PI7959Y")</f>
        <v>PI7959Y</v>
      </c>
      <c r="C3435" s="186" t="str">
        <f>IFERROR(__xludf.DUMMYFUNCTION("""COMPUTED_VALUE"""),"TAG DE MALA SILICONE TUBARAO")</f>
        <v>TAG DE MALA SILICONE TUBARAO</v>
      </c>
      <c r="D3435" s="186" t="str">
        <f>IFERROR(__xludf.DUMMYFUNCTION("""COMPUTED_VALUE"""),"FALSO")</f>
        <v>FALSO</v>
      </c>
    </row>
    <row r="3436">
      <c r="B3436" s="186" t="str">
        <f>IFERROR(__xludf.DUMMYFUNCTION("""COMPUTED_VALUE"""),"PI7966Y")</f>
        <v>PI7966Y</v>
      </c>
      <c r="C3436" s="186" t="str">
        <f>IFERROR(__xludf.DUMMYFUNCTION("""COMPUTED_VALUE"""),"TAG DE MALA SILICONE VIAGEM AZUL")</f>
        <v>TAG DE MALA SILICONE VIAGEM AZUL</v>
      </c>
      <c r="D3436" s="186" t="str">
        <f>IFERROR(__xludf.DUMMYFUNCTION("""COMPUTED_VALUE"""),"FALSO")</f>
        <v>FALSO</v>
      </c>
    </row>
    <row r="3437">
      <c r="B3437" s="186" t="str">
        <f>IFERROR(__xludf.DUMMYFUNCTION("""COMPUTED_VALUE"""),"PI7955Y")</f>
        <v>PI7955Y</v>
      </c>
      <c r="C3437" s="186" t="str">
        <f>IFERROR(__xludf.DUMMYFUNCTION("""COMPUTED_VALUE"""),"TAG DE MALA SILICONE VIAGEM ROSA")</f>
        <v>TAG DE MALA SILICONE VIAGEM ROSA</v>
      </c>
      <c r="D3437" s="186" t="str">
        <f>IFERROR(__xludf.DUMMYFUNCTION("""COMPUTED_VALUE"""),"FALSO")</f>
        <v>FALSO</v>
      </c>
    </row>
    <row r="3438">
      <c r="B3438" s="186" t="str">
        <f>IFERROR(__xludf.DUMMYFUNCTION("""COMPUTED_VALUE"""),"PI4604Y")</f>
        <v>PI4604Y</v>
      </c>
      <c r="C3438" s="186" t="str">
        <f>IFERROR(__xludf.DUMMYFUNCTION("""COMPUTED_VALUE"""),"LUMINARIA SILICONE NUVEM")</f>
        <v>LUMINARIA SILICONE NUVEM</v>
      </c>
      <c r="D3438" s="186" t="str">
        <f>IFERROR(__xludf.DUMMYFUNCTION("""COMPUTED_VALUE"""),"FALSO")</f>
        <v>FALSO</v>
      </c>
    </row>
    <row r="3439">
      <c r="B3439" s="186" t="str">
        <f>IFERROR(__xludf.DUMMYFUNCTION("""COMPUTED_VALUE"""),"PI4604Y")</f>
        <v>PI4604Y</v>
      </c>
      <c r="C3439" s="186" t="str">
        <f>IFERROR(__xludf.DUMMYFUNCTION("""COMPUTED_VALUE"""),"LUMINARIA SILICONE NUVEM")</f>
        <v>LUMINARIA SILICONE NUVEM</v>
      </c>
      <c r="D3439" s="186" t="str">
        <f>IFERROR(__xludf.DUMMYFUNCTION("""COMPUTED_VALUE"""),"FALSO")</f>
        <v>FALSO</v>
      </c>
    </row>
    <row r="3440">
      <c r="B3440" s="186" t="str">
        <f>IFERROR(__xludf.DUMMYFUNCTION("""COMPUTED_VALUE"""),"PI3836Y")</f>
        <v>PI3836Y</v>
      </c>
      <c r="C3440" s="186" t="str">
        <f>IFERROR(__xludf.DUMMYFUNCTION("""COMPUTED_VALUE"""),"LUMINARIA DE SILICONE HP EDWIGES")</f>
        <v>LUMINARIA DE SILICONE HP EDWIGES</v>
      </c>
      <c r="D3440" s="186" t="str">
        <f>IFERROR(__xludf.DUMMYFUNCTION("""COMPUTED_VALUE"""),"FALSO")</f>
        <v>FALSO</v>
      </c>
    </row>
    <row r="3441">
      <c r="B3441" s="186" t="str">
        <f>IFERROR(__xludf.DUMMYFUNCTION("""COMPUTED_VALUE"""),"PI3836Y")</f>
        <v>PI3836Y</v>
      </c>
      <c r="C3441" s="186" t="str">
        <f>IFERROR(__xludf.DUMMYFUNCTION("""COMPUTED_VALUE"""),"LUMINARIA DE SILICONE HP EDWIGES")</f>
        <v>LUMINARIA DE SILICONE HP EDWIGES</v>
      </c>
      <c r="D3441" s="186" t="str">
        <f>IFERROR(__xludf.DUMMYFUNCTION("""COMPUTED_VALUE"""),"FALSO")</f>
        <v>FALSO</v>
      </c>
    </row>
    <row r="3442">
      <c r="B3442" s="186" t="str">
        <f>IFERROR(__xludf.DUMMYFUNCTION("""COMPUTED_VALUE"""),"PI3836Y")</f>
        <v>PI3836Y</v>
      </c>
      <c r="C3442" s="186" t="str">
        <f>IFERROR(__xludf.DUMMYFUNCTION("""COMPUTED_VALUE"""),"LUMINARIA DE SILICONE HP EDWIGES")</f>
        <v>LUMINARIA DE SILICONE HP EDWIGES</v>
      </c>
      <c r="D3442" s="186" t="str">
        <f>IFERROR(__xludf.DUMMYFUNCTION("""COMPUTED_VALUE"""),"FALSO")</f>
        <v>FALSO</v>
      </c>
    </row>
    <row r="3443">
      <c r="B3443" s="186" t="str">
        <f>IFERROR(__xludf.DUMMYFUNCTION("""COMPUTED_VALUE"""),"PI3836Y")</f>
        <v>PI3836Y</v>
      </c>
      <c r="C3443" s="186" t="str">
        <f>IFERROR(__xludf.DUMMYFUNCTION("""COMPUTED_VALUE"""),"LUMINARIA DE SILICONE HP EDWIGES")</f>
        <v>LUMINARIA DE SILICONE HP EDWIGES</v>
      </c>
      <c r="D3443" s="186" t="str">
        <f>IFERROR(__xludf.DUMMYFUNCTION("""COMPUTED_VALUE"""),"FALSO")</f>
        <v>FALSO</v>
      </c>
    </row>
    <row r="3444">
      <c r="B3444" s="186" t="str">
        <f>IFERROR(__xludf.DUMMYFUNCTION("""COMPUTED_VALUE"""),"PI3836Y")</f>
        <v>PI3836Y</v>
      </c>
      <c r="C3444" s="186" t="str">
        <f>IFERROR(__xludf.DUMMYFUNCTION("""COMPUTED_VALUE"""),"LUMINARIA DE SILICONE HP EDWIGES")</f>
        <v>LUMINARIA DE SILICONE HP EDWIGES</v>
      </c>
      <c r="D3444" s="186" t="str">
        <f>IFERROR(__xludf.DUMMYFUNCTION("""COMPUTED_VALUE"""),"FALSO")</f>
        <v>FALSO</v>
      </c>
    </row>
    <row r="3445">
      <c r="B3445" s="186" t="str">
        <f>IFERROR(__xludf.DUMMYFUNCTION("""COMPUTED_VALUE"""),"PI3836Y")</f>
        <v>PI3836Y</v>
      </c>
      <c r="C3445" s="186" t="str">
        <f>IFERROR(__xludf.DUMMYFUNCTION("""COMPUTED_VALUE"""),"LUMINARIA DE SILICONE HP EDWIGES")</f>
        <v>LUMINARIA DE SILICONE HP EDWIGES</v>
      </c>
      <c r="D3445" s="186" t="str">
        <f>IFERROR(__xludf.DUMMYFUNCTION("""COMPUTED_VALUE"""),"FALSO")</f>
        <v>FALSO</v>
      </c>
    </row>
    <row r="3446">
      <c r="B3446" s="186" t="str">
        <f>IFERROR(__xludf.DUMMYFUNCTION("""COMPUTED_VALUE"""),"PI6538Y")</f>
        <v>PI6538Y</v>
      </c>
      <c r="C3446" s="186" t="str">
        <f>IFERROR(__xludf.DUMMYFUNCTION("""COMPUTED_VALUE"""),"LUMINARIA SILICONE PERA")</f>
        <v>LUMINARIA SILICONE PERA</v>
      </c>
      <c r="D3446" s="186" t="str">
        <f>IFERROR(__xludf.DUMMYFUNCTION("""COMPUTED_VALUE"""),"FALSO")</f>
        <v>FALSO</v>
      </c>
    </row>
    <row r="3447">
      <c r="B3447" s="186" t="str">
        <f>IFERROR(__xludf.DUMMYFUNCTION("""COMPUTED_VALUE"""),"PI6539Y")</f>
        <v>PI6539Y</v>
      </c>
      <c r="C3447" s="186" t="str">
        <f>IFERROR(__xludf.DUMMYFUNCTION("""COMPUTED_VALUE"""),"LUMINARIA SILICONE TORRADEIRA")</f>
        <v>LUMINARIA SILICONE TORRADEIRA</v>
      </c>
      <c r="D3447" s="186" t="str">
        <f>IFERROR(__xludf.DUMMYFUNCTION("""COMPUTED_VALUE"""),"FALSO")</f>
        <v>FALSO</v>
      </c>
    </row>
    <row r="3448">
      <c r="B3448" s="186" t="str">
        <f>IFERROR(__xludf.DUMMYFUNCTION("""COMPUTED_VALUE"""),"US0111")</f>
        <v>US0111</v>
      </c>
      <c r="C3448" s="186" t="str">
        <f>IFERROR(__xludf.DUMMYFUNCTION("""COMPUTED_VALUE"""),"LUMINARIA SINALEIRA PRETA")</f>
        <v>LUMINARIA SINALEIRA PRETA</v>
      </c>
      <c r="D3448" s="186" t="str">
        <f>IFERROR(__xludf.DUMMYFUNCTION("""COMPUTED_VALUE"""),"FALSO")</f>
        <v>FALSO</v>
      </c>
    </row>
    <row r="3449">
      <c r="B3449" s="186" t="str">
        <f>IFERROR(__xludf.DUMMYFUNCTION("""COMPUTED_VALUE"""),"PI7117Y")</f>
        <v>PI7117Y</v>
      </c>
      <c r="C3449" s="186" t="str">
        <f>IFERROR(__xludf.DUMMYFUNCTION("""COMPUTED_VALUE"""),"GELADEIRA COM LED PARA SKIN CARE VIBES")</f>
        <v>GELADEIRA COM LED PARA SKIN CARE VIBES</v>
      </c>
      <c r="D3449" s="186" t="str">
        <f>IFERROR(__xludf.DUMMYFUNCTION("""COMPUTED_VALUE"""),"INMETRO Electrical Security System 5 (Factory)")</f>
        <v>INMETRO Electrical Security System 5 (Factory)</v>
      </c>
    </row>
    <row r="3450">
      <c r="B3450" s="186" t="str">
        <f>IFERROR(__xludf.DUMMYFUNCTION("""COMPUTED_VALUE"""),"PI6243Y")</f>
        <v>PI6243Y</v>
      </c>
      <c r="C3450" s="186" t="str">
        <f>IFERROR(__xludf.DUMMYFUNCTION("""COMPUTED_VALUE"""),"MASSAGEADOR FACIAL TEMPO E CUIDADO")</f>
        <v>MASSAGEADOR FACIAL TEMPO E CUIDADO</v>
      </c>
      <c r="D3450" s="186" t="str">
        <f>IFERROR(__xludf.DUMMYFUNCTION("""COMPUTED_VALUE"""),"FALSO")</f>
        <v>FALSO</v>
      </c>
    </row>
    <row r="3451">
      <c r="B3451" s="186" t="str">
        <f>IFERROR(__xludf.DUMMYFUNCTION("""COMPUTED_VALUE"""),"PI7776Y")</f>
        <v>PI7776Y</v>
      </c>
      <c r="C3451" s="186" t="str">
        <f>IFERROR(__xludf.DUMMYFUNCTION("""COMPUTED_VALUE"""),"MASCARA DE DORMIR HP OCULOS LUNA")</f>
        <v>MASCARA DE DORMIR HP OCULOS LUNA</v>
      </c>
      <c r="D3451" s="186" t="str">
        <f>IFERROR(__xludf.DUMMYFUNCTION("""COMPUTED_VALUE"""),"FALSO")</f>
        <v>FALSO</v>
      </c>
    </row>
    <row r="3452">
      <c r="B3452" s="186" t="str">
        <f>IFERROR(__xludf.DUMMYFUNCTION("""COMPUTED_VALUE"""),"PI7756Y")</f>
        <v>PI7756Y</v>
      </c>
      <c r="C3452" s="186" t="str">
        <f>IFERROR(__xludf.DUMMYFUNCTION("""COMPUTED_VALUE"""),"MASCARA DE DORMIR NAO ESTOU VENDO")</f>
        <v>MASCARA DE DORMIR NAO ESTOU VENDO</v>
      </c>
      <c r="D3452" s="186" t="str">
        <f>IFERROR(__xludf.DUMMYFUNCTION("""COMPUTED_VALUE"""),"FALSO")</f>
        <v>FALSO</v>
      </c>
    </row>
    <row r="3453">
      <c r="B3453" s="186" t="str">
        <f>IFERROR(__xludf.DUMMYFUNCTION("""COMPUTED_VALUE"""),"PI7433Y")</f>
        <v>PI7433Y</v>
      </c>
      <c r="C3453" s="186" t="str">
        <f>IFERROR(__xludf.DUMMYFUNCTION("""COMPUTED_VALUE"""),"MASCARA DE DORMIR SONO TRANQUILO")</f>
        <v>MASCARA DE DORMIR SONO TRANQUILO</v>
      </c>
      <c r="D3453" s="186" t="str">
        <f>IFERROR(__xludf.DUMMYFUNCTION("""COMPUTED_VALUE"""),"FALSO")</f>
        <v>FALSO</v>
      </c>
    </row>
    <row r="3454">
      <c r="B3454" s="186" t="str">
        <f>IFERROR(__xludf.DUMMYFUNCTION("""COMPUTED_VALUE"""),"PI7166Y")</f>
        <v>PI7166Y</v>
      </c>
      <c r="C3454" s="186" t="str">
        <f>IFERROR(__xludf.DUMMYFUNCTION("""COMPUTED_VALUE"""),"LUMINARIA DE SILICONE PANDA DORMINHOCO")</f>
        <v>LUMINARIA DE SILICONE PANDA DORMINHOCO</v>
      </c>
      <c r="D3454" s="186" t="str">
        <f>IFERROR(__xludf.DUMMYFUNCTION("""COMPUTED_VALUE"""),"FALSO")</f>
        <v>FALSO</v>
      </c>
    </row>
    <row r="3455">
      <c r="B3455" s="186" t="str">
        <f>IFERROR(__xludf.DUMMYFUNCTION("""COMPUTED_VALUE"""),"PI7213Y")</f>
        <v>PI7213Y</v>
      </c>
      <c r="C3455" s="186" t="str">
        <f>IFERROR(__xludf.DUMMYFUNCTION("""COMPUTED_VALUE"""),"LUMINARIA DE SILICONE OVELHA DORMINHOCA")</f>
        <v>LUMINARIA DE SILICONE OVELHA DORMINHOCA</v>
      </c>
      <c r="D3455" s="186" t="str">
        <f>IFERROR(__xludf.DUMMYFUNCTION("""COMPUTED_VALUE"""),"FALSO")</f>
        <v>FALSO</v>
      </c>
    </row>
    <row r="3456">
      <c r="B3456" s="186" t="str">
        <f>IFERROR(__xludf.DUMMYFUNCTION("""COMPUTED_VALUE"""),"PI5833Y")</f>
        <v>PI5833Y</v>
      </c>
      <c r="C3456" s="186" t="str">
        <f>IFERROR(__xludf.DUMMYFUNCTION("""COMPUTED_VALUE"""),"KIT PARA DORMIR DESCANSO DA BELEZA")</f>
        <v>KIT PARA DORMIR DESCANSO DA BELEZA</v>
      </c>
      <c r="D3456" s="186" t="str">
        <f>IFERROR(__xludf.DUMMYFUNCTION("""COMPUTED_VALUE"""),"FALSO")</f>
        <v>FALSO</v>
      </c>
    </row>
    <row r="3457">
      <c r="B3457" s="186" t="str">
        <f>IFERROR(__xludf.DUMMYFUNCTION("""COMPUTED_VALUE"""),"PI6561Y")</f>
        <v>PI6561Y</v>
      </c>
      <c r="C3457" s="186" t="str">
        <f>IFERROR(__xludf.DUMMYFUNCTION("""COMPUTED_VALUE"""),"PANTUFA BORIS")</f>
        <v>PANTUFA BORIS</v>
      </c>
      <c r="D3457" s="186" t="str">
        <f>IFERROR(__xludf.DUMMYFUNCTION("""COMPUTED_VALUE"""),"FALSO")</f>
        <v>FALSO</v>
      </c>
    </row>
    <row r="3458">
      <c r="B3458" s="186" t="str">
        <f>IFERROR(__xludf.DUMMYFUNCTION("""COMPUTED_VALUE"""),"PI6562Y")</f>
        <v>PI6562Y</v>
      </c>
      <c r="C3458" s="186" t="str">
        <f>IFERROR(__xludf.DUMMYFUNCTION("""COMPUTED_VALUE"""),"PANTUFA CATITA")</f>
        <v>PANTUFA CATITA</v>
      </c>
      <c r="D3458" s="186" t="str">
        <f>IFERROR(__xludf.DUMMYFUNCTION("""COMPUTED_VALUE"""),"FALSO")</f>
        <v>FALSO</v>
      </c>
    </row>
    <row r="3459">
      <c r="B3459" s="186" t="str">
        <f>IFERROR(__xludf.DUMMYFUNCTION("""COMPUTED_VALUE"""),"CS2247")</f>
        <v>CS2247</v>
      </c>
      <c r="C3459" s="186" t="str">
        <f>IFERROR(__xludf.DUMMYFUNCTION("""COMPUTED_VALUE"""),"PANTUFA PAI DIA DOS PAIS")</f>
        <v>PANTUFA PAI DIA DOS PAIS</v>
      </c>
      <c r="D3459" s="186" t="str">
        <f>IFERROR(__xludf.DUMMYFUNCTION("""COMPUTED_VALUE"""),"FALSO")</f>
        <v>FALSO</v>
      </c>
    </row>
    <row r="3460">
      <c r="B3460" s="186" t="str">
        <f>IFERROR(__xludf.DUMMYFUNCTION("""COMPUTED_VALUE"""),"CS2243")</f>
        <v>CS2243</v>
      </c>
      <c r="C3460" s="186" t="str">
        <f>IFERROR(__xludf.DUMMYFUNCTION("""COMPUTED_VALUE"""),"PANTUFA AVO DIA DOS PAIS")</f>
        <v>PANTUFA AVO DIA DOS PAIS</v>
      </c>
      <c r="D3460" s="186" t="str">
        <f>IFERROR(__xludf.DUMMYFUNCTION("""COMPUTED_VALUE"""),"FALSO")</f>
        <v>FALSO</v>
      </c>
    </row>
    <row r="3461">
      <c r="B3461" s="186" t="str">
        <f>IFERROR(__xludf.DUMMYFUNCTION("""COMPUTED_VALUE"""),"PI5104Y")</f>
        <v>PI5104Y</v>
      </c>
      <c r="C3461" s="186" t="str">
        <f>IFERROR(__xludf.DUMMYFUNCTION("""COMPUTED_VALUE"""),"PANTUFA NETFLIX TENIS MARATONISTA")</f>
        <v>PANTUFA NETFLIX TENIS MARATONISTA</v>
      </c>
      <c r="D3461" s="186" t="str">
        <f>IFERROR(__xludf.DUMMYFUNCTION("""COMPUTED_VALUE"""),"FALSO")</f>
        <v>FALSO</v>
      </c>
    </row>
    <row r="3462">
      <c r="B3462" s="186" t="str">
        <f>IFERROR(__xludf.DUMMYFUNCTION("""COMPUTED_VALUE"""),"PI7357Y")</f>
        <v>PI7357Y</v>
      </c>
      <c r="C3462" s="186" t="str">
        <f>IFERROR(__xludf.DUMMYFUNCTION("""COMPUTED_VALUE"""),"PANTUFA COM BAG RECARREGADA")</f>
        <v>PANTUFA COM BAG RECARREGADA</v>
      </c>
      <c r="D3462" s="186" t="str">
        <f>IFERROR(__xludf.DUMMYFUNCTION("""COMPUTED_VALUE"""),"FALSO")</f>
        <v>FALSO</v>
      </c>
    </row>
    <row r="3463">
      <c r="B3463" s="186" t="str">
        <f>IFERROR(__xludf.DUMMYFUNCTION("""COMPUTED_VALUE"""),"PI6496Y")</f>
        <v>PI6496Y</v>
      </c>
      <c r="C3463" s="186" t="str">
        <f>IFERROR(__xludf.DUMMYFUNCTION("""COMPUTED_VALUE"""),"PANTUFA COM BAG SE CUIDAR")</f>
        <v>PANTUFA COM BAG SE CUIDAR</v>
      </c>
      <c r="D3463" s="186" t="str">
        <f>IFERROR(__xludf.DUMMYFUNCTION("""COMPUTED_VALUE"""),"FALSO")</f>
        <v>FALSO</v>
      </c>
    </row>
    <row r="3464">
      <c r="B3464" s="186" t="str">
        <f>IFERROR(__xludf.DUMMYFUNCTION("""COMPUTED_VALUE"""),"PI6498Y")</f>
        <v>PI6498Y</v>
      </c>
      <c r="C3464" s="186" t="str">
        <f>IFERROR(__xludf.DUMMYFUNCTION("""COMPUTED_VALUE"""),"PANTUFA COM AQUECEDOR SE CUIDAR")</f>
        <v>PANTUFA COM AQUECEDOR SE CUIDAR</v>
      </c>
      <c r="D3464" s="186" t="str">
        <f>IFERROR(__xludf.DUMMYFUNCTION("""COMPUTED_VALUE"""),"FALSO")</f>
        <v>FALSO</v>
      </c>
    </row>
    <row r="3465">
      <c r="B3465" s="186" t="str">
        <f>IFERROR(__xludf.DUMMYFUNCTION("""COMPUTED_VALUE"""),"PI4691Y")</f>
        <v>PI4691Y</v>
      </c>
      <c r="C3465" s="186" t="str">
        <f>IFERROR(__xludf.DUMMYFUNCTION("""COMPUTED_VALUE"""),"MINI LUMINARIA ARVORE GOLD POAS")</f>
        <v>MINI LUMINARIA ARVORE GOLD POAS</v>
      </c>
      <c r="D3465" s="186" t="str">
        <f>IFERROR(__xludf.DUMMYFUNCTION("""COMPUTED_VALUE"""),"FALSO")</f>
        <v>FALSO</v>
      </c>
    </row>
    <row r="3466">
      <c r="B3466" s="186" t="str">
        <f>IFERROR(__xludf.DUMMYFUNCTION("""COMPUTED_VALUE"""),"PI5358Y")</f>
        <v>PI5358Y</v>
      </c>
      <c r="C3466" s="186" t="str">
        <f>IFERROR(__xludf.DUMMYFUNCTION("""COMPUTED_VALUE"""),"MINIMASSAGEADOR BOB RELAX")</f>
        <v>MINIMASSAGEADOR BOB RELAX</v>
      </c>
      <c r="D3466" s="186" t="str">
        <f>IFERROR(__xludf.DUMMYFUNCTION("""COMPUTED_VALUE"""),"FALSO")</f>
        <v>FALSO</v>
      </c>
    </row>
    <row r="3467">
      <c r="B3467" s="186" t="str">
        <f>IFERROR(__xludf.DUMMYFUNCTION("""COMPUTED_VALUE"""),"PI5358Y")</f>
        <v>PI5358Y</v>
      </c>
      <c r="C3467" s="186" t="str">
        <f>IFERROR(__xludf.DUMMYFUNCTION("""COMPUTED_VALUE"""),"MINIMASSAGEADOR BOB RELAX")</f>
        <v>MINIMASSAGEADOR BOB RELAX</v>
      </c>
      <c r="D3467" s="186" t="str">
        <f>IFERROR(__xludf.DUMMYFUNCTION("""COMPUTED_VALUE"""),"FALSO")</f>
        <v>FALSO</v>
      </c>
    </row>
    <row r="3468">
      <c r="B3468" s="186"/>
      <c r="C3468" s="186"/>
      <c r="D3468" s="186"/>
    </row>
    <row r="3469">
      <c r="B3469" s="186" t="str">
        <f>IFERROR(__xludf.DUMMYFUNCTION("""COMPUTED_VALUE"""),"PI5358Y")</f>
        <v>PI5358Y</v>
      </c>
      <c r="C3469" s="186" t="str">
        <f>IFERROR(__xludf.DUMMYFUNCTION("""COMPUTED_VALUE"""),"MINIMASSAGEADOR BOB RELAX")</f>
        <v>MINIMASSAGEADOR BOB RELAX</v>
      </c>
      <c r="D3469" s="186" t="str">
        <f>IFERROR(__xludf.DUMMYFUNCTION("""COMPUTED_VALUE"""),"FALSO")</f>
        <v>FALSO</v>
      </c>
    </row>
    <row r="3470">
      <c r="B3470" s="186" t="str">
        <f>IFERROR(__xludf.DUMMYFUNCTION("""COMPUTED_VALUE"""),"PI5358Y")</f>
        <v>PI5358Y</v>
      </c>
      <c r="C3470" s="186" t="str">
        <f>IFERROR(__xludf.DUMMYFUNCTION("""COMPUTED_VALUE"""),"MINIMASSAGEADOR BOB RELAX")</f>
        <v>MINIMASSAGEADOR BOB RELAX</v>
      </c>
      <c r="D3470" s="186" t="str">
        <f>IFERROR(__xludf.DUMMYFUNCTION("""COMPUTED_VALUE"""),"FALSO")</f>
        <v>FALSO</v>
      </c>
    </row>
    <row r="3471">
      <c r="B3471" s="186" t="str">
        <f>IFERROR(__xludf.DUMMYFUNCTION("""COMPUTED_VALUE"""),"PI4888Y")</f>
        <v>PI4888Y</v>
      </c>
      <c r="C3471" s="186" t="str">
        <f>IFERROR(__xludf.DUMMYFUNCTION("""COMPUTED_VALUE"""),"COPO PARA VIAGEM P HP HOGWARTS")</f>
        <v>COPO PARA VIAGEM P HP HOGWARTS</v>
      </c>
      <c r="D3471" s="186" t="str">
        <f>IFERROR(__xludf.DUMMYFUNCTION("""COMPUTED_VALUE"""),"FALSO")</f>
        <v>FALSO</v>
      </c>
    </row>
    <row r="3472">
      <c r="B3472" s="186" t="str">
        <f>IFERROR(__xludf.DUMMYFUNCTION("""COMPUTED_VALUE"""),"PI5489Y")</f>
        <v>PI5489Y</v>
      </c>
      <c r="C3472" s="186" t="str">
        <f>IFERROR(__xludf.DUMMYFUNCTION("""COMPUTED_VALUE"""),"COPO PARA VIAGEM P MEU CAFE")</f>
        <v>COPO PARA VIAGEM P MEU CAFE</v>
      </c>
      <c r="D3472" s="186" t="str">
        <f>IFERROR(__xludf.DUMMYFUNCTION("""COMPUTED_VALUE"""),"FALSO")</f>
        <v>FALSO</v>
      </c>
    </row>
    <row r="3473">
      <c r="B3473" s="186" t="str">
        <f>IFERROR(__xludf.DUMMYFUNCTION("""COMPUTED_VALUE"""),"PI5149Y")</f>
        <v>PI5149Y</v>
      </c>
      <c r="C3473" s="186" t="str">
        <f>IFERROR(__xludf.DUMMYFUNCTION("""COMPUTED_VALUE"""),"COPO PARA VIAGEM STRANGER THINGS HOPPER")</f>
        <v>COPO PARA VIAGEM STRANGER THINGS HOPPER</v>
      </c>
      <c r="D3473" s="186" t="str">
        <f>IFERROR(__xludf.DUMMYFUNCTION("""COMPUTED_VALUE"""),"FALSO")</f>
        <v>FALSO</v>
      </c>
    </row>
    <row r="3474">
      <c r="B3474" s="186" t="str">
        <f>IFERROR(__xludf.DUMMYFUNCTION("""COMPUTED_VALUE"""),"PI5114Y")</f>
        <v>PI5114Y</v>
      </c>
      <c r="C3474" s="186" t="str">
        <f>IFERROR(__xludf.DUMMYFUNCTION("""COMPUTED_VALUE"""),"COPO PARA VIAGEM P VERAO")</f>
        <v>COPO PARA VIAGEM P VERAO</v>
      </c>
      <c r="D3474" s="186" t="str">
        <f>IFERROR(__xludf.DUMMYFUNCTION("""COMPUTED_VALUE"""),"FALSO")</f>
        <v>FALSO</v>
      </c>
    </row>
    <row r="3475">
      <c r="B3475" s="186" t="str">
        <f>IFERROR(__xludf.DUMMYFUNCTION("""COMPUTED_VALUE"""),"PI5135Y")</f>
        <v>PI5135Y</v>
      </c>
      <c r="C3475" s="186" t="str">
        <f>IFERROR(__xludf.DUMMYFUNCTION("""COMPUTED_VALUE"""),"SUPORTE INTELIGENTE PRA CELULAR FITDANCE")</f>
        <v>SUPORTE INTELIGENTE PRA CELULAR FITDANCE</v>
      </c>
      <c r="D3475" s="186" t="str">
        <f>IFERROR(__xludf.DUMMYFUNCTION("""COMPUTED_VALUE"""),"Anatel Category 2 - Bluetooth and Radiofrequency Comms")</f>
        <v>Anatel Category 2 - Bluetooth and Radiofrequency Comms</v>
      </c>
    </row>
    <row r="3476">
      <c r="B3476" s="186" t="str">
        <f>IFERROR(__xludf.DUMMYFUNCTION("""COMPUTED_VALUE"""),"PI7196Y")</f>
        <v>PI7196Y</v>
      </c>
      <c r="C3476" s="186" t="str">
        <f>IFERROR(__xludf.DUMMYFUNCTION("""COMPUTED_VALUE"""),"UMIDIFICADOR GATINHO SORRIDENTE")</f>
        <v>UMIDIFICADOR GATINHO SORRIDENTE</v>
      </c>
      <c r="D3476" s="186" t="str">
        <f>IFERROR(__xludf.DUMMYFUNCTION("""COMPUTED_VALUE"""),"FALSO")</f>
        <v>FALSO</v>
      </c>
    </row>
    <row r="3477">
      <c r="B3477" s="186" t="str">
        <f>IFERROR(__xludf.DUMMYFUNCTION("""COMPUTED_VALUE"""),"PI7196Y")</f>
        <v>PI7196Y</v>
      </c>
      <c r="C3477" s="186" t="str">
        <f>IFERROR(__xludf.DUMMYFUNCTION("""COMPUTED_VALUE"""),"UMIDIFICADOR GATINHO SORRIDENTE")</f>
        <v>UMIDIFICADOR GATINHO SORRIDENTE</v>
      </c>
      <c r="D3477" s="186" t="str">
        <f>IFERROR(__xludf.DUMMYFUNCTION("""COMPUTED_VALUE"""),"FALSO")</f>
        <v>FALSO</v>
      </c>
    </row>
    <row r="3478">
      <c r="B3478" s="186" t="str">
        <f>IFERROR(__xludf.DUMMYFUNCTION("""COMPUTED_VALUE"""),"PI6113Y")</f>
        <v>PI6113Y</v>
      </c>
      <c r="C3478" s="186" t="str">
        <f>IFERROR(__xludf.DUMMYFUNCTION("""COMPUTED_VALUE"""),"MEIA BANANA")</f>
        <v>MEIA BANANA</v>
      </c>
      <c r="D3478" s="186" t="str">
        <f>IFERROR(__xludf.DUMMYFUNCTION("""COMPUTED_VALUE"""),"FALSO")</f>
        <v>FALSO</v>
      </c>
    </row>
    <row r="3479">
      <c r="B3479" s="186" t="str">
        <f>IFERROR(__xludf.DUMMYFUNCTION("""COMPUTED_VALUE"""),"PI6127Y")</f>
        <v>PI6127Y</v>
      </c>
      <c r="C3479" s="186" t="str">
        <f>IFERROR(__xludf.DUMMYFUNCTION("""COMPUTED_VALUE"""),"MEIA LIVRO")</f>
        <v>MEIA LIVRO</v>
      </c>
      <c r="D3479" s="186" t="str">
        <f>IFERROR(__xludf.DUMMYFUNCTION("""COMPUTED_VALUE"""),"FALSO")</f>
        <v>FALSO</v>
      </c>
    </row>
    <row r="3480">
      <c r="B3480" s="186" t="str">
        <f>IFERROR(__xludf.DUMMYFUNCTION("""COMPUTED_VALUE"""),"PI6123Y")</f>
        <v>PI6123Y</v>
      </c>
      <c r="C3480" s="186" t="str">
        <f>IFERROR(__xludf.DUMMYFUNCTION("""COMPUTED_VALUE"""),"MEIA BOLO")</f>
        <v>MEIA BOLO</v>
      </c>
      <c r="D3480" s="186" t="str">
        <f>IFERROR(__xludf.DUMMYFUNCTION("""COMPUTED_VALUE"""),"FALSO")</f>
        <v>FALSO</v>
      </c>
    </row>
    <row r="3481">
      <c r="B3481" s="186" t="str">
        <f>IFERROR(__xludf.DUMMYFUNCTION("""COMPUTED_VALUE"""),"PI6121Y")</f>
        <v>PI6121Y</v>
      </c>
      <c r="C3481" s="186" t="str">
        <f>IFERROR(__xludf.DUMMYFUNCTION("""COMPUTED_VALUE"""),"MEIA FITA CASSETE")</f>
        <v>MEIA FITA CASSETE</v>
      </c>
      <c r="D3481" s="186" t="str">
        <f>IFERROR(__xludf.DUMMYFUNCTION("""COMPUTED_VALUE"""),"FALSO")</f>
        <v>FALSO</v>
      </c>
    </row>
    <row r="3482">
      <c r="B3482" s="186" t="str">
        <f>IFERROR(__xludf.DUMMYFUNCTION("""COMPUTED_VALUE"""),"PI6122Y")</f>
        <v>PI6122Y</v>
      </c>
      <c r="C3482" s="186" t="str">
        <f>IFERROR(__xludf.DUMMYFUNCTION("""COMPUTED_VALUE"""),"MEIA CHOCOLATE")</f>
        <v>MEIA CHOCOLATE</v>
      </c>
      <c r="D3482" s="186" t="str">
        <f>IFERROR(__xludf.DUMMYFUNCTION("""COMPUTED_VALUE"""),"FALSO")</f>
        <v>FALSO</v>
      </c>
    </row>
    <row r="3483">
      <c r="B3483" s="186" t="str">
        <f>IFERROR(__xludf.DUMMYFUNCTION("""COMPUTED_VALUE"""),"PI6117Y")</f>
        <v>PI6117Y</v>
      </c>
      <c r="C3483" s="186" t="str">
        <f>IFERROR(__xludf.DUMMYFUNCTION("""COMPUTED_VALUE"""),"MEIA CAFE")</f>
        <v>MEIA CAFE</v>
      </c>
      <c r="D3483" s="186" t="str">
        <f>IFERROR(__xludf.DUMMYFUNCTION("""COMPUTED_VALUE"""),"FALSO")</f>
        <v>FALSO</v>
      </c>
    </row>
    <row r="3484">
      <c r="B3484" s="186" t="str">
        <f>IFERROR(__xludf.DUMMYFUNCTION("""COMPUTED_VALUE"""),"PI6112Y")</f>
        <v>PI6112Y</v>
      </c>
      <c r="C3484" s="186" t="str">
        <f>IFERROR(__xludf.DUMMYFUNCTION("""COMPUTED_VALUE"""),"MEIA BATATA FRITA")</f>
        <v>MEIA BATATA FRITA</v>
      </c>
      <c r="D3484" s="186" t="str">
        <f>IFERROR(__xludf.DUMMYFUNCTION("""COMPUTED_VALUE"""),"FALSO")</f>
        <v>FALSO</v>
      </c>
    </row>
    <row r="3485">
      <c r="B3485" s="186" t="str">
        <f>IFERROR(__xludf.DUMMYFUNCTION("""COMPUTED_VALUE"""),"PI6116Y")</f>
        <v>PI6116Y</v>
      </c>
      <c r="C3485" s="186" t="str">
        <f>IFERROR(__xludf.DUMMYFUNCTION("""COMPUTED_VALUE"""),"MEIA GAMES")</f>
        <v>MEIA GAMES</v>
      </c>
      <c r="D3485" s="186" t="str">
        <f>IFERROR(__xludf.DUMMYFUNCTION("""COMPUTED_VALUE"""),"FALSO")</f>
        <v>FALSO</v>
      </c>
    </row>
    <row r="3486">
      <c r="B3486" s="186" t="str">
        <f>IFERROR(__xludf.DUMMYFUNCTION("""COMPUTED_VALUE"""),"PI6120Y")</f>
        <v>PI6120Y</v>
      </c>
      <c r="C3486" s="186" t="str">
        <f>IFERROR(__xludf.DUMMYFUNCTION("""COMPUTED_VALUE"""),"MEIA SORVETE")</f>
        <v>MEIA SORVETE</v>
      </c>
      <c r="D3486" s="186" t="str">
        <f>IFERROR(__xludf.DUMMYFUNCTION("""COMPUTED_VALUE"""),"FALSO")</f>
        <v>FALSO</v>
      </c>
    </row>
    <row r="3487">
      <c r="B3487" s="186" t="str">
        <f>IFERROR(__xludf.DUMMYFUNCTION("""COMPUTED_VALUE"""),"CS2271")</f>
        <v>CS2271</v>
      </c>
      <c r="C3487" s="186" t="str">
        <f>IFERROR(__xludf.DUMMYFUNCTION("""COMPUTED_VALUE"""),"MEIA BASICA ADULTO PRETA NANICA")</f>
        <v>MEIA BASICA ADULTO PRETA NANICA</v>
      </c>
      <c r="D3487" s="186" t="str">
        <f>IFERROR(__xludf.DUMMYFUNCTION("""COMPUTED_VALUE"""),"FALSO")</f>
        <v>FALSO</v>
      </c>
    </row>
    <row r="3488">
      <c r="B3488" s="186" t="str">
        <f>IFERROR(__xludf.DUMMYFUNCTION("""COMPUTED_VALUE"""),"CS2275")</f>
        <v>CS2275</v>
      </c>
      <c r="C3488" s="186" t="str">
        <f>IFERROR(__xludf.DUMMYFUNCTION("""COMPUTED_VALUE"""),"MEIA BASICA ADULTO BRANCA NANICA")</f>
        <v>MEIA BASICA ADULTO BRANCA NANICA</v>
      </c>
      <c r="D3488" s="186" t="str">
        <f>IFERROR(__xludf.DUMMYFUNCTION("""COMPUTED_VALUE"""),"FALSO")</f>
        <v>FALSO</v>
      </c>
    </row>
    <row r="3489">
      <c r="B3489" s="186" t="str">
        <f>IFERROR(__xludf.DUMMYFUNCTION("""COMPUTED_VALUE"""),"CS2273")</f>
        <v>CS2273</v>
      </c>
      <c r="C3489" s="186" t="str">
        <f>IFERROR(__xludf.DUMMYFUNCTION("""COMPUTED_VALUE"""),"MEIA BASICA ADULTO AMARELA NANICA")</f>
        <v>MEIA BASICA ADULTO AMARELA NANICA</v>
      </c>
      <c r="D3489" s="186" t="str">
        <f>IFERROR(__xludf.DUMMYFUNCTION("""COMPUTED_VALUE"""),"FALSO")</f>
        <v>FALSO</v>
      </c>
    </row>
    <row r="3490">
      <c r="B3490" s="186" t="str">
        <f>IFERROR(__xludf.DUMMYFUNCTION("""COMPUTED_VALUE"""),"CS2270")</f>
        <v>CS2270</v>
      </c>
      <c r="C3490" s="186" t="str">
        <f>IFERROR(__xludf.DUMMYFUNCTION("""COMPUTED_VALUE"""),"MEIA SOQUETE KIDS PRETA NANICA")</f>
        <v>MEIA SOQUETE KIDS PRETA NANICA</v>
      </c>
      <c r="D3490" s="186" t="str">
        <f>IFERROR(__xludf.DUMMYFUNCTION("""COMPUTED_VALUE"""),"FALSO")</f>
        <v>FALSO</v>
      </c>
    </row>
    <row r="3491">
      <c r="B3491" s="186" t="str">
        <f>IFERROR(__xludf.DUMMYFUNCTION("""COMPUTED_VALUE"""),"CS2274")</f>
        <v>CS2274</v>
      </c>
      <c r="C3491" s="186" t="str">
        <f>IFERROR(__xludf.DUMMYFUNCTION("""COMPUTED_VALUE"""),"MEIA SOQUETE KIDS BRANCA NANICA")</f>
        <v>MEIA SOQUETE KIDS BRANCA NANICA</v>
      </c>
      <c r="D3491" s="186" t="str">
        <f>IFERROR(__xludf.DUMMYFUNCTION("""COMPUTED_VALUE"""),"FALSO")</f>
        <v>FALSO</v>
      </c>
    </row>
    <row r="3492">
      <c r="B3492" s="186" t="str">
        <f>IFERROR(__xludf.DUMMYFUNCTION("""COMPUTED_VALUE"""),"CS2272")</f>
        <v>CS2272</v>
      </c>
      <c r="C3492" s="186" t="str">
        <f>IFERROR(__xludf.DUMMYFUNCTION("""COMPUTED_VALUE"""),"MEIA SOQUETE KIDS AMARELA NANICA")</f>
        <v>MEIA SOQUETE KIDS AMARELA NANICA</v>
      </c>
      <c r="D3492" s="186" t="str">
        <f>IFERROR(__xludf.DUMMYFUNCTION("""COMPUTED_VALUE"""),"FALSO")</f>
        <v>FALSO</v>
      </c>
    </row>
    <row r="3493">
      <c r="B3493" s="186" t="str">
        <f>IFERROR(__xludf.DUMMYFUNCTION("""COMPUTED_VALUE"""),"PI6111Y")</f>
        <v>PI6111Y</v>
      </c>
      <c r="C3493" s="186" t="str">
        <f>IFERROR(__xludf.DUMMYFUNCTION("""COMPUTED_VALUE"""),"MEIA PIZZA")</f>
        <v>MEIA PIZZA</v>
      </c>
      <c r="D3493" s="186" t="str">
        <f>IFERROR(__xludf.DUMMYFUNCTION("""COMPUTED_VALUE"""),"FALSO")</f>
        <v>FALSO</v>
      </c>
    </row>
    <row r="3494">
      <c r="B3494" s="186" t="str">
        <f>IFERROR(__xludf.DUMMYFUNCTION("""COMPUTED_VALUE"""),"PI6110Y")</f>
        <v>PI6110Y</v>
      </c>
      <c r="C3494" s="186" t="str">
        <f>IFERROR(__xludf.DUMMYFUNCTION("""COMPUTED_VALUE"""),"MEIA PIPOCA")</f>
        <v>MEIA PIPOCA</v>
      </c>
      <c r="D3494" s="186" t="str">
        <f>IFERROR(__xludf.DUMMYFUNCTION("""COMPUTED_VALUE"""),"FALSO")</f>
        <v>FALSO</v>
      </c>
    </row>
    <row r="3495">
      <c r="B3495" s="186" t="str">
        <f>IFERROR(__xludf.DUMMYFUNCTION("""COMPUTED_VALUE"""),"PI6114Y")</f>
        <v>PI6114Y</v>
      </c>
      <c r="C3495" s="186" t="str">
        <f>IFERROR(__xludf.DUMMYFUNCTION("""COMPUTED_VALUE"""),"MEIA ARCO IRIS")</f>
        <v>MEIA ARCO IRIS</v>
      </c>
      <c r="D3495" s="186" t="str">
        <f>IFERROR(__xludf.DUMMYFUNCTION("""COMPUTED_VALUE"""),"FALSO")</f>
        <v>FALSO</v>
      </c>
    </row>
    <row r="3496">
      <c r="B3496" s="186" t="str">
        <f>IFERROR(__xludf.DUMMYFUNCTION("""COMPUTED_VALUE"""),"PI6125Y")</f>
        <v>PI6125Y</v>
      </c>
      <c r="C3496" s="186" t="str">
        <f>IFERROR(__xludf.DUMMYFUNCTION("""COMPUTED_VALUE"""),"MEIA SALADA")</f>
        <v>MEIA SALADA</v>
      </c>
      <c r="D3496" s="186" t="str">
        <f>IFERROR(__xludf.DUMMYFUNCTION("""COMPUTED_VALUE"""),"FALSO")</f>
        <v>FALSO</v>
      </c>
    </row>
    <row r="3497">
      <c r="B3497" s="186" t="str">
        <f>IFERROR(__xludf.DUMMYFUNCTION("""COMPUTED_VALUE"""),"PI6128Y")</f>
        <v>PI6128Y</v>
      </c>
      <c r="C3497" s="186" t="str">
        <f>IFERROR(__xludf.DUMMYFUNCTION("""COMPUTED_VALUE"""),"MEIA FUTEBOL")</f>
        <v>MEIA FUTEBOL</v>
      </c>
      <c r="D3497" s="186" t="str">
        <f>IFERROR(__xludf.DUMMYFUNCTION("""COMPUTED_VALUE"""),"FALSO")</f>
        <v>FALSO</v>
      </c>
    </row>
    <row r="3498">
      <c r="B3498" s="186" t="str">
        <f>IFERROR(__xludf.DUMMYFUNCTION("""COMPUTED_VALUE"""),"PI6600Y")</f>
        <v>PI6600Y</v>
      </c>
      <c r="C3498" s="186" t="str">
        <f>IFERROR(__xludf.DUMMYFUNCTION("""COMPUTED_VALUE"""),"MANTA QUADRICULADA COM CAPA DE GATINHO")</f>
        <v>MANTA QUADRICULADA COM CAPA DE GATINHO</v>
      </c>
      <c r="D3498" s="186" t="str">
        <f>IFERROR(__xludf.DUMMYFUNCTION("""COMPUTED_VALUE"""),"FALSO")</f>
        <v>FALSO</v>
      </c>
    </row>
    <row r="3499">
      <c r="B3499" s="186" t="str">
        <f>IFERROR(__xludf.DUMMYFUNCTION("""COMPUTED_VALUE"""),"PI6600Y")</f>
        <v>PI6600Y</v>
      </c>
      <c r="C3499" s="186" t="str">
        <f>IFERROR(__xludf.DUMMYFUNCTION("""COMPUTED_VALUE"""),"MANTA QUADRICULADA COM CAPA DE GATINHO")</f>
        <v>MANTA QUADRICULADA COM CAPA DE GATINHO</v>
      </c>
      <c r="D3499" s="186" t="str">
        <f>IFERROR(__xludf.DUMMYFUNCTION("""COMPUTED_VALUE"""),"FALSO")</f>
        <v>FALSO</v>
      </c>
    </row>
    <row r="3500">
      <c r="B3500" s="186" t="str">
        <f>IFERROR(__xludf.DUMMYFUNCTION("""COMPUTED_VALUE"""),"PI6259Y")</f>
        <v>PI6259Y</v>
      </c>
      <c r="C3500" s="186" t="str">
        <f>IFERROR(__xludf.DUMMYFUNCTION("""COMPUTED_VALUE"""),"VITROLA ONDAS DE SOM")</f>
        <v>VITROLA ONDAS DE SOM</v>
      </c>
      <c r="D3500" s="186" t="str">
        <f>IFERROR(__xludf.DUMMYFUNCTION("""COMPUTED_VALUE"""),"Anatel Category 2 - Bluetooth and Radiofrequency Comms")</f>
        <v>Anatel Category 2 - Bluetooth and Radiofrequency Comms</v>
      </c>
    </row>
    <row r="3501">
      <c r="B3501" s="186" t="str">
        <f>IFERROR(__xludf.DUMMYFUNCTION("""COMPUTED_VALUE"""),"PI5819Y")</f>
        <v>PI5819Y</v>
      </c>
      <c r="C3501" s="186" t="str">
        <f>IFERROR(__xludf.DUMMYFUNCTION("""COMPUTED_VALUE"""),"CAIXA DE LEMBRANCAS E FOTOS LED SOL")</f>
        <v>CAIXA DE LEMBRANCAS E FOTOS LED SOL</v>
      </c>
      <c r="D3501" s="186" t="str">
        <f>IFERROR(__xludf.DUMMYFUNCTION("""COMPUTED_VALUE"""),"FALSO")</f>
        <v>FALSO</v>
      </c>
    </row>
    <row r="3502">
      <c r="B3502" s="186" t="str">
        <f>IFERROR(__xludf.DUMMYFUNCTION("""COMPUTED_VALUE"""),"PI6142Y")</f>
        <v>PI6142Y</v>
      </c>
      <c r="C3502" s="186" t="str">
        <f>IFERROR(__xludf.DUMMYFUNCTION("""COMPUTED_VALUE"""),"KIT SPA MEU RITUAL")</f>
        <v>KIT SPA MEU RITUAL</v>
      </c>
      <c r="D3502" s="186" t="str">
        <f>IFERROR(__xludf.DUMMYFUNCTION("""COMPUTED_VALUE"""),"FALSO")</f>
        <v>FALSO</v>
      </c>
    </row>
    <row r="3503">
      <c r="B3503" s="186" t="str">
        <f>IFERROR(__xludf.DUMMYFUNCTION("""COMPUTED_VALUE"""),"PI5445Y")</f>
        <v>PI5445Y</v>
      </c>
      <c r="C3503" s="186" t="str">
        <f>IFERROR(__xludf.DUMMYFUNCTION("""COMPUTED_VALUE"""),"CAIXA DE SOM SEM FIO AZUL")</f>
        <v>CAIXA DE SOM SEM FIO AZUL</v>
      </c>
      <c r="D3503" s="186" t="str">
        <f>IFERROR(__xludf.DUMMYFUNCTION("""COMPUTED_VALUE"""),"Anatel Category 2 - Bluetooth Module")</f>
        <v>Anatel Category 2 - Bluetooth Module</v>
      </c>
    </row>
    <row r="3504">
      <c r="B3504" s="186" t="str">
        <f>IFERROR(__xludf.DUMMYFUNCTION("""COMPUTED_VALUE"""),"PI5444Y")</f>
        <v>PI5444Y</v>
      </c>
      <c r="C3504" s="186" t="str">
        <f>IFERROR(__xludf.DUMMYFUNCTION("""COMPUTED_VALUE"""),"CAIXA DE SOM SEM FIO LILAS")</f>
        <v>CAIXA DE SOM SEM FIO LILAS</v>
      </c>
      <c r="D3504" s="186" t="str">
        <f>IFERROR(__xludf.DUMMYFUNCTION("""COMPUTED_VALUE"""),"Anatel Category 2 - Bluetooth Module")</f>
        <v>Anatel Category 2 - Bluetooth Module</v>
      </c>
    </row>
    <row r="3505">
      <c r="B3505" s="186" t="str">
        <f>IFERROR(__xludf.DUMMYFUNCTION("""COMPUTED_VALUE"""),"PI5393Y")</f>
        <v>PI5393Y</v>
      </c>
      <c r="C3505" s="186" t="str">
        <f>IFERROR(__xludf.DUMMYFUNCTION("""COMPUTED_VALUE"""),"CAIXA DE SOM SEM FIO CORAL")</f>
        <v>CAIXA DE SOM SEM FIO CORAL</v>
      </c>
      <c r="D3505" s="186" t="str">
        <f>IFERROR(__xludf.DUMMYFUNCTION("""COMPUTED_VALUE"""),"Anatel Category 2 - Bluetooth Module")</f>
        <v>Anatel Category 2 - Bluetooth Module</v>
      </c>
    </row>
    <row r="3506">
      <c r="B3506" s="186" t="str">
        <f>IFERROR(__xludf.DUMMYFUNCTION("""COMPUTED_VALUE"""),"PI5142Y")</f>
        <v>PI5142Y</v>
      </c>
      <c r="C3506" s="186" t="str">
        <f>IFERROR(__xludf.DUMMYFUNCTION("""COMPUTED_VALUE"""),"MASCARA SPEAKER STRANGER THINGS ELEVEN")</f>
        <v>MASCARA SPEAKER STRANGER THINGS ELEVEN</v>
      </c>
      <c r="D3506" s="186" t="str">
        <f>IFERROR(__xludf.DUMMYFUNCTION("""COMPUTED_VALUE"""),"FALSO")</f>
        <v>FALSO</v>
      </c>
    </row>
    <row r="3507">
      <c r="B3507" s="186" t="str">
        <f>IFERROR(__xludf.DUMMYFUNCTION("""COMPUTED_VALUE"""),"PI6250Y")</f>
        <v>PI6250Y</v>
      </c>
      <c r="C3507" s="186" t="str">
        <f>IFERROR(__xludf.DUMMYFUNCTION("""COMPUTED_VALUE"""),"ALMOFADA MASSAGEADORA SPEAKER GATO")</f>
        <v>ALMOFADA MASSAGEADORA SPEAKER GATO</v>
      </c>
      <c r="D3507" s="186" t="str">
        <f>IFERROR(__xludf.DUMMYFUNCTION("""COMPUTED_VALUE"""),"FALSO")</f>
        <v>FALSO</v>
      </c>
    </row>
    <row r="3508">
      <c r="B3508" s="186" t="str">
        <f>IFERROR(__xludf.DUMMYFUNCTION("""COMPUTED_VALUE"""),"PI6250Y")</f>
        <v>PI6250Y</v>
      </c>
      <c r="C3508" s="186" t="str">
        <f>IFERROR(__xludf.DUMMYFUNCTION("""COMPUTED_VALUE"""),"ALMOFADA MASSAGEADORA SPEAKER GATO")</f>
        <v>ALMOFADA MASSAGEADORA SPEAKER GATO</v>
      </c>
      <c r="D3508" s="186" t="str">
        <f>IFERROR(__xludf.DUMMYFUNCTION("""COMPUTED_VALUE"""),"FALSO")</f>
        <v>FALSO</v>
      </c>
    </row>
    <row r="3509">
      <c r="B3509" s="186" t="str">
        <f>IFERROR(__xludf.DUMMYFUNCTION("""COMPUTED_VALUE"""),"AC2149Y")</f>
        <v>AC2149Y</v>
      </c>
      <c r="C3509" s="186" t="str">
        <f>IFERROR(__xludf.DUMMYFUNCTION("""COMPUTED_VALUE"""),"SPEAKER PARA PI5097Y")</f>
        <v>SPEAKER PARA PI5097Y</v>
      </c>
      <c r="D3509" s="186" t="str">
        <f>IFERROR(__xludf.DUMMYFUNCTION("""COMPUTED_VALUE"""),"FALSO")</f>
        <v>FALSO</v>
      </c>
    </row>
    <row r="3510">
      <c r="B3510" s="186" t="str">
        <f>IFERROR(__xludf.DUMMYFUNCTION("""COMPUTED_VALUE"""),"PI5112Y")</f>
        <v>PI5112Y</v>
      </c>
      <c r="C3510" s="186" t="str">
        <f>IFERROR(__xludf.DUMMYFUNCTION("""COMPUTED_VALUE"""),"AMPLIFICADOR PORTA CELULAR NETFLIX TV")</f>
        <v>AMPLIFICADOR PORTA CELULAR NETFLIX TV</v>
      </c>
      <c r="D3510" s="186" t="str">
        <f>IFERROR(__xludf.DUMMYFUNCTION("""COMPUTED_VALUE"""),"Anatel Category 2 - Bluetooth and Radiofrequency Comms")</f>
        <v>Anatel Category 2 - Bluetooth and Radiofrequency Comms</v>
      </c>
    </row>
    <row r="3511">
      <c r="B3511" s="186" t="str">
        <f>IFERROR(__xludf.DUMMYFUNCTION("""COMPUTED_VALUE"""),"PI5442Y")</f>
        <v>PI5442Y</v>
      </c>
      <c r="C3511" s="186" t="str">
        <f>IFERROR(__xludf.DUMMYFUNCTION("""COMPUTED_VALUE"""),"LUMINARIA LED NEON RAIO")</f>
        <v>LUMINARIA LED NEON RAIO</v>
      </c>
      <c r="D3511" s="186" t="str">
        <f>IFERROR(__xludf.DUMMYFUNCTION("""COMPUTED_VALUE"""),"FALSO")</f>
        <v>FALSO</v>
      </c>
    </row>
    <row r="3512">
      <c r="B3512" s="186" t="str">
        <f>IFERROR(__xludf.DUMMYFUNCTION("""COMPUTED_VALUE"""),"PI7723Y")</f>
        <v>PI7723Y</v>
      </c>
      <c r="C3512" s="186" t="str">
        <f>IFERROR(__xludf.DUMMYFUNCTION("""COMPUTED_VALUE"""),"RELOGIO DIGITAL TEXTURA MADEIRA QUADRADO")</f>
        <v>RELOGIO DIGITAL TEXTURA MADEIRA QUADRADO</v>
      </c>
      <c r="D3512" s="186" t="str">
        <f>IFERROR(__xludf.DUMMYFUNCTION("""COMPUTED_VALUE"""),"FALSO")</f>
        <v>FALSO</v>
      </c>
    </row>
    <row r="3513">
      <c r="B3513" s="186" t="str">
        <f>IFERROR(__xludf.DUMMYFUNCTION("""COMPUTED_VALUE"""),"PI7045Y")</f>
        <v>PI7045Y</v>
      </c>
      <c r="C3513" s="186" t="str">
        <f>IFERROR(__xludf.DUMMYFUNCTION("""COMPUTED_VALUE"""),"CANETAS MARCA TEXTO EMPILHAVEIS PANDA")</f>
        <v>CANETAS MARCA TEXTO EMPILHAVEIS PANDA</v>
      </c>
      <c r="D3513" s="186" t="str">
        <f>IFERROR(__xludf.DUMMYFUNCTION("""COMPUTED_VALUE"""),"INMETRO SCHOOL ARTICLES - ORDINANCE 423")</f>
        <v>INMETRO SCHOOL ARTICLES - ORDINANCE 423</v>
      </c>
    </row>
    <row r="3514">
      <c r="B3514" s="186" t="str">
        <f>IFERROR(__xludf.DUMMYFUNCTION("""COMPUTED_VALUE"""),"PI7047Y")</f>
        <v>PI7047Y</v>
      </c>
      <c r="C3514" s="186" t="str">
        <f>IFERROR(__xludf.DUMMYFUNCTION("""COMPUTED_VALUE"""),"CANETAS MARCA TEXTO EMPILHAVEIS CONCHA")</f>
        <v>CANETAS MARCA TEXTO EMPILHAVEIS CONCHA</v>
      </c>
      <c r="D3514" s="186" t="str">
        <f>IFERROR(__xludf.DUMMYFUNCTION("""COMPUTED_VALUE"""),"INMETRO SCHOOL ARTICLES - ORDINANCE 423")</f>
        <v>INMETRO SCHOOL ARTICLES - ORDINANCE 423</v>
      </c>
    </row>
    <row r="3515">
      <c r="B3515" s="186" t="str">
        <f>IFERROR(__xludf.DUMMYFUNCTION("""COMPUTED_VALUE"""),"CS2397")</f>
        <v>CS2397</v>
      </c>
      <c r="C3515" s="186" t="str">
        <f>IFERROR(__xludf.DUMMYFUNCTION("""COMPUTED_VALUE"""),"CONJUNTO DE CANECAS EMPILHAVEIS MERGULHO")</f>
        <v>CONJUNTO DE CANECAS EMPILHAVEIS MERGULHO</v>
      </c>
      <c r="D3515" s="186" t="str">
        <f>IFERROR(__xludf.DUMMYFUNCTION("""COMPUTED_VALUE"""),"FALSO")</f>
        <v>FALSO</v>
      </c>
    </row>
    <row r="3516">
      <c r="B3516" s="186" t="str">
        <f>IFERROR(__xludf.DUMMYFUNCTION("""COMPUTED_VALUE"""),"PI6162Y")</f>
        <v>PI6162Y</v>
      </c>
      <c r="C3516" s="186" t="str">
        <f>IFERROR(__xludf.DUMMYFUNCTION("""COMPUTED_VALUE"""),"CANETA CARIMBO BORA MARCAR")</f>
        <v>CANETA CARIMBO BORA MARCAR</v>
      </c>
      <c r="D3516" s="186" t="str">
        <f>IFERROR(__xludf.DUMMYFUNCTION("""COMPUTED_VALUE"""),"INMETRO SCHOOL ARTICLES SYSTEM 5 - ORDINANCE 481")</f>
        <v>INMETRO SCHOOL ARTICLES SYSTEM 5 - ORDINANCE 481</v>
      </c>
    </row>
    <row r="3517">
      <c r="B3517" s="186" t="str">
        <f>IFERROR(__xludf.DUMMYFUNCTION("""COMPUTED_VALUE"""),"PI6162Y")</f>
        <v>PI6162Y</v>
      </c>
      <c r="C3517" s="186" t="str">
        <f>IFERROR(__xludf.DUMMYFUNCTION("""COMPUTED_VALUE"""),"CANETA CARIMBO BORA MARCAR")</f>
        <v>CANETA CARIMBO BORA MARCAR</v>
      </c>
      <c r="D3517" s="186" t="str">
        <f>IFERROR(__xludf.DUMMYFUNCTION("""COMPUTED_VALUE"""),"INMETRO SCHOOL ARTICLES SYSTEM 5 - ORDINANCE 481")</f>
        <v>INMETRO SCHOOL ARTICLES SYSTEM 5 - ORDINANCE 481</v>
      </c>
    </row>
    <row r="3518">
      <c r="B3518" s="186" t="str">
        <f>IFERROR(__xludf.DUMMYFUNCTION("""COMPUTED_VALUE"""),"PI6162Y")</f>
        <v>PI6162Y</v>
      </c>
      <c r="C3518" s="186" t="str">
        <f>IFERROR(__xludf.DUMMYFUNCTION("""COMPUTED_VALUE"""),"CANETA CARIMBO BORA MARCAR")</f>
        <v>CANETA CARIMBO BORA MARCAR</v>
      </c>
      <c r="D3518" s="186" t="str">
        <f>IFERROR(__xludf.DUMMYFUNCTION("""COMPUTED_VALUE"""),"INMETRO SCHOOL ARTICLES SYSTEM 5 - ORDINANCE 481")</f>
        <v>INMETRO SCHOOL ARTICLES SYSTEM 5 - ORDINANCE 481</v>
      </c>
    </row>
    <row r="3519">
      <c r="B3519" s="186" t="str">
        <f>IFERROR(__xludf.DUMMYFUNCTION("""COMPUTED_VALUE"""),"PI5890Y")</f>
        <v>PI5890Y</v>
      </c>
      <c r="C3519" s="186" t="str">
        <f>IFERROR(__xludf.DUMMYFUNCTION("""COMPUTED_VALUE"""),"KIT ORGANIZADOR PAPELARIA POSSIBILIDADES")</f>
        <v>KIT ORGANIZADOR PAPELARIA POSSIBILIDADES</v>
      </c>
      <c r="D3519" s="186" t="str">
        <f>IFERROR(__xludf.DUMMYFUNCTION("""COMPUTED_VALUE"""),"FALSO")</f>
        <v>FALSO</v>
      </c>
    </row>
    <row r="3520">
      <c r="B3520" s="186" t="str">
        <f>IFERROR(__xludf.DUMMYFUNCTION("""COMPUTED_VALUE"""),"PI6841Y")</f>
        <v>PI6841Y</v>
      </c>
      <c r="C3520" s="186" t="str">
        <f>IFERROR(__xludf.DUMMYFUNCTION("""COMPUTED_VALUE"""),"KIT PAPELARIA HP HOGWARTS")</f>
        <v>KIT PAPELARIA HP HOGWARTS</v>
      </c>
      <c r="D3520" s="186" t="str">
        <f>IFERROR(__xludf.DUMMYFUNCTION("""COMPUTED_VALUE"""),"FALSO")</f>
        <v>FALSO</v>
      </c>
    </row>
    <row r="3521">
      <c r="B3521" s="186" t="str">
        <f>IFERROR(__xludf.DUMMYFUNCTION("""COMPUTED_VALUE"""),"PI4989Y")</f>
        <v>PI4989Y</v>
      </c>
      <c r="C3521" s="186" t="str">
        <f>IFERROR(__xludf.DUMMYFUNCTION("""COMPUTED_VALUE"""),"KIT ORGANIZADOR SEMANAL ONCA")</f>
        <v>KIT ORGANIZADOR SEMANAL ONCA</v>
      </c>
      <c r="D3521" s="186" t="str">
        <f>IFERROR(__xludf.DUMMYFUNCTION("""COMPUTED_VALUE"""),"FALSO")</f>
        <v>FALSO</v>
      </c>
    </row>
    <row r="3522">
      <c r="B3522" s="186" t="str">
        <f>IFERROR(__xludf.DUMMYFUNCTION("""COMPUTED_VALUE"""),"PI5779Y")</f>
        <v>PI5779Y</v>
      </c>
      <c r="C3522" s="186" t="str">
        <f>IFERROR(__xludf.DUMMYFUNCTION("""COMPUTED_VALUE"""),"KIT ORGANIZADOR SEMANAL MISTICO PREVISAO")</f>
        <v>KIT ORGANIZADOR SEMANAL MISTICO PREVISAO</v>
      </c>
      <c r="D3522" s="186" t="str">
        <f>IFERROR(__xludf.DUMMYFUNCTION("""COMPUTED_VALUE"""),"FALSO")</f>
        <v>FALSO</v>
      </c>
    </row>
    <row r="3523">
      <c r="B3523" s="186" t="str">
        <f>IFERROR(__xludf.DUMMYFUNCTION("""COMPUTED_VALUE"""),"PI5554Y")</f>
        <v>PI5554Y</v>
      </c>
      <c r="C3523" s="186" t="str">
        <f>IFERROR(__xludf.DUMMYFUNCTION("""COMPUTED_VALUE"""),"KIT BLOCOS DE NOTAS AUTOADESIVAS CORACAO")</f>
        <v>KIT BLOCOS DE NOTAS AUTOADESIVAS CORACAO</v>
      </c>
      <c r="D3523" s="186" t="str">
        <f>IFERROR(__xludf.DUMMYFUNCTION("""COMPUTED_VALUE"""),"FALSO")</f>
        <v>FALSO</v>
      </c>
    </row>
    <row r="3524">
      <c r="B3524" s="186" t="str">
        <f>IFERROR(__xludf.DUMMYFUNCTION("""COMPUTED_VALUE"""),"PI6580Y")</f>
        <v>PI6580Y</v>
      </c>
      <c r="C3524" s="186" t="str">
        <f>IFERROR(__xludf.DUMMYFUNCTION("""COMPUTED_VALUE"""),"DUPLA DE MEIAS MELHOR JUNTOS")</f>
        <v>DUPLA DE MEIAS MELHOR JUNTOS</v>
      </c>
      <c r="D3524" s="186" t="str">
        <f>IFERROR(__xludf.DUMMYFUNCTION("""COMPUTED_VALUE"""),"FALSO")</f>
        <v>FALSO</v>
      </c>
    </row>
    <row r="3525">
      <c r="B3525" s="186" t="str">
        <f>IFERROR(__xludf.DUMMYFUNCTION("""COMPUTED_VALUE"""),"PI5166Y")</f>
        <v>PI5166Y</v>
      </c>
      <c r="C3525" s="186" t="str">
        <f>IFERROR(__xludf.DUMMYFUNCTION("""COMPUTED_VALUE"""),"CANUDO COM CHAVEIRO BONS DRINKS")</f>
        <v>CANUDO COM CHAVEIRO BONS DRINKS</v>
      </c>
      <c r="D3525" s="186" t="str">
        <f>IFERROR(__xludf.DUMMYFUNCTION("""COMPUTED_VALUE"""),"FALSO")</f>
        <v>FALSO</v>
      </c>
    </row>
    <row r="3526">
      <c r="B3526" s="186" t="str">
        <f>IFERROR(__xludf.DUMMYFUNCTION("""COMPUTED_VALUE"""),"PI4375Y")</f>
        <v>PI4375Y</v>
      </c>
      <c r="C3526" s="186" t="str">
        <f>IFERROR(__xludf.DUMMYFUNCTION("""COMPUTED_VALUE"""),"MALA DE BORDO HP HOGWARTS")</f>
        <v>MALA DE BORDO HP HOGWARTS</v>
      </c>
      <c r="D3526" s="186" t="str">
        <f>IFERROR(__xludf.DUMMYFUNCTION("""COMPUTED_VALUE"""),"FALSO")</f>
        <v>FALSO</v>
      </c>
    </row>
    <row r="3527">
      <c r="B3527" s="186" t="str">
        <f>IFERROR(__xludf.DUMMYFUNCTION("""COMPUTED_VALUE"""),"PI4375Y")</f>
        <v>PI4375Y</v>
      </c>
      <c r="C3527" s="186" t="str">
        <f>IFERROR(__xludf.DUMMYFUNCTION("""COMPUTED_VALUE"""),"MALA DE BORDO HP HOGWARTS")</f>
        <v>MALA DE BORDO HP HOGWARTS</v>
      </c>
      <c r="D3527" s="186" t="str">
        <f>IFERROR(__xludf.DUMMYFUNCTION("""COMPUTED_VALUE"""),"FALSO")</f>
        <v>FALSO</v>
      </c>
    </row>
    <row r="3528">
      <c r="B3528" s="186" t="str">
        <f>IFERROR(__xludf.DUMMYFUNCTION("""COMPUTED_VALUE"""),"PI4375Y")</f>
        <v>PI4375Y</v>
      </c>
      <c r="C3528" s="186" t="str">
        <f>IFERROR(__xludf.DUMMYFUNCTION("""COMPUTED_VALUE"""),"MALA DE BORDO HP HOGWARTS")</f>
        <v>MALA DE BORDO HP HOGWARTS</v>
      </c>
      <c r="D3528" s="186" t="str">
        <f>IFERROR(__xludf.DUMMYFUNCTION("""COMPUTED_VALUE"""),"FALSO")</f>
        <v>FALSO</v>
      </c>
    </row>
    <row r="3529">
      <c r="B3529" s="186" t="str">
        <f>IFERROR(__xludf.DUMMYFUNCTION("""COMPUTED_VALUE"""),"PI4375Y")</f>
        <v>PI4375Y</v>
      </c>
      <c r="C3529" s="186" t="str">
        <f>IFERROR(__xludf.DUMMYFUNCTION("""COMPUTED_VALUE"""),"MALA DE BORDO HP HOGWARTS")</f>
        <v>MALA DE BORDO HP HOGWARTS</v>
      </c>
      <c r="D3529" s="186" t="str">
        <f>IFERROR(__xludf.DUMMYFUNCTION("""COMPUTED_VALUE"""),"FALSO")</f>
        <v>FALSO</v>
      </c>
    </row>
    <row r="3530">
      <c r="B3530" s="186" t="str">
        <f>IFERROR(__xludf.DUMMYFUNCTION("""COMPUTED_VALUE"""),"PI7001Y")</f>
        <v>PI7001Y</v>
      </c>
      <c r="C3530" s="186" t="str">
        <f>IFERROR(__xludf.DUMMYFUNCTION("""COMPUTED_VALUE"""),"VITROLA MALETA SEGUE O RITMO")</f>
        <v>VITROLA MALETA SEGUE O RITMO</v>
      </c>
      <c r="D3530" s="186" t="str">
        <f>IFERROR(__xludf.DUMMYFUNCTION("""COMPUTED_VALUE"""),"Anatel Category 2 - Bluetooth and Radiofrequency Comms")</f>
        <v>Anatel Category 2 - Bluetooth and Radiofrequency Comms</v>
      </c>
    </row>
    <row r="3531">
      <c r="B3531" s="186" t="str">
        <f>IFERROR(__xludf.DUMMYFUNCTION("""COMPUTED_VALUE"""),"PI7001Y")</f>
        <v>PI7001Y</v>
      </c>
      <c r="C3531" s="186" t="str">
        <f>IFERROR(__xludf.DUMMYFUNCTION("""COMPUTED_VALUE"""),"VITROLA MALETA SEGUE O RITMO")</f>
        <v>VITROLA MALETA SEGUE O RITMO</v>
      </c>
      <c r="D3531" s="186" t="str">
        <f>IFERROR(__xludf.DUMMYFUNCTION("""COMPUTED_VALUE"""),"Anatel Category 2 - Bluetooth and Radiofrequency Comms")</f>
        <v>Anatel Category 2 - Bluetooth and Radiofrequency Comms</v>
      </c>
    </row>
    <row r="3532">
      <c r="B3532" s="186" t="str">
        <f>IFERROR(__xludf.DUMMYFUNCTION("""COMPUTED_VALUE"""),"PI2495Y")</f>
        <v>PI2495Y</v>
      </c>
      <c r="C3532" s="186" t="str">
        <f>IFERROR(__xludf.DUMMYFUNCTION("""COMPUTED_VALUE"""),"EXTRA MINI ARVORE FLOR DE LUZ")</f>
        <v>EXTRA MINI ARVORE FLOR DE LUZ</v>
      </c>
      <c r="D3532" s="186" t="str">
        <f>IFERROR(__xludf.DUMMYFUNCTION("""COMPUTED_VALUE"""),"FALSO")</f>
        <v>FALSO</v>
      </c>
    </row>
    <row r="3533">
      <c r="B3533" s="186" t="str">
        <f>IFERROR(__xludf.DUMMYFUNCTION("""COMPUTED_VALUE"""),"PI6300Y")</f>
        <v>PI6300Y</v>
      </c>
      <c r="C3533" s="186" t="str">
        <f>IFERROR(__xludf.DUMMYFUNCTION("""COMPUTED_VALUE"""),"MEIA SUSHI")</f>
        <v>MEIA SUSHI</v>
      </c>
      <c r="D3533" s="186" t="str">
        <f>IFERROR(__xludf.DUMMYFUNCTION("""COMPUTED_VALUE"""),"FALSO")</f>
        <v>FALSO</v>
      </c>
    </row>
    <row r="3534">
      <c r="B3534" s="186" t="str">
        <f>IFERROR(__xludf.DUMMYFUNCTION("""COMPUTED_VALUE"""),"PI5827")</f>
        <v>PI5827</v>
      </c>
      <c r="C3534" s="186" t="str">
        <f>IFERROR(__xludf.DUMMYFUNCTION("""COMPUTED_VALUE"""),"ESPELHO DE MESA COM LED E AUMENTO BRILHO")</f>
        <v>ESPELHO DE MESA COM LED E AUMENTO BRILHO</v>
      </c>
      <c r="D3534" s="186" t="str">
        <f>IFERROR(__xludf.DUMMYFUNCTION("""COMPUTED_VALUE"""),"FALSO")</f>
        <v>FALSO</v>
      </c>
    </row>
    <row r="3535">
      <c r="B3535" s="186" t="str">
        <f>IFERROR(__xludf.DUMMYFUNCTION("""COMPUTED_VALUE"""),"PI5827")</f>
        <v>PI5827</v>
      </c>
      <c r="C3535" s="186" t="str">
        <f>IFERROR(__xludf.DUMMYFUNCTION("""COMPUTED_VALUE"""),"ESPELHO DE MESA COM LED E AUMENTO BRILHO")</f>
        <v>ESPELHO DE MESA COM LED E AUMENTO BRILHO</v>
      </c>
      <c r="D3535" s="186" t="str">
        <f>IFERROR(__xludf.DUMMYFUNCTION("""COMPUTED_VALUE"""),"FALSO")</f>
        <v>FALSO</v>
      </c>
    </row>
    <row r="3536">
      <c r="B3536" s="186" t="str">
        <f>IFERROR(__xludf.DUMMYFUNCTION("""COMPUTED_VALUE"""),"PI5827")</f>
        <v>PI5827</v>
      </c>
      <c r="C3536" s="186" t="str">
        <f>IFERROR(__xludf.DUMMYFUNCTION("""COMPUTED_VALUE"""),"ESPELHO DE MESA COM LED E AUMENTO BRILHO")</f>
        <v>ESPELHO DE MESA COM LED E AUMENTO BRILHO</v>
      </c>
      <c r="D3536" s="186" t="str">
        <f>IFERROR(__xludf.DUMMYFUNCTION("""COMPUTED_VALUE"""),"FALSO")</f>
        <v>FALSO</v>
      </c>
    </row>
    <row r="3537">
      <c r="B3537" s="186" t="str">
        <f>IFERROR(__xludf.DUMMYFUNCTION("""COMPUTED_VALUE"""),"PI7686")</f>
        <v>PI7686</v>
      </c>
      <c r="C3537" s="186" t="str">
        <f>IFERROR(__xludf.DUMMYFUNCTION("""COMPUTED_VALUE"""),"ESPELHO DE MESA VERDE CLARO")</f>
        <v>ESPELHO DE MESA VERDE CLARO</v>
      </c>
      <c r="D3537" s="186" t="str">
        <f>IFERROR(__xludf.DUMMYFUNCTION("""COMPUTED_VALUE"""),"FALSO")</f>
        <v>FALSO</v>
      </c>
    </row>
    <row r="3538">
      <c r="B3538" s="186" t="str">
        <f>IFERROR(__xludf.DUMMYFUNCTION("""COMPUTED_VALUE"""),"PI7685")</f>
        <v>PI7685</v>
      </c>
      <c r="C3538" s="186" t="str">
        <f>IFERROR(__xludf.DUMMYFUNCTION("""COMPUTED_VALUE"""),"ESPELHO DE MESA ROSA")</f>
        <v>ESPELHO DE MESA ROSA</v>
      </c>
      <c r="D3538" s="186" t="str">
        <f>IFERROR(__xludf.DUMMYFUNCTION("""COMPUTED_VALUE"""),"FALSO")</f>
        <v>FALSO</v>
      </c>
    </row>
    <row r="3539">
      <c r="B3539" s="186" t="str">
        <f>IFERROR(__xludf.DUMMYFUNCTION("""COMPUTED_VALUE"""),"PI7688")</f>
        <v>PI7688</v>
      </c>
      <c r="C3539" s="186" t="str">
        <f>IFERROR(__xludf.DUMMYFUNCTION("""COMPUTED_VALUE"""),"ESPELHO DE MESA ONDAS VERDE")</f>
        <v>ESPELHO DE MESA ONDAS VERDE</v>
      </c>
      <c r="D3539" s="186" t="str">
        <f>IFERROR(__xludf.DUMMYFUNCTION("""COMPUTED_VALUE"""),"FALSO")</f>
        <v>FALSO</v>
      </c>
    </row>
    <row r="3540">
      <c r="B3540" s="186" t="str">
        <f>IFERROR(__xludf.DUMMYFUNCTION("""COMPUTED_VALUE"""),"PI7687")</f>
        <v>PI7687</v>
      </c>
      <c r="C3540" s="186" t="str">
        <f>IFERROR(__xludf.DUMMYFUNCTION("""COMPUTED_VALUE"""),"ESPELHO DE MESA ONDAS ROSA")</f>
        <v>ESPELHO DE MESA ONDAS ROSA</v>
      </c>
      <c r="D3540" s="186" t="str">
        <f>IFERROR(__xludf.DUMMYFUNCTION("""COMPUTED_VALUE"""),"FALSO")</f>
        <v>FALSO</v>
      </c>
    </row>
    <row r="3541">
      <c r="B3541" s="186" t="str">
        <f>IFERROR(__xludf.DUMMYFUNCTION("""COMPUTED_VALUE"""),"PI7689")</f>
        <v>PI7689</v>
      </c>
      <c r="C3541" s="186" t="str">
        <f>IFERROR(__xludf.DUMMYFUNCTION("""COMPUTED_VALUE"""),"ESPELHO DE MESA ONDAS AMARELO")</f>
        <v>ESPELHO DE MESA ONDAS AMARELO</v>
      </c>
      <c r="D3541" s="186" t="str">
        <f>IFERROR(__xludf.DUMMYFUNCTION("""COMPUTED_VALUE"""),"FALSO")</f>
        <v>FALSO</v>
      </c>
    </row>
    <row r="3542">
      <c r="B3542" s="186" t="str">
        <f>IFERROR(__xludf.DUMMYFUNCTION("""COMPUTED_VALUE"""),"PI5176")</f>
        <v>PI5176</v>
      </c>
      <c r="C3542" s="186" t="str">
        <f>IFERROR(__xludf.DUMMYFUNCTION("""COMPUTED_VALUE"""),"ESPELHO DE MESA COM LED LILAS")</f>
        <v>ESPELHO DE MESA COM LED LILAS</v>
      </c>
      <c r="D3542" s="186" t="str">
        <f>IFERROR(__xludf.DUMMYFUNCTION("""COMPUTED_VALUE"""),"FALSO")</f>
        <v>FALSO</v>
      </c>
    </row>
    <row r="3543">
      <c r="B3543" s="186" t="str">
        <f>IFERROR(__xludf.DUMMYFUNCTION("""COMPUTED_VALUE"""),"PI5765")</f>
        <v>PI5765</v>
      </c>
      <c r="C3543" s="186" t="str">
        <f>IFERROR(__xludf.DUMMYFUNCTION("""COMPUTED_VALUE"""),"ESPELHO DE MESA COM LED CORACAO ROSA")</f>
        <v>ESPELHO DE MESA COM LED CORACAO ROSA</v>
      </c>
      <c r="D3543" s="186" t="str">
        <f>IFERROR(__xludf.DUMMYFUNCTION("""COMPUTED_VALUE"""),"FALSO")</f>
        <v>FALSO</v>
      </c>
    </row>
    <row r="3544">
      <c r="B3544" s="186" t="str">
        <f>IFERROR(__xludf.DUMMYFUNCTION("""COMPUTED_VALUE"""),"PI5765")</f>
        <v>PI5765</v>
      </c>
      <c r="C3544" s="186" t="str">
        <f>IFERROR(__xludf.DUMMYFUNCTION("""COMPUTED_VALUE"""),"ESPELHO DE MESA COM LED CORACAO ROSA")</f>
        <v>ESPELHO DE MESA COM LED CORACAO ROSA</v>
      </c>
      <c r="D3544" s="186" t="str">
        <f>IFERROR(__xludf.DUMMYFUNCTION("""COMPUTED_VALUE"""),"FALSO")</f>
        <v>FALSO</v>
      </c>
    </row>
    <row r="3545">
      <c r="B3545" s="186" t="str">
        <f>IFERROR(__xludf.DUMMYFUNCTION("""COMPUTED_VALUE"""),"PI5765")</f>
        <v>PI5765</v>
      </c>
      <c r="C3545" s="186" t="str">
        <f>IFERROR(__xludf.DUMMYFUNCTION("""COMPUTED_VALUE"""),"ESPELHO DE MESA COM LED CORACAO ROSA")</f>
        <v>ESPELHO DE MESA COM LED CORACAO ROSA</v>
      </c>
      <c r="D3545" s="186" t="str">
        <f>IFERROR(__xludf.DUMMYFUNCTION("""COMPUTED_VALUE"""),"FALSO")</f>
        <v>FALSO</v>
      </c>
    </row>
    <row r="3546">
      <c r="B3546" s="186" t="str">
        <f>IFERROR(__xludf.DUMMYFUNCTION("""COMPUTED_VALUE"""),"PI4727")</f>
        <v>PI4727</v>
      </c>
      <c r="C3546" s="186" t="str">
        <f>IFERROR(__xludf.DUMMYFUNCTION("""COMPUTED_VALUE"""),"ESPELHO DE MESA COM LED VISUALIZADA")</f>
        <v>ESPELHO DE MESA COM LED VISUALIZADA</v>
      </c>
      <c r="D3546" s="186" t="str">
        <f>IFERROR(__xludf.DUMMYFUNCTION("""COMPUTED_VALUE"""),"FALSO")</f>
        <v>FALSO</v>
      </c>
    </row>
    <row r="3547">
      <c r="B3547" s="186" t="str">
        <f>IFERROR(__xludf.DUMMYFUNCTION("""COMPUTED_VALUE"""),"PI4727")</f>
        <v>PI4727</v>
      </c>
      <c r="C3547" s="186" t="str">
        <f>IFERROR(__xludf.DUMMYFUNCTION("""COMPUTED_VALUE"""),"ESPELHO DE MESA COM LED VISUALIZADA")</f>
        <v>ESPELHO DE MESA COM LED VISUALIZADA</v>
      </c>
      <c r="D3547" s="186" t="str">
        <f>IFERROR(__xludf.DUMMYFUNCTION("""COMPUTED_VALUE"""),"FALSO")</f>
        <v>FALSO</v>
      </c>
    </row>
    <row r="3548">
      <c r="B3548" s="186" t="str">
        <f>IFERROR(__xludf.DUMMYFUNCTION("""COMPUTED_VALUE"""),"PI5097Y")</f>
        <v>PI5097Y</v>
      </c>
      <c r="C3548" s="186" t="str">
        <f>IFERROR(__xludf.DUMMYFUNCTION("""COMPUTED_VALUE"""),"MESA SPEAKER E CARREGADOR SEM FIO CINZA")</f>
        <v>MESA SPEAKER E CARREGADOR SEM FIO CINZA</v>
      </c>
      <c r="D3548" s="186" t="str">
        <f>IFERROR(__xludf.DUMMYFUNCTION("""COMPUTED_VALUE"""),"Anatel Category 2 - Bluetooth and Radiofrequency Comms")</f>
        <v>Anatel Category 2 - Bluetooth and Radiofrequency Comms</v>
      </c>
    </row>
    <row r="3549">
      <c r="B3549" s="186" t="str">
        <f>IFERROR(__xludf.DUMMYFUNCTION("""COMPUTED_VALUE"""),"CS2190")</f>
        <v>CS2190</v>
      </c>
      <c r="C3549" s="186" t="str">
        <f>IFERROR(__xludf.DUMMYFUNCTION("""COMPUTED_VALUE"""),"TACA DE GIN SEMPRE NA GINASTICA")</f>
        <v>TACA DE GIN SEMPRE NA GINASTICA</v>
      </c>
      <c r="D3549" s="186" t="str">
        <f>IFERROR(__xludf.DUMMYFUNCTION("""COMPUTED_VALUE"""),"FALSO")</f>
        <v>FALSO</v>
      </c>
    </row>
    <row r="3550">
      <c r="B3550" s="186" t="str">
        <f>IFERROR(__xludf.DUMMYFUNCTION("""COMPUTED_VALUE"""),"AC2179")</f>
        <v>AC2179</v>
      </c>
      <c r="C3550" s="186" t="str">
        <f>IFERROR(__xludf.DUMMYFUNCTION("""COMPUTED_VALUE"""),"TANQUERAY TONIC TRADICIONAL 275ML")</f>
        <v>TANQUERAY TONIC TRADICIONAL 275ML</v>
      </c>
      <c r="D3550" s="186" t="str">
        <f>IFERROR(__xludf.DUMMYFUNCTION("""COMPUTED_VALUE"""),"FALSO")</f>
        <v>FALSO</v>
      </c>
    </row>
    <row r="3551">
      <c r="B3551" s="186" t="str">
        <f>IFERROR(__xludf.DUMMYFUNCTION("""COMPUTED_VALUE"""),"US0112")</f>
        <v>US0112</v>
      </c>
      <c r="C3551" s="186" t="str">
        <f>IFERROR(__xludf.DUMMYFUNCTION("""COMPUTED_VALUE"""),"LUMINARIA TARTARUGA OLIVER")</f>
        <v>LUMINARIA TARTARUGA OLIVER</v>
      </c>
      <c r="D3551" s="186" t="str">
        <f>IFERROR(__xludf.DUMMYFUNCTION("""COMPUTED_VALUE"""),"FALSO")</f>
        <v>FALSO</v>
      </c>
    </row>
    <row r="3552">
      <c r="B3552" s="186" t="str">
        <f>IFERROR(__xludf.DUMMYFUNCTION("""COMPUTED_VALUE"""),"CS2043")</f>
        <v>CS2043</v>
      </c>
      <c r="C3552" s="186" t="str">
        <f>IFERROR(__xludf.DUMMYFUNCTION("""COMPUTED_VALUE"""),"TATUAGENS TEMPORARIAS TINDER DEU MATCH")</f>
        <v>TATUAGENS TEMPORARIAS TINDER DEU MATCH</v>
      </c>
      <c r="D3552" s="186" t="str">
        <f>IFERROR(__xludf.DUMMYFUNCTION("""COMPUTED_VALUE"""),"FALSO")</f>
        <v>FALSO</v>
      </c>
    </row>
    <row r="3553">
      <c r="B3553" s="186" t="str">
        <f>IFERROR(__xludf.DUMMYFUNCTION("""COMPUTED_VALUE"""),"PI5797Y")</f>
        <v>PI5797Y</v>
      </c>
      <c r="C3553" s="186" t="str">
        <f>IFERROR(__xludf.DUMMYFUNCTION("""COMPUTED_VALUE"""),"CANECA COM INFUSOR ACONCHEGO")</f>
        <v>CANECA COM INFUSOR ACONCHEGO</v>
      </c>
      <c r="D3553" s="186" t="str">
        <f>IFERROR(__xludf.DUMMYFUNCTION("""COMPUTED_VALUE"""),"FALSO")</f>
        <v>FALSO</v>
      </c>
    </row>
    <row r="3554">
      <c r="B3554" s="186" t="str">
        <f>IFERROR(__xludf.DUMMYFUNCTION("""COMPUTED_VALUE"""),"PI5813Y")</f>
        <v>PI5813Y</v>
      </c>
      <c r="C3554" s="186" t="str">
        <f>IFERROR(__xludf.DUMMYFUNCTION("""COMPUTED_VALUE"""),"INFUSOR DE CHA FLOR")</f>
        <v>INFUSOR DE CHA FLOR</v>
      </c>
      <c r="D3554" s="186" t="str">
        <f>IFERROR(__xludf.DUMMYFUNCTION("""COMPUTED_VALUE"""),"FALSO")</f>
        <v>FALSO</v>
      </c>
    </row>
    <row r="3555">
      <c r="B3555" s="186" t="str">
        <f>IFERROR(__xludf.DUMMYFUNCTION("""COMPUTED_VALUE"""),"PI6488Y")</f>
        <v>PI6488Y</v>
      </c>
      <c r="C3555" s="186" t="str">
        <f>IFERROR(__xludf.DUMMYFUNCTION("""COMPUTED_VALUE"""),"KIT CHA COM BULE E COPOS CHA DE AFETO")</f>
        <v>KIT CHA COM BULE E COPOS CHA DE AFETO</v>
      </c>
      <c r="D3555" s="186" t="str">
        <f>IFERROR(__xludf.DUMMYFUNCTION("""COMPUTED_VALUE"""),"FALSO")</f>
        <v>FALSO</v>
      </c>
    </row>
    <row r="3556">
      <c r="B3556" s="186" t="str">
        <f>IFERROR(__xludf.DUMMYFUNCTION("""COMPUTED_VALUE"""),"PI7124Y")</f>
        <v>PI7124Y</v>
      </c>
      <c r="C3556" s="186" t="str">
        <f>IFERROR(__xludf.DUMMYFUNCTION("""COMPUTED_VALUE"""),"GARRAFA TERMICA COM ALCA POA")</f>
        <v>GARRAFA TERMICA COM ALCA POA</v>
      </c>
      <c r="D3556" s="186" t="str">
        <f>IFERROR(__xludf.DUMMYFUNCTION("""COMPUTED_VALUE"""),"FALSO")</f>
        <v>FALSO</v>
      </c>
    </row>
    <row r="3557">
      <c r="B3557" s="186" t="str">
        <f>IFERROR(__xludf.DUMMYFUNCTION("""COMPUTED_VALUE"""),"PI7083Y")</f>
        <v>PI7083Y</v>
      </c>
      <c r="C3557" s="186" t="str">
        <f>IFERROR(__xludf.DUMMYFUNCTION("""COMPUTED_VALUE"""),"COPO TERMICO POSITIVIDADE")</f>
        <v>COPO TERMICO POSITIVIDADE</v>
      </c>
      <c r="D3557" s="186" t="str">
        <f>IFERROR(__xludf.DUMMYFUNCTION("""COMPUTED_VALUE"""),"FALSO")</f>
        <v>FALSO</v>
      </c>
    </row>
    <row r="3558">
      <c r="B3558" s="186" t="str">
        <f>IFERROR(__xludf.DUMMYFUNCTION("""COMPUTED_VALUE"""),"PI5121Y")</f>
        <v>PI5121Y</v>
      </c>
      <c r="C3558" s="186" t="str">
        <f>IFERROR(__xludf.DUMMYFUNCTION("""COMPUTED_VALUE"""),"CANECO TERMOSSENSIVEL ZECA PAGODINHO")</f>
        <v>CANECO TERMOSSENSIVEL ZECA PAGODINHO</v>
      </c>
      <c r="D3558" s="186" t="str">
        <f>IFERROR(__xludf.DUMMYFUNCTION("""COMPUTED_VALUE"""),"FALSO")</f>
        <v>FALSO</v>
      </c>
    </row>
    <row r="3559">
      <c r="B3559" s="186" t="str">
        <f>IFERROR(__xludf.DUMMYFUNCTION("""COMPUTED_VALUE"""),"PI5559Y")</f>
        <v>PI5559Y</v>
      </c>
      <c r="C3559" s="186" t="str">
        <f>IFERROR(__xludf.DUMMYFUNCTION("""COMPUTED_VALUE"""),"BOLSA TERMICA COLOR BLOCK")</f>
        <v>BOLSA TERMICA COLOR BLOCK</v>
      </c>
      <c r="D3559" s="186" t="str">
        <f>IFERROR(__xludf.DUMMYFUNCTION("""COMPUTED_VALUE"""),"FALSO")</f>
        <v>FALSO</v>
      </c>
    </row>
    <row r="3560">
      <c r="B3560" s="186" t="str">
        <f>IFERROR(__xludf.DUMMYFUNCTION("""COMPUTED_VALUE"""),"PI4811Y")</f>
        <v>PI4811Y</v>
      </c>
      <c r="C3560" s="186" t="str">
        <f>IFERROR(__xludf.DUMMYFUNCTION("""COMPUTED_VALUE"""),"BOLSA TERMICA HP MALA DE HOGWARTS")</f>
        <v>BOLSA TERMICA HP MALA DE HOGWARTS</v>
      </c>
      <c r="D3560" s="186" t="str">
        <f>IFERROR(__xludf.DUMMYFUNCTION("""COMPUTED_VALUE"""),"FALSO")</f>
        <v>FALSO</v>
      </c>
    </row>
    <row r="3561">
      <c r="B3561" s="186" t="str">
        <f>IFERROR(__xludf.DUMMYFUNCTION("""COMPUTED_VALUE"""),"PI5125Y")</f>
        <v>PI5125Y</v>
      </c>
      <c r="C3561" s="186" t="str">
        <f>IFERROR(__xludf.DUMMYFUNCTION("""COMPUTED_VALUE"""),"BOLSA TERMICA E ABRIDOR DE VINHO ROLE")</f>
        <v>BOLSA TERMICA E ABRIDOR DE VINHO ROLE</v>
      </c>
      <c r="D3561" s="186" t="str">
        <f>IFERROR(__xludf.DUMMYFUNCTION("""COMPUTED_VALUE"""),"FALSO")</f>
        <v>FALSO</v>
      </c>
    </row>
    <row r="3562">
      <c r="B3562" s="186" t="str">
        <f>IFERROR(__xludf.DUMMYFUNCTION("""COMPUTED_VALUE"""),"PI5521Y")</f>
        <v>PI5521Y</v>
      </c>
      <c r="C3562" s="186" t="str">
        <f>IFERROR(__xludf.DUMMYFUNCTION("""COMPUTED_VALUE"""),"GARRAFA TERMICA 1 L SEDE DE AVENTURA")</f>
        <v>GARRAFA TERMICA 1 L SEDE DE AVENTURA</v>
      </c>
      <c r="D3562" s="186" t="str">
        <f>IFERROR(__xludf.DUMMYFUNCTION("""COMPUTED_VALUE"""),"FALSO")</f>
        <v>FALSO</v>
      </c>
    </row>
    <row r="3563">
      <c r="B3563" s="186" t="str">
        <f>IFERROR(__xludf.DUMMYFUNCTION("""COMPUTED_VALUE"""),"PI5513Y")</f>
        <v>PI5513Y</v>
      </c>
      <c r="C3563" s="186" t="str">
        <f>IFERROR(__xludf.DUMMYFUNCTION("""COMPUTED_VALUE"""),"GARRAFA TERMICA PONTOS DE EQUILIBRIO")</f>
        <v>GARRAFA TERMICA PONTOS DE EQUILIBRIO</v>
      </c>
      <c r="D3563" s="186" t="str">
        <f>IFERROR(__xludf.DUMMYFUNCTION("""COMPUTED_VALUE"""),"FALSO")</f>
        <v>FALSO</v>
      </c>
    </row>
    <row r="3564">
      <c r="B3564" s="186" t="str">
        <f>IFERROR(__xludf.DUMMYFUNCTION("""COMPUTED_VALUE"""),"PI5513Y")</f>
        <v>PI5513Y</v>
      </c>
      <c r="C3564" s="186" t="str">
        <f>IFERROR(__xludf.DUMMYFUNCTION("""COMPUTED_VALUE"""),"GARRAFA TERMICA PONTOS DE EQUILIBRIO")</f>
        <v>GARRAFA TERMICA PONTOS DE EQUILIBRIO</v>
      </c>
      <c r="D3564" s="186" t="str">
        <f>IFERROR(__xludf.DUMMYFUNCTION("""COMPUTED_VALUE"""),"FALSO")</f>
        <v>FALSO</v>
      </c>
    </row>
    <row r="3565">
      <c r="B3565" s="186" t="str">
        <f>IFERROR(__xludf.DUMMYFUNCTION("""COMPUTED_VALUE"""),"PI5278Y")</f>
        <v>PI5278Y</v>
      </c>
      <c r="C3565" s="186" t="str">
        <f>IFERROR(__xludf.DUMMYFUNCTION("""COMPUTED_VALUE"""),"GARRAFA TERMICA BEATLES ALL YOU NEED")</f>
        <v>GARRAFA TERMICA BEATLES ALL YOU NEED</v>
      </c>
      <c r="D3565" s="186" t="str">
        <f>IFERROR(__xludf.DUMMYFUNCTION("""COMPUTED_VALUE"""),"FALSO")</f>
        <v>FALSO</v>
      </c>
    </row>
    <row r="3566">
      <c r="B3566" s="186" t="str">
        <f>IFERROR(__xludf.DUMMYFUNCTION("""COMPUTED_VALUE"""),"PI7644Y")</f>
        <v>PI7644Y</v>
      </c>
      <c r="C3566" s="186" t="str">
        <f>IFERROR(__xludf.DUMMYFUNCTION("""COMPUTED_VALUE"""),"GARRAFA TERMICA CALCULADORA VERDE")</f>
        <v>GARRAFA TERMICA CALCULADORA VERDE</v>
      </c>
      <c r="D3566" s="186" t="str">
        <f>IFERROR(__xludf.DUMMYFUNCTION("""COMPUTED_VALUE"""),"FALSO")</f>
        <v>FALSO</v>
      </c>
    </row>
    <row r="3567">
      <c r="B3567" s="186" t="str">
        <f>IFERROR(__xludf.DUMMYFUNCTION("""COMPUTED_VALUE"""),"PI7713Y")</f>
        <v>PI7713Y</v>
      </c>
      <c r="C3567" s="186" t="str">
        <f>IFERROR(__xludf.DUMMYFUNCTION("""COMPUTED_VALUE"""),"GARRAFA TERMICA CALCULADORA ROSA")</f>
        <v>GARRAFA TERMICA CALCULADORA ROSA</v>
      </c>
      <c r="D3567" s="186" t="str">
        <f>IFERROR(__xludf.DUMMYFUNCTION("""COMPUTED_VALUE"""),"FALSO")</f>
        <v>FALSO</v>
      </c>
    </row>
    <row r="3568">
      <c r="B3568" s="186" t="str">
        <f>IFERROR(__xludf.DUMMYFUNCTION("""COMPUTED_VALUE"""),"PI5917Y")</f>
        <v>PI5917Y</v>
      </c>
      <c r="C3568" s="186" t="str">
        <f>IFERROR(__xludf.DUMMYFUNCTION("""COMPUTED_VALUE"""),"GARRAFA TERMICA QUADRICULADO CORACOES")</f>
        <v>GARRAFA TERMICA QUADRICULADO CORACOES</v>
      </c>
      <c r="D3568" s="186" t="str">
        <f>IFERROR(__xludf.DUMMYFUNCTION("""COMPUTED_VALUE"""),"FALSO")</f>
        <v>FALSO</v>
      </c>
    </row>
    <row r="3569">
      <c r="B3569" s="186" t="str">
        <f>IFERROR(__xludf.DUMMYFUNCTION("""COMPUTED_VALUE"""),"PI4639Y")</f>
        <v>PI4639Y</v>
      </c>
      <c r="C3569" s="186" t="str">
        <f>IFERROR(__xludf.DUMMYFUNCTION("""COMPUTED_VALUE"""),"GARRAFA TERMICA COM CANECA LEVAR CAFE")</f>
        <v>GARRAFA TERMICA COM CANECA LEVAR CAFE</v>
      </c>
      <c r="D3569" s="186" t="str">
        <f>IFERROR(__xludf.DUMMYFUNCTION("""COMPUTED_VALUE"""),"FALSO")</f>
        <v>FALSO</v>
      </c>
    </row>
    <row r="3570">
      <c r="B3570" s="186" t="str">
        <f>IFERROR(__xludf.DUMMYFUNCTION("""COMPUTED_VALUE"""),"PI4639Y")</f>
        <v>PI4639Y</v>
      </c>
      <c r="C3570" s="186" t="str">
        <f>IFERROR(__xludf.DUMMYFUNCTION("""COMPUTED_VALUE"""),"GARRAFA TERMICA COM CANECA LEVAR CAFE")</f>
        <v>GARRAFA TERMICA COM CANECA LEVAR CAFE</v>
      </c>
      <c r="D3570" s="186" t="str">
        <f>IFERROR(__xludf.DUMMYFUNCTION("""COMPUTED_VALUE"""),"FALSO")</f>
        <v>FALSO</v>
      </c>
    </row>
    <row r="3571">
      <c r="B3571" s="186" t="str">
        <f>IFERROR(__xludf.DUMMYFUNCTION("""COMPUTED_VALUE"""),"PI4639Y")</f>
        <v>PI4639Y</v>
      </c>
      <c r="C3571" s="186" t="str">
        <f>IFERROR(__xludf.DUMMYFUNCTION("""COMPUTED_VALUE"""),"GARRAFA TERMICA COM CANECA LEVAR CAFE")</f>
        <v>GARRAFA TERMICA COM CANECA LEVAR CAFE</v>
      </c>
      <c r="D3571" s="186" t="str">
        <f>IFERROR(__xludf.DUMMYFUNCTION("""COMPUTED_VALUE"""),"FALSO")</f>
        <v>FALSO</v>
      </c>
    </row>
    <row r="3572">
      <c r="B3572" s="186" t="str">
        <f>IFERROR(__xludf.DUMMYFUNCTION("""COMPUTED_VALUE"""),"PI7356Y")</f>
        <v>PI7356Y</v>
      </c>
      <c r="C3572" s="186" t="str">
        <f>IFERROR(__xludf.DUMMYFUNCTION("""COMPUTED_VALUE"""),"GARRAFA TERMICA CAFE PRA LEVAR")</f>
        <v>GARRAFA TERMICA CAFE PRA LEVAR</v>
      </c>
      <c r="D3572" s="186" t="str">
        <f>IFERROR(__xludf.DUMMYFUNCTION("""COMPUTED_VALUE"""),"FALSO")</f>
        <v>FALSO</v>
      </c>
    </row>
    <row r="3573">
      <c r="B3573" s="186" t="str">
        <f>IFERROR(__xludf.DUMMYFUNCTION("""COMPUTED_VALUE"""),"PI7637Y")</f>
        <v>PI7637Y</v>
      </c>
      <c r="C3573" s="186" t="str">
        <f>IFERROR(__xludf.DUMMYFUNCTION("""COMPUTED_VALUE"""),"GARRAFA TERMICA COLOR VERDE E AZUL")</f>
        <v>GARRAFA TERMICA COLOR VERDE E AZUL</v>
      </c>
      <c r="D3573" s="186" t="str">
        <f>IFERROR(__xludf.DUMMYFUNCTION("""COMPUTED_VALUE"""),"FALSO")</f>
        <v>FALSO</v>
      </c>
    </row>
    <row r="3574">
      <c r="B3574" s="186" t="str">
        <f>IFERROR(__xludf.DUMMYFUNCTION("""COMPUTED_VALUE"""),"PI7639Y")</f>
        <v>PI7639Y</v>
      </c>
      <c r="C3574" s="186" t="str">
        <f>IFERROR(__xludf.DUMMYFUNCTION("""COMPUTED_VALUE"""),"GARRAFA TERMICA COLOR VERDE E AMARELO")</f>
        <v>GARRAFA TERMICA COLOR VERDE E AMARELO</v>
      </c>
      <c r="D3574" s="186" t="str">
        <f>IFERROR(__xludf.DUMMYFUNCTION("""COMPUTED_VALUE"""),"FALSO")</f>
        <v>FALSO</v>
      </c>
    </row>
    <row r="3575">
      <c r="B3575" s="186" t="str">
        <f>IFERROR(__xludf.DUMMYFUNCTION("""COMPUTED_VALUE"""),"PI7638Y")</f>
        <v>PI7638Y</v>
      </c>
      <c r="C3575" s="186" t="str">
        <f>IFERROR(__xludf.DUMMYFUNCTION("""COMPUTED_VALUE"""),"GARRAFA TERMICA COLOR LILAS E ROSA")</f>
        <v>GARRAFA TERMICA COLOR LILAS E ROSA</v>
      </c>
      <c r="D3575" s="186" t="str">
        <f>IFERROR(__xludf.DUMMYFUNCTION("""COMPUTED_VALUE"""),"FALSO")</f>
        <v>FALSO</v>
      </c>
    </row>
    <row r="3576">
      <c r="B3576" s="186" t="str">
        <f>IFERROR(__xludf.DUMMYFUNCTION("""COMPUTED_VALUE"""),"PI7640Y")</f>
        <v>PI7640Y</v>
      </c>
      <c r="C3576" s="186" t="str">
        <f>IFERROR(__xludf.DUMMYFUNCTION("""COMPUTED_VALUE"""),"GARRAFA TERMICA COLOR LILAS E ROXO")</f>
        <v>GARRAFA TERMICA COLOR LILAS E ROXO</v>
      </c>
      <c r="D3576" s="186" t="str">
        <f>IFERROR(__xludf.DUMMYFUNCTION("""COMPUTED_VALUE"""),"FALSO")</f>
        <v>FALSO</v>
      </c>
    </row>
    <row r="3577">
      <c r="B3577" s="186" t="str">
        <f>IFERROR(__xludf.DUMMYFUNCTION("""COMPUTED_VALUE"""),"PI6321Y")</f>
        <v>PI6321Y</v>
      </c>
      <c r="C3577" s="186" t="str">
        <f>IFERROR(__xludf.DUMMYFUNCTION("""COMPUTED_VALUE"""),"GARRAFA TÉRMICA CONSTELAÇÕES")</f>
        <v>GARRAFA TÉRMICA CONSTELAÇÕES</v>
      </c>
      <c r="D3577" s="186" t="str">
        <f>IFERROR(__xludf.DUMMYFUNCTION("""COMPUTED_VALUE"""),"FALSO")</f>
        <v>FALSO</v>
      </c>
    </row>
    <row r="3578">
      <c r="B3578" s="186" t="str">
        <f>IFERROR(__xludf.DUMMYFUNCTION("""COMPUTED_VALUE"""),"PI7816Y")</f>
        <v>PI7816Y</v>
      </c>
      <c r="C3578" s="186"/>
      <c r="D3578" s="186" t="str">
        <f>IFERROR(__xludf.DUMMYFUNCTION("""COMPUTED_VALUE"""),"FALSO")</f>
        <v>FALSO</v>
      </c>
    </row>
    <row r="3579">
      <c r="B3579" s="186" t="str">
        <f>IFERROR(__xludf.DUMMYFUNCTION("""COMPUTED_VALUE"""),"PI4922Y")</f>
        <v>PI4922Y</v>
      </c>
      <c r="C3579" s="186" t="str">
        <f>IFERROR(__xludf.DUMMYFUNCTION("""COMPUTED_VALUE"""),"GARRAFA TERMICA FRIENDS POAS SOFA")</f>
        <v>GARRAFA TERMICA FRIENDS POAS SOFA</v>
      </c>
      <c r="D3579" s="186" t="str">
        <f>IFERROR(__xludf.DUMMYFUNCTION("""COMPUTED_VALUE"""),"FALSO")</f>
        <v>FALSO</v>
      </c>
    </row>
    <row r="3580">
      <c r="B3580" s="186" t="str">
        <f>IFERROR(__xludf.DUMMYFUNCTION("""COMPUTED_VALUE"""),"PI7007Y")</f>
        <v>PI7007Y</v>
      </c>
      <c r="C3580" s="186" t="str">
        <f>IFERROR(__xludf.DUMMYFUNCTION("""COMPUTED_VALUE"""),"GARRAFA TERMICA GEOMETRICA")</f>
        <v>GARRAFA TERMICA GEOMETRICA</v>
      </c>
      <c r="D3580" s="186" t="str">
        <f>IFERROR(__xludf.DUMMYFUNCTION("""COMPUTED_VALUE"""),"FALSO")</f>
        <v>FALSO</v>
      </c>
    </row>
    <row r="3581">
      <c r="B3581" s="186" t="str">
        <f>IFERROR(__xludf.DUMMYFUNCTION("""COMPUTED_VALUE"""),"PI5284Y")</f>
        <v>PI5284Y</v>
      </c>
      <c r="C3581" s="186" t="str">
        <f>IFERROR(__xludf.DUMMYFUNCTION("""COMPUTED_VALUE"""),"GARRAFA TERMICA BRILHA ESCURO HP PATRONO")</f>
        <v>GARRAFA TERMICA BRILHA ESCURO HP PATRONO</v>
      </c>
      <c r="D3581" s="186" t="str">
        <f>IFERROR(__xludf.DUMMYFUNCTION("""COMPUTED_VALUE"""),"FALSO")</f>
        <v>FALSO</v>
      </c>
    </row>
    <row r="3582">
      <c r="B3582" s="186" t="str">
        <f>IFERROR(__xludf.DUMMYFUNCTION("""COMPUTED_VALUE"""),"PI5284Y")</f>
        <v>PI5284Y</v>
      </c>
      <c r="C3582" s="186" t="str">
        <f>IFERROR(__xludf.DUMMYFUNCTION("""COMPUTED_VALUE"""),"GARRAFA TERMICA BRILHA ESCURO HP PATRONO")</f>
        <v>GARRAFA TERMICA BRILHA ESCURO HP PATRONO</v>
      </c>
      <c r="D3582" s="186" t="str">
        <f>IFERROR(__xludf.DUMMYFUNCTION("""COMPUTED_VALUE"""),"FALSO")</f>
        <v>FALSO</v>
      </c>
    </row>
    <row r="3583">
      <c r="B3583" s="186" t="str">
        <f>IFERROR(__xludf.DUMMYFUNCTION("""COMPUTED_VALUE"""),"PI5284Y")</f>
        <v>PI5284Y</v>
      </c>
      <c r="C3583" s="186" t="str">
        <f>IFERROR(__xludf.DUMMYFUNCTION("""COMPUTED_VALUE"""),"GARRAFA TERMICA BRILHA ESCURO HP PATRONO")</f>
        <v>GARRAFA TERMICA BRILHA ESCURO HP PATRONO</v>
      </c>
      <c r="D3583" s="186" t="str">
        <f>IFERROR(__xludf.DUMMYFUNCTION("""COMPUTED_VALUE"""),"FALSO")</f>
        <v>FALSO</v>
      </c>
    </row>
    <row r="3584">
      <c r="B3584" s="186" t="str">
        <f>IFERROR(__xludf.DUMMYFUNCTION("""COMPUTED_VALUE"""),"PI5284Y")</f>
        <v>PI5284Y</v>
      </c>
      <c r="C3584" s="186" t="str">
        <f>IFERROR(__xludf.DUMMYFUNCTION("""COMPUTED_VALUE"""),"GARRAFA TERMICA BRILHA ESCURO HP PATRONO")</f>
        <v>GARRAFA TERMICA BRILHA ESCURO HP PATRONO</v>
      </c>
      <c r="D3584" s="186" t="str">
        <f>IFERROR(__xludf.DUMMYFUNCTION("""COMPUTED_VALUE"""),"FALSO")</f>
        <v>FALSO</v>
      </c>
    </row>
    <row r="3585">
      <c r="B3585" s="186" t="str">
        <f>IFERROR(__xludf.DUMMYFUNCTION("""COMPUTED_VALUE"""),"PI5795Y")</f>
        <v>PI5795Y</v>
      </c>
      <c r="C3585" s="186" t="str">
        <f>IFERROR(__xludf.DUMMYFUNCTION("""COMPUTED_VALUE"""),"GARRAFA TERMICA BOM DIA CELEBRAR")</f>
        <v>GARRAFA TERMICA BOM DIA CELEBRAR</v>
      </c>
      <c r="D3585" s="186" t="str">
        <f>IFERROR(__xludf.DUMMYFUNCTION("""COMPUTED_VALUE"""),"FALSO")</f>
        <v>FALSO</v>
      </c>
    </row>
    <row r="3586">
      <c r="B3586" s="186" t="str">
        <f>IFERROR(__xludf.DUMMYFUNCTION("""COMPUTED_VALUE"""),"PI5526Y")</f>
        <v>PI5526Y</v>
      </c>
      <c r="C3586" s="186" t="str">
        <f>IFERROR(__xludf.DUMMYFUNCTION("""COMPUTED_VALUE"""),"GARRAFA TERMICA ALCA COLOR BLOCK ROXO")</f>
        <v>GARRAFA TERMICA ALCA COLOR BLOCK ROXO</v>
      </c>
      <c r="D3586" s="186" t="str">
        <f>IFERROR(__xludf.DUMMYFUNCTION("""COMPUTED_VALUE"""),"FALSO")</f>
        <v>FALSO</v>
      </c>
    </row>
    <row r="3587">
      <c r="B3587" s="186" t="str">
        <f>IFERROR(__xludf.DUMMYFUNCTION("""COMPUTED_VALUE"""),"PI5199Y")</f>
        <v>PI5199Y</v>
      </c>
      <c r="C3587" s="186" t="str">
        <f>IFERROR(__xludf.DUMMYFUNCTION("""COMPUTED_VALUE"""),"GARRAFA TERMICA CLIMA QUENTE")</f>
        <v>GARRAFA TERMICA CLIMA QUENTE</v>
      </c>
      <c r="D3587" s="186" t="str">
        <f>IFERROR(__xludf.DUMMYFUNCTION("""COMPUTED_VALUE"""),"FALSO")</f>
        <v>FALSO</v>
      </c>
    </row>
    <row r="3588">
      <c r="B3588" s="186" t="str">
        <f>IFERROR(__xludf.DUMMYFUNCTION("""COMPUTED_VALUE"""),"PI5107Y")</f>
        <v>PI5107Y</v>
      </c>
      <c r="C3588" s="186" t="str">
        <f>IFERROR(__xludf.DUMMYFUNCTION("""COMPUTED_VALUE"""),"GARRAFA TERMICA HP RELIQUIAS")</f>
        <v>GARRAFA TERMICA HP RELIQUIAS</v>
      </c>
      <c r="D3588" s="186" t="str">
        <f>IFERROR(__xludf.DUMMYFUNCTION("""COMPUTED_VALUE"""),"FALSO")</f>
        <v>FALSO</v>
      </c>
    </row>
    <row r="3589">
      <c r="B3589" s="186" t="str">
        <f>IFERROR(__xludf.DUMMYFUNCTION("""COMPUTED_VALUE"""),"PI5107Y")</f>
        <v>PI5107Y</v>
      </c>
      <c r="C3589" s="186" t="str">
        <f>IFERROR(__xludf.DUMMYFUNCTION("""COMPUTED_VALUE"""),"GARRAFA TERMICA HP RELIQUIAS")</f>
        <v>GARRAFA TERMICA HP RELIQUIAS</v>
      </c>
      <c r="D3589" s="186" t="str">
        <f>IFERROR(__xludf.DUMMYFUNCTION("""COMPUTED_VALUE"""),"FALSO")</f>
        <v>FALSO</v>
      </c>
    </row>
    <row r="3590">
      <c r="B3590" s="186" t="str">
        <f>IFERROR(__xludf.DUMMYFUNCTION("""COMPUTED_VALUE"""),"PI5107Y")</f>
        <v>PI5107Y</v>
      </c>
      <c r="C3590" s="186" t="str">
        <f>IFERROR(__xludf.DUMMYFUNCTION("""COMPUTED_VALUE"""),"GARRAFA TERMICA HP RELIQUIAS")</f>
        <v>GARRAFA TERMICA HP RELIQUIAS</v>
      </c>
      <c r="D3590" s="186" t="str">
        <f>IFERROR(__xludf.DUMMYFUNCTION("""COMPUTED_VALUE"""),"FALSO")</f>
        <v>FALSO</v>
      </c>
    </row>
    <row r="3591">
      <c r="B3591" s="186" t="str">
        <f>IFERROR(__xludf.DUMMYFUNCTION("""COMPUTED_VALUE"""),"PI7753Y")</f>
        <v>PI7753Y</v>
      </c>
      <c r="C3591" s="186"/>
      <c r="D3591" s="186" t="str">
        <f>IFERROR(__xludf.DUMMYFUNCTION("""COMPUTED_VALUE"""),"FALSO")</f>
        <v>FALSO</v>
      </c>
    </row>
    <row r="3592">
      <c r="B3592" s="186" t="str">
        <f>IFERROR(__xludf.DUMMYFUNCTION("""COMPUTED_VALUE"""),"PI6824Y")</f>
        <v>PI6824Y</v>
      </c>
      <c r="C3592" s="186" t="str">
        <f>IFERROR(__xludf.DUMMYFUNCTION("""COMPUTED_VALUE"""),"GARRAFA TERMICA HP HORCRUXES")</f>
        <v>GARRAFA TERMICA HP HORCRUXES</v>
      </c>
      <c r="D3592" s="186" t="str">
        <f>IFERROR(__xludf.DUMMYFUNCTION("""COMPUTED_VALUE"""),"FALSO")</f>
        <v>FALSO</v>
      </c>
    </row>
    <row r="3593">
      <c r="B3593" s="186" t="str">
        <f>IFERROR(__xludf.DUMMYFUNCTION("""COMPUTED_VALUE"""),"PI6824Y")</f>
        <v>PI6824Y</v>
      </c>
      <c r="C3593" s="186" t="str">
        <f>IFERROR(__xludf.DUMMYFUNCTION("""COMPUTED_VALUE"""),"GARRAFA TERMICA HP HORCRUXES")</f>
        <v>GARRAFA TERMICA HP HORCRUXES</v>
      </c>
      <c r="D3593" s="186" t="str">
        <f>IFERROR(__xludf.DUMMYFUNCTION("""COMPUTED_VALUE"""),"FALSO")</f>
        <v>FALSO</v>
      </c>
    </row>
    <row r="3594">
      <c r="B3594" s="186" t="str">
        <f>IFERROR(__xludf.DUMMYFUNCTION("""COMPUTED_VALUE"""),"PI6824Y")</f>
        <v>PI6824Y</v>
      </c>
      <c r="C3594" s="186" t="str">
        <f>IFERROR(__xludf.DUMMYFUNCTION("""COMPUTED_VALUE"""),"GARRAFA TERMICA HP HORCRUXES")</f>
        <v>GARRAFA TERMICA HP HORCRUXES</v>
      </c>
      <c r="D3594" s="186" t="str">
        <f>IFERROR(__xludf.DUMMYFUNCTION("""COMPUTED_VALUE"""),"FALSO")</f>
        <v>FALSO</v>
      </c>
    </row>
    <row r="3595">
      <c r="B3595" s="186" t="str">
        <f>IFERROR(__xludf.DUMMYFUNCTION("""COMPUTED_VALUE"""),"PI6825Y")</f>
        <v>PI6825Y</v>
      </c>
      <c r="C3595" s="186" t="str">
        <f>IFERROR(__xludf.DUMMYFUNCTION("""COMPUTED_VALUE"""),"GARRAFA TERMICA HP MANDRAGORA")</f>
        <v>GARRAFA TERMICA HP MANDRAGORA</v>
      </c>
      <c r="D3595" s="186" t="str">
        <f>IFERROR(__xludf.DUMMYFUNCTION("""COMPUTED_VALUE"""),"FALSO")</f>
        <v>FALSO</v>
      </c>
    </row>
    <row r="3596">
      <c r="B3596" s="186" t="str">
        <f>IFERROR(__xludf.DUMMYFUNCTION("""COMPUTED_VALUE"""),"PI6825Y")</f>
        <v>PI6825Y</v>
      </c>
      <c r="C3596" s="186" t="str">
        <f>IFERROR(__xludf.DUMMYFUNCTION("""COMPUTED_VALUE"""),"GARRAFA TERMICA HP MANDRAGORA")</f>
        <v>GARRAFA TERMICA HP MANDRAGORA</v>
      </c>
      <c r="D3596" s="186" t="str">
        <f>IFERROR(__xludf.DUMMYFUNCTION("""COMPUTED_VALUE"""),"FALSO")</f>
        <v>FALSO</v>
      </c>
    </row>
    <row r="3597">
      <c r="B3597" s="186" t="str">
        <f>IFERROR(__xludf.DUMMYFUNCTION("""COMPUTED_VALUE"""),"PI7078Y")</f>
        <v>PI7078Y</v>
      </c>
      <c r="C3597" s="186" t="str">
        <f>IFERROR(__xludf.DUMMYFUNCTION("""COMPUTED_VALUE"""),"GARRAFA TERMICA ESTAMPA BEIJA FLOR")</f>
        <v>GARRAFA TERMICA ESTAMPA BEIJA FLOR</v>
      </c>
      <c r="D3597" s="186" t="str">
        <f>IFERROR(__xludf.DUMMYFUNCTION("""COMPUTED_VALUE"""),"FALSO")</f>
        <v>FALSO</v>
      </c>
    </row>
    <row r="3598">
      <c r="B3598" s="186" t="str">
        <f>IFERROR(__xludf.DUMMYFUNCTION("""COMPUTED_VALUE"""),"PI5198Y")</f>
        <v>PI5198Y</v>
      </c>
      <c r="C3598" s="186" t="str">
        <f>IFERROR(__xludf.DUMMYFUNCTION("""COMPUTED_VALUE"""),"GARRAFA TERMICA ME SINTO PRONTA")</f>
        <v>GARRAFA TERMICA ME SINTO PRONTA</v>
      </c>
      <c r="D3598" s="186" t="str">
        <f>IFERROR(__xludf.DUMMYFUNCTION("""COMPUTED_VALUE"""),"FALSO")</f>
        <v>FALSO</v>
      </c>
    </row>
    <row r="3599">
      <c r="B3599" s="186" t="str">
        <f>IFERROR(__xludf.DUMMYFUNCTION("""COMPUTED_VALUE"""),"PI7010Y")</f>
        <v>PI7010Y</v>
      </c>
      <c r="C3599" s="186" t="str">
        <f>IFERROR(__xludf.DUMMYFUNCTION("""COMPUTED_VALUE"""),"GARRAFA TERMICA NAS ESTRELAS")</f>
        <v>GARRAFA TERMICA NAS ESTRELAS</v>
      </c>
      <c r="D3599" s="186" t="str">
        <f>IFERROR(__xludf.DUMMYFUNCTION("""COMPUTED_VALUE"""),"FALSO")</f>
        <v>FALSO</v>
      </c>
    </row>
    <row r="3600">
      <c r="B3600" s="186" t="str">
        <f>IFERROR(__xludf.DUMMYFUNCTION("""COMPUTED_VALUE"""),"PI5042Y")</f>
        <v>PI5042Y</v>
      </c>
      <c r="C3600" s="186" t="str">
        <f>IFERROR(__xludf.DUMMYFUNCTION("""COMPUTED_VALUE"""),"GARRAFA TERMICA ONCA TODA NATURALZINHA")</f>
        <v>GARRAFA TERMICA ONCA TODA NATURALZINHA</v>
      </c>
      <c r="D3600" s="186" t="str">
        <f>IFERROR(__xludf.DUMMYFUNCTION("""COMPUTED_VALUE"""),"FALSO")</f>
        <v>FALSO</v>
      </c>
    </row>
    <row r="3601">
      <c r="B3601" s="186" t="str">
        <f>IFERROR(__xludf.DUMMYFUNCTION("""COMPUTED_VALUE"""),"PI4073Y")</f>
        <v>PI4073Y</v>
      </c>
      <c r="C3601" s="186" t="str">
        <f>IFERROR(__xludf.DUMMYFUNCTION("""COMPUTED_VALUE"""),"GARRAFA TERMICA DEIXAR FLUIR")</f>
        <v>GARRAFA TERMICA DEIXAR FLUIR</v>
      </c>
      <c r="D3601" s="186" t="str">
        <f>IFERROR(__xludf.DUMMYFUNCTION("""COMPUTED_VALUE"""),"FALSO")</f>
        <v>FALSO</v>
      </c>
    </row>
    <row r="3602">
      <c r="B3602" s="186" t="str">
        <f>IFERROR(__xludf.DUMMYFUNCTION("""COMPUTED_VALUE"""),"PI4073Y")</f>
        <v>PI4073Y</v>
      </c>
      <c r="C3602" s="186" t="str">
        <f>IFERROR(__xludf.DUMMYFUNCTION("""COMPUTED_VALUE"""),"GARRAFA TERMICA DEIXAR FLUIR")</f>
        <v>GARRAFA TERMICA DEIXAR FLUIR</v>
      </c>
      <c r="D3602" s="186" t="str">
        <f>IFERROR(__xludf.DUMMYFUNCTION("""COMPUTED_VALUE"""),"FALSO")</f>
        <v>FALSO</v>
      </c>
    </row>
    <row r="3603">
      <c r="B3603" s="186" t="str">
        <f>IFERROR(__xludf.DUMMYFUNCTION("""COMPUTED_VALUE"""),"PI5318Y")</f>
        <v>PI5318Y</v>
      </c>
      <c r="C3603" s="186" t="str">
        <f>IFERROR(__xludf.DUMMYFUNCTION("""COMPUTED_VALUE"""),"GARRAFA TERMICA POCAO DE COISAS")</f>
        <v>GARRAFA TERMICA POCAO DE COISAS</v>
      </c>
      <c r="D3603" s="186" t="str">
        <f>IFERROR(__xludf.DUMMYFUNCTION("""COMPUTED_VALUE"""),"FALSO")</f>
        <v>FALSO</v>
      </c>
    </row>
    <row r="3604">
      <c r="B3604" s="186" t="str">
        <f>IFERROR(__xludf.DUMMYFUNCTION("""COMPUTED_VALUE"""),"PI6034Y")</f>
        <v>PI6034Y</v>
      </c>
      <c r="C3604" s="186" t="str">
        <f>IFERROR(__xludf.DUMMYFUNCTION("""COMPUTED_VALUE"""),"GARRAFA TERMICA MAPA DO MAROTO HP")</f>
        <v>GARRAFA TERMICA MAPA DO MAROTO HP</v>
      </c>
      <c r="D3604" s="186" t="str">
        <f>IFERROR(__xludf.DUMMYFUNCTION("""COMPUTED_VALUE"""),"FALSO")</f>
        <v>FALSO</v>
      </c>
    </row>
    <row r="3605">
      <c r="B3605" s="186" t="str">
        <f>IFERROR(__xludf.DUMMYFUNCTION("""COMPUTED_VALUE"""),"PI6034Y")</f>
        <v>PI6034Y</v>
      </c>
      <c r="C3605" s="186" t="str">
        <f>IFERROR(__xludf.DUMMYFUNCTION("""COMPUTED_VALUE"""),"GARRAFA TERMICA MAPA DO MAROTO HP")</f>
        <v>GARRAFA TERMICA MAPA DO MAROTO HP</v>
      </c>
      <c r="D3605" s="186" t="str">
        <f>IFERROR(__xludf.DUMMYFUNCTION("""COMPUTED_VALUE"""),"FALSO")</f>
        <v>FALSO</v>
      </c>
    </row>
    <row r="3606">
      <c r="B3606" s="186" t="str">
        <f>IFERROR(__xludf.DUMMYFUNCTION("""COMPUTED_VALUE"""),"PI6034Y")</f>
        <v>PI6034Y</v>
      </c>
      <c r="C3606" s="186" t="str">
        <f>IFERROR(__xludf.DUMMYFUNCTION("""COMPUTED_VALUE"""),"GARRAFA TERMICA MAPA DO MAROTO HP")</f>
        <v>GARRAFA TERMICA MAPA DO MAROTO HP</v>
      </c>
      <c r="D3606" s="186" t="str">
        <f>IFERROR(__xludf.DUMMYFUNCTION("""COMPUTED_VALUE"""),"FALSO")</f>
        <v>FALSO</v>
      </c>
    </row>
    <row r="3607">
      <c r="B3607" s="186" t="str">
        <f>IFERROR(__xludf.DUMMYFUNCTION("""COMPUTED_VALUE"""),"PI5525Y")</f>
        <v>PI5525Y</v>
      </c>
      <c r="C3607" s="186" t="str">
        <f>IFERROR(__xludf.DUMMYFUNCTION("""COMPUTED_VALUE"""),"GARRAFA TERMICA NOVOS HORIZONTES")</f>
        <v>GARRAFA TERMICA NOVOS HORIZONTES</v>
      </c>
      <c r="D3607" s="186" t="str">
        <f>IFERROR(__xludf.DUMMYFUNCTION("""COMPUTED_VALUE"""),"FALSO")</f>
        <v>FALSO</v>
      </c>
    </row>
    <row r="3608">
      <c r="B3608" s="186" t="str">
        <f>IFERROR(__xludf.DUMMYFUNCTION("""COMPUTED_VALUE"""),"PI6305Y")</f>
        <v>PI6305Y</v>
      </c>
      <c r="C3608" s="186" t="str">
        <f>IFERROR(__xludf.DUMMYFUNCTION("""COMPUTED_VALUE"""),"GARRAFA TÉRMICA  LARANJA  E ROSA RAIOS")</f>
        <v>GARRAFA TÉRMICA  LARANJA  E ROSA RAIOS</v>
      </c>
      <c r="D3608" s="186" t="str">
        <f>IFERROR(__xludf.DUMMYFUNCTION("""COMPUTED_VALUE"""),"FALSO")</f>
        <v>FALSO</v>
      </c>
    </row>
    <row r="3609">
      <c r="B3609" s="186" t="str">
        <f>IFERROR(__xludf.DUMMYFUNCTION("""COMPUTED_VALUE"""),"PI5512Y")</f>
        <v>PI5512Y</v>
      </c>
      <c r="C3609" s="186" t="str">
        <f>IFERROR(__xludf.DUMMYFUNCTION("""COMPUTED_VALUE"""),"GARRAFA TERMICA ESTAMPA DEIXA FLUIR")</f>
        <v>GARRAFA TERMICA ESTAMPA DEIXA FLUIR</v>
      </c>
      <c r="D3609" s="186" t="str">
        <f>IFERROR(__xludf.DUMMYFUNCTION("""COMPUTED_VALUE"""),"FALSO")</f>
        <v>FALSO</v>
      </c>
    </row>
    <row r="3610">
      <c r="B3610" s="186" t="str">
        <f>IFERROR(__xludf.DUMMYFUNCTION("""COMPUTED_VALUE"""),"PI6306Y")</f>
        <v>PI6306Y</v>
      </c>
      <c r="C3610" s="186" t="str">
        <f>IFERROR(__xludf.DUMMYFUNCTION("""COMPUTED_VALUE"""),"GARRAFA TÉRMICA POÁ CORPO MENTE E ALMA")</f>
        <v>GARRAFA TÉRMICA POÁ CORPO MENTE E ALMA</v>
      </c>
      <c r="D3610" s="186" t="str">
        <f>IFERROR(__xludf.DUMMYFUNCTION("""COMPUTED_VALUE"""),"FALSO")</f>
        <v>FALSO</v>
      </c>
    </row>
    <row r="3611">
      <c r="B3611" s="186" t="str">
        <f>IFERROR(__xludf.DUMMYFUNCTION("""COMPUTED_VALUE"""),"PI7084Y")</f>
        <v>PI7084Y</v>
      </c>
      <c r="C3611" s="186" t="str">
        <f>IFERROR(__xludf.DUMMYFUNCTION("""COMPUTED_VALUE"""),"GARRAFA TERMICA ESTAMPA POSITIVIDADE")</f>
        <v>GARRAFA TERMICA ESTAMPA POSITIVIDADE</v>
      </c>
      <c r="D3611" s="186" t="str">
        <f>IFERROR(__xludf.DUMMYFUNCTION("""COMPUTED_VALUE"""),"FALSO")</f>
        <v>FALSO</v>
      </c>
    </row>
    <row r="3612">
      <c r="B3612" s="186" t="str">
        <f>IFERROR(__xludf.DUMMYFUNCTION("""COMPUTED_VALUE"""),"PI5515Y")</f>
        <v>PI5515Y</v>
      </c>
      <c r="C3612" s="186" t="str">
        <f>IFERROR(__xludf.DUMMYFUNCTION("""COMPUTED_VALUE"""),"GARRAFA TERMICA SMILES")</f>
        <v>GARRAFA TERMICA SMILES</v>
      </c>
      <c r="D3612" s="186" t="str">
        <f>IFERROR(__xludf.DUMMYFUNCTION("""COMPUTED_VALUE"""),"FALSO")</f>
        <v>FALSO</v>
      </c>
    </row>
    <row r="3613">
      <c r="B3613" s="186" t="str">
        <f>IFERROR(__xludf.DUMMYFUNCTION("""COMPUTED_VALUE"""),"PI6324Y")</f>
        <v>PI6324Y</v>
      </c>
      <c r="C3613" s="186" t="str">
        <f>IFERROR(__xludf.DUMMYFUNCTION("""COMPUTED_VALUE"""),"GARRAFA TÉRMICA ESTAMPA SEU TEMPO GRANDE")</f>
        <v>GARRAFA TÉRMICA ESTAMPA SEU TEMPO GRANDE</v>
      </c>
      <c r="D3613" s="186" t="str">
        <f>IFERROR(__xludf.DUMMYFUNCTION("""COMPUTED_VALUE"""),"FALSO")</f>
        <v>FALSO</v>
      </c>
    </row>
    <row r="3614">
      <c r="B3614" s="186" t="str">
        <f>IFERROR(__xludf.DUMMYFUNCTION("""COMPUTED_VALUE"""),"PI6309Y")</f>
        <v>PI6309Y</v>
      </c>
      <c r="C3614" s="186" t="str">
        <f>IFERROR(__xludf.DUMMYFUNCTION("""COMPUTED_VALUE"""),"GARRAFA TÉRMICA ESTAMPA SEU TEMPO MÉDIA")</f>
        <v>GARRAFA TÉRMICA ESTAMPA SEU TEMPO MÉDIA</v>
      </c>
      <c r="D3614" s="186" t="str">
        <f>IFERROR(__xludf.DUMMYFUNCTION("""COMPUTED_VALUE"""),"FALSO")</f>
        <v>FALSO</v>
      </c>
    </row>
    <row r="3615">
      <c r="B3615" s="186" t="str">
        <f>IFERROR(__xludf.DUMMYFUNCTION("""COMPUTED_VALUE"""),"PI5767Y")</f>
        <v>PI5767Y</v>
      </c>
      <c r="C3615" s="186" t="str">
        <f>IFERROR(__xludf.DUMMYFUNCTION("""COMPUTED_VALUE"""),"GARRAFA TERMICA ADESIVOS MISTICO SIGNOS")</f>
        <v>GARRAFA TERMICA ADESIVOS MISTICO SIGNOS</v>
      </c>
      <c r="D3615" s="186" t="str">
        <f>IFERROR(__xludf.DUMMYFUNCTION("""COMPUTED_VALUE"""),"FALSO")</f>
        <v>FALSO</v>
      </c>
    </row>
    <row r="3616">
      <c r="B3616" s="186" t="str">
        <f>IFERROR(__xludf.DUMMYFUNCTION("""COMPUTED_VALUE"""),"PI5767Y")</f>
        <v>PI5767Y</v>
      </c>
      <c r="C3616" s="186" t="str">
        <f>IFERROR(__xludf.DUMMYFUNCTION("""COMPUTED_VALUE"""),"GARRAFA TERMICA ADESIVOS MISTICO SIGNOS")</f>
        <v>GARRAFA TERMICA ADESIVOS MISTICO SIGNOS</v>
      </c>
      <c r="D3616" s="186" t="str">
        <f>IFERROR(__xludf.DUMMYFUNCTION("""COMPUTED_VALUE"""),"FALSO")</f>
        <v>FALSO</v>
      </c>
    </row>
    <row r="3617">
      <c r="B3617" s="186" t="str">
        <f>IFERROR(__xludf.DUMMYFUNCTION("""COMPUTED_VALUE"""),"PI6506Y")</f>
        <v>PI6506Y</v>
      </c>
      <c r="C3617" s="186" t="str">
        <f>IFERROR(__xludf.DUMMYFUNCTION("""COMPUTED_VALUE"""),"GARRAFA TERMICA LEVAR UM CAFE QUENTINHO")</f>
        <v>GARRAFA TERMICA LEVAR UM CAFE QUENTINHO</v>
      </c>
      <c r="D3617" s="186" t="str">
        <f>IFERROR(__xludf.DUMMYFUNCTION("""COMPUTED_VALUE"""),"FALSO")</f>
        <v>FALSO</v>
      </c>
    </row>
    <row r="3618">
      <c r="B3618" s="186" t="str">
        <f>IFERROR(__xludf.DUMMYFUNCTION("""COMPUTED_VALUE"""),"PI7469Y")</f>
        <v>PI7469Y</v>
      </c>
      <c r="C3618" s="186" t="str">
        <f>IFERROR(__xludf.DUMMYFUNCTION("""COMPUTED_VALUE"""),"GARRAFA TERMICA TEMPERATURA DO MEU HUMOR")</f>
        <v>GARRAFA TERMICA TEMPERATURA DO MEU HUMOR</v>
      </c>
      <c r="D3618" s="186" t="str">
        <f>IFERROR(__xludf.DUMMYFUNCTION("""COMPUTED_VALUE"""),"FALSO")</f>
        <v>FALSO</v>
      </c>
    </row>
    <row r="3619">
      <c r="B3619" s="186"/>
      <c r="C3619" s="186"/>
      <c r="D3619" s="186"/>
    </row>
    <row r="3620">
      <c r="B3620" s="186" t="str">
        <f>IFERROR(__xludf.DUMMYFUNCTION("""COMPUTED_VALUE"""),"PI6310Y")</f>
        <v>PI6310Y</v>
      </c>
      <c r="C3620" s="186" t="str">
        <f>IFERROR(__xludf.DUMMYFUNCTION("""COMPUTED_VALUE"""),"GARRAFA TÉRMICA UNIVERSO")</f>
        <v>GARRAFA TÉRMICA UNIVERSO</v>
      </c>
      <c r="D3620" s="186" t="str">
        <f>IFERROR(__xludf.DUMMYFUNCTION("""COMPUTED_VALUE"""),"FALSO")</f>
        <v>FALSO</v>
      </c>
    </row>
    <row r="3621">
      <c r="B3621" s="186" t="str">
        <f>IFERROR(__xludf.DUMMYFUNCTION("""COMPUTED_VALUE"""),"PI5249Y")</f>
        <v>PI5249Y</v>
      </c>
      <c r="C3621" s="186" t="str">
        <f>IFERROR(__xludf.DUMMYFUNCTION("""COMPUTED_VALUE"""),"GARRAFA TERMICA COM CASE HP HOGWARTS")</f>
        <v>GARRAFA TERMICA COM CASE HP HOGWARTS</v>
      </c>
      <c r="D3621" s="186" t="str">
        <f>IFERROR(__xludf.DUMMYFUNCTION("""COMPUTED_VALUE"""),"FALSO")</f>
        <v>FALSO</v>
      </c>
    </row>
    <row r="3622">
      <c r="B3622" s="186" t="str">
        <f>IFERROR(__xludf.DUMMYFUNCTION("""COMPUTED_VALUE"""),"PI5249Y")</f>
        <v>PI5249Y</v>
      </c>
      <c r="C3622" s="186" t="str">
        <f>IFERROR(__xludf.DUMMYFUNCTION("""COMPUTED_VALUE"""),"GARRAFA TERMICA COM CASE HP HOGWARTS")</f>
        <v>GARRAFA TERMICA COM CASE HP HOGWARTS</v>
      </c>
      <c r="D3622" s="186" t="str">
        <f>IFERROR(__xludf.DUMMYFUNCTION("""COMPUTED_VALUE"""),"FALSO")</f>
        <v>FALSO</v>
      </c>
    </row>
    <row r="3623">
      <c r="B3623" s="186" t="str">
        <f>IFERROR(__xludf.DUMMYFUNCTION("""COMPUTED_VALUE"""),"PI5249Y")</f>
        <v>PI5249Y</v>
      </c>
      <c r="C3623" s="186" t="str">
        <f>IFERROR(__xludf.DUMMYFUNCTION("""COMPUTED_VALUE"""),"GARRAFA TERMICA COM CASE HP HOGWARTS")</f>
        <v>GARRAFA TERMICA COM CASE HP HOGWARTS</v>
      </c>
      <c r="D3623" s="186" t="str">
        <f>IFERROR(__xludf.DUMMYFUNCTION("""COMPUTED_VALUE"""),"FALSO")</f>
        <v>FALSO</v>
      </c>
    </row>
    <row r="3624">
      <c r="B3624" s="186" t="str">
        <f>IFERROR(__xludf.DUMMYFUNCTION("""COMPUTED_VALUE"""),"PI5249Y")</f>
        <v>PI5249Y</v>
      </c>
      <c r="C3624" s="186" t="str">
        <f>IFERROR(__xludf.DUMMYFUNCTION("""COMPUTED_VALUE"""),"GARRAFA TERMICA COM CASE HP HOGWARTS")</f>
        <v>GARRAFA TERMICA COM CASE HP HOGWARTS</v>
      </c>
      <c r="D3624" s="186" t="str">
        <f>IFERROR(__xludf.DUMMYFUNCTION("""COMPUTED_VALUE"""),"FALSO")</f>
        <v>FALSO</v>
      </c>
    </row>
    <row r="3625">
      <c r="B3625" s="186" t="str">
        <f>IFERROR(__xludf.DUMMYFUNCTION("""COMPUTED_VALUE"""),"PI5249Y")</f>
        <v>PI5249Y</v>
      </c>
      <c r="C3625" s="186" t="str">
        <f>IFERROR(__xludf.DUMMYFUNCTION("""COMPUTED_VALUE"""),"GARRAFA TERMICA COM CASE HP HOGWARTS")</f>
        <v>GARRAFA TERMICA COM CASE HP HOGWARTS</v>
      </c>
      <c r="D3625" s="186" t="str">
        <f>IFERROR(__xludf.DUMMYFUNCTION("""COMPUTED_VALUE"""),"FALSO")</f>
        <v>FALSO</v>
      </c>
    </row>
    <row r="3626">
      <c r="B3626" s="186" t="str">
        <f>IFERROR(__xludf.DUMMYFUNCTION("""COMPUTED_VALUE"""),"PI5249Y")</f>
        <v>PI5249Y</v>
      </c>
      <c r="C3626" s="186" t="str">
        <f>IFERROR(__xludf.DUMMYFUNCTION("""COMPUTED_VALUE"""),"GARRAFA TERMICA COM CASE HP HOGWARTS")</f>
        <v>GARRAFA TERMICA COM CASE HP HOGWARTS</v>
      </c>
      <c r="D3626" s="186" t="str">
        <f>IFERROR(__xludf.DUMMYFUNCTION("""COMPUTED_VALUE"""),"FALSO")</f>
        <v>FALSO</v>
      </c>
    </row>
    <row r="3627">
      <c r="B3627" s="186" t="str">
        <f>IFERROR(__xludf.DUMMYFUNCTION("""COMPUTED_VALUE"""),"PI5249Y")</f>
        <v>PI5249Y</v>
      </c>
      <c r="C3627" s="186" t="str">
        <f>IFERROR(__xludf.DUMMYFUNCTION("""COMPUTED_VALUE"""),"GARRAFA TERMICA COM CASE HP HOGWARTS")</f>
        <v>GARRAFA TERMICA COM CASE HP HOGWARTS</v>
      </c>
      <c r="D3627" s="186" t="str">
        <f>IFERROR(__xludf.DUMMYFUNCTION("""COMPUTED_VALUE"""),"FALSO")</f>
        <v>FALSO</v>
      </c>
    </row>
    <row r="3628">
      <c r="B3628" s="186" t="str">
        <f>IFERROR(__xludf.DUMMYFUNCTION("""COMPUTED_VALUE"""),"PI3954Y")</f>
        <v>PI3954Y</v>
      </c>
      <c r="C3628" s="186" t="str">
        <f>IFERROR(__xludf.DUMMYFUNCTION("""COMPUTED_VALUE"""),"GARRAFA TERMICA COM CANECA CAFE HOJE")</f>
        <v>GARRAFA TERMICA COM CANECA CAFE HOJE</v>
      </c>
      <c r="D3628" s="186" t="str">
        <f>IFERROR(__xludf.DUMMYFUNCTION("""COMPUTED_VALUE"""),"FALSO")</f>
        <v>FALSO</v>
      </c>
    </row>
    <row r="3629">
      <c r="B3629" s="186" t="str">
        <f>IFERROR(__xludf.DUMMYFUNCTION("""COMPUTED_VALUE"""),"PI3954Y")</f>
        <v>PI3954Y</v>
      </c>
      <c r="C3629" s="186" t="str">
        <f>IFERROR(__xludf.DUMMYFUNCTION("""COMPUTED_VALUE"""),"GARRAFA TERMICA COM CANECA CAFE HOJE")</f>
        <v>GARRAFA TERMICA COM CANECA CAFE HOJE</v>
      </c>
      <c r="D3629" s="186" t="str">
        <f>IFERROR(__xludf.DUMMYFUNCTION("""COMPUTED_VALUE"""),"FALSO")</f>
        <v>FALSO</v>
      </c>
    </row>
    <row r="3630">
      <c r="B3630" s="186" t="str">
        <f>IFERROR(__xludf.DUMMYFUNCTION("""COMPUTED_VALUE"""),"PI5320Y")</f>
        <v>PI5320Y</v>
      </c>
      <c r="C3630" s="186" t="str">
        <f>IFERROR(__xludf.DUMMYFUNCTION("""COMPUTED_VALUE"""),"GARRAFA TERMICA NA PILHA")</f>
        <v>GARRAFA TERMICA NA PILHA</v>
      </c>
      <c r="D3630" s="186" t="str">
        <f>IFERROR(__xludf.DUMMYFUNCTION("""COMPUTED_VALUE"""),"FALSO")</f>
        <v>FALSO</v>
      </c>
    </row>
    <row r="3631">
      <c r="B3631" s="186" t="str">
        <f>IFERROR(__xludf.DUMMYFUNCTION("""COMPUTED_VALUE"""),"PI5320Y")</f>
        <v>PI5320Y</v>
      </c>
      <c r="C3631" s="186" t="str">
        <f>IFERROR(__xludf.DUMMYFUNCTION("""COMPUTED_VALUE"""),"GARRAFA TERMICA NA PILHA")</f>
        <v>GARRAFA TERMICA NA PILHA</v>
      </c>
      <c r="D3631" s="186" t="str">
        <f>IFERROR(__xludf.DUMMYFUNCTION("""COMPUTED_VALUE"""),"FALSO")</f>
        <v>FALSO</v>
      </c>
    </row>
    <row r="3632">
      <c r="B3632" s="186" t="str">
        <f>IFERROR(__xludf.DUMMYFUNCTION("""COMPUTED_VALUE"""),"PI5320Y")</f>
        <v>PI5320Y</v>
      </c>
      <c r="C3632" s="186" t="str">
        <f>IFERROR(__xludf.DUMMYFUNCTION("""COMPUTED_VALUE"""),"GARRAFA TERMICA NA PILHA")</f>
        <v>GARRAFA TERMICA NA PILHA</v>
      </c>
      <c r="D3632" s="186" t="str">
        <f>IFERROR(__xludf.DUMMYFUNCTION("""COMPUTED_VALUE"""),"FALSO")</f>
        <v>FALSO</v>
      </c>
    </row>
    <row r="3633">
      <c r="B3633" s="186" t="str">
        <f>IFERROR(__xludf.DUMMYFUNCTION("""COMPUTED_VALUE"""),"PI5320Y")</f>
        <v>PI5320Y</v>
      </c>
      <c r="C3633" s="186" t="str">
        <f>IFERROR(__xludf.DUMMYFUNCTION("""COMPUTED_VALUE"""),"GARRAFA TERMICA NA PILHA")</f>
        <v>GARRAFA TERMICA NA PILHA</v>
      </c>
      <c r="D3633" s="186" t="str">
        <f>IFERROR(__xludf.DUMMYFUNCTION("""COMPUTED_VALUE"""),"FALSO")</f>
        <v>FALSO</v>
      </c>
    </row>
    <row r="3634">
      <c r="B3634" s="186" t="str">
        <f>IFERROR(__xludf.DUMMYFUNCTION("""COMPUTED_VALUE"""),"PI5320Y")</f>
        <v>PI5320Y</v>
      </c>
      <c r="C3634" s="186" t="str">
        <f>IFERROR(__xludf.DUMMYFUNCTION("""COMPUTED_VALUE"""),"GARRAFA TERMICA NA PILHA")</f>
        <v>GARRAFA TERMICA NA PILHA</v>
      </c>
      <c r="D3634" s="186" t="str">
        <f>IFERROR(__xludf.DUMMYFUNCTION("""COMPUTED_VALUE"""),"FALSO")</f>
        <v>FALSO</v>
      </c>
    </row>
    <row r="3635">
      <c r="B3635" s="186" t="str">
        <f>IFERROR(__xludf.DUMMYFUNCTION("""COMPUTED_VALUE"""),"PI7355Y")</f>
        <v>PI7355Y</v>
      </c>
      <c r="C3635" s="186" t="str">
        <f>IFERROR(__xludf.DUMMYFUNCTION("""COMPUTED_VALUE"""),"GARRAFA TERMICA COM ALCA BOTANICA")</f>
        <v>GARRAFA TERMICA COM ALCA BOTANICA</v>
      </c>
      <c r="D3635" s="186" t="str">
        <f>IFERROR(__xludf.DUMMYFUNCTION("""COMPUTED_VALUE"""),"FALSO")</f>
        <v>FALSO</v>
      </c>
    </row>
    <row r="3636">
      <c r="B3636" s="186" t="str">
        <f>IFERROR(__xludf.DUMMYFUNCTION("""COMPUTED_VALUE"""),"PI5509Y")</f>
        <v>PI5509Y</v>
      </c>
      <c r="C3636" s="186" t="str">
        <f>IFERROR(__xludf.DUMMYFUNCTION("""COMPUTED_VALUE"""),"GARRAFA TERMICA COM CANECA CAFE PASSADO")</f>
        <v>GARRAFA TERMICA COM CANECA CAFE PASSADO</v>
      </c>
      <c r="D3636" s="186" t="str">
        <f>IFERROR(__xludf.DUMMYFUNCTION("""COMPUTED_VALUE"""),"FALSO")</f>
        <v>FALSO</v>
      </c>
    </row>
    <row r="3637">
      <c r="B3637" s="186" t="str">
        <f>IFERROR(__xludf.DUMMYFUNCTION("""COMPUTED_VALUE"""),"PI5508Y")</f>
        <v>PI5508Y</v>
      </c>
      <c r="C3637" s="186" t="str">
        <f>IFERROR(__xludf.DUMMYFUNCTION("""COMPUTED_VALUE"""),"GARRAFA TERMICA COM CANECA ME DE CAFE")</f>
        <v>GARRAFA TERMICA COM CANECA ME DE CAFE</v>
      </c>
      <c r="D3637" s="186" t="str">
        <f>IFERROR(__xludf.DUMMYFUNCTION("""COMPUTED_VALUE"""),"FALSO")</f>
        <v>FALSO</v>
      </c>
    </row>
    <row r="3638">
      <c r="B3638" s="186" t="str">
        <f>IFERROR(__xludf.DUMMYFUNCTION("""COMPUTED_VALUE"""),"PI5508Y")</f>
        <v>PI5508Y</v>
      </c>
      <c r="C3638" s="186" t="str">
        <f>IFERROR(__xludf.DUMMYFUNCTION("""COMPUTED_VALUE"""),"GARRAFA TERMICA COM CANECA ME DE CAFE")</f>
        <v>GARRAFA TERMICA COM CANECA ME DE CAFE</v>
      </c>
      <c r="D3638" s="186" t="str">
        <f>IFERROR(__xludf.DUMMYFUNCTION("""COMPUTED_VALUE"""),"FALSO")</f>
        <v>FALSO</v>
      </c>
    </row>
    <row r="3639">
      <c r="B3639" s="186" t="str">
        <f>IFERROR(__xludf.DUMMYFUNCTION("""COMPUTED_VALUE"""),"PI7912Y")</f>
        <v>PI7912Y</v>
      </c>
      <c r="C3639" s="186" t="str">
        <f>IFERROR(__xludf.DUMMYFUNCTION("""COMPUTED_VALUE"""),"GARRAFA TERMICA COM PENDENTE AZUL CLARO")</f>
        <v>GARRAFA TERMICA COM PENDENTE AZUL CLARO</v>
      </c>
      <c r="D3639" s="186" t="str">
        <f>IFERROR(__xludf.DUMMYFUNCTION("""COMPUTED_VALUE"""),"FALSO")</f>
        <v>FALSO</v>
      </c>
    </row>
    <row r="3640">
      <c r="B3640" s="186" t="str">
        <f>IFERROR(__xludf.DUMMYFUNCTION("""COMPUTED_VALUE"""),"PI7911Y")</f>
        <v>PI7911Y</v>
      </c>
      <c r="C3640" s="186" t="str">
        <f>IFERROR(__xludf.DUMMYFUNCTION("""COMPUTED_VALUE"""),"ARRAFA TERMICA COM PENDENTE VERDE CLARO")</f>
        <v>ARRAFA TERMICA COM PENDENTE VERDE CLARO</v>
      </c>
      <c r="D3640" s="186" t="str">
        <f>IFERROR(__xludf.DUMMYFUNCTION("""COMPUTED_VALUE"""),"FALSO")</f>
        <v>FALSO</v>
      </c>
    </row>
    <row r="3641">
      <c r="B3641" s="186" t="str">
        <f>IFERROR(__xludf.DUMMYFUNCTION("""COMPUTED_VALUE"""),"PI7910Y")</f>
        <v>PI7910Y</v>
      </c>
      <c r="C3641" s="186" t="str">
        <f>IFERROR(__xludf.DUMMYFUNCTION("""COMPUTED_VALUE"""),"GARRAFA TERMICA COM PENDENTE LILAS")</f>
        <v>GARRAFA TERMICA COM PENDENTE LILAS</v>
      </c>
      <c r="D3641" s="186" t="str">
        <f>IFERROR(__xludf.DUMMYFUNCTION("""COMPUTED_VALUE"""),"FALSO")</f>
        <v>FALSO</v>
      </c>
    </row>
    <row r="3642">
      <c r="B3642" s="186" t="str">
        <f>IFERROR(__xludf.DUMMYFUNCTION("""COMPUTED_VALUE"""),"PI6318Y")</f>
        <v>PI6318Y</v>
      </c>
      <c r="C3642" s="186" t="str">
        <f>IFERROR(__xludf.DUMMYFUNCTION("""COMPUTED_VALUE"""),"GARRAFA TÉRMICA COM ADESIVOS BOM DEMAIS")</f>
        <v>GARRAFA TÉRMICA COM ADESIVOS BOM DEMAIS</v>
      </c>
      <c r="D3642" s="186" t="str">
        <f>IFERROR(__xludf.DUMMYFUNCTION("""COMPUTED_VALUE"""),"FALSO")</f>
        <v>FALSO</v>
      </c>
    </row>
    <row r="3643">
      <c r="B3643" s="186" t="str">
        <f>IFERROR(__xludf.DUMMYFUNCTION("""COMPUTED_VALUE"""),"PI6315Y")</f>
        <v>PI6315Y</v>
      </c>
      <c r="C3643" s="186" t="str">
        <f>IFERROR(__xludf.DUMMYFUNCTION("""COMPUTED_VALUE"""),"GARRAFA TERMICA COM ALCA INTUICAO")</f>
        <v>GARRAFA TERMICA COM ALCA INTUICAO</v>
      </c>
      <c r="D3643" s="186" t="str">
        <f>IFERROR(__xludf.DUMMYFUNCTION("""COMPUTED_VALUE"""),"FALSO")</f>
        <v>FALSO</v>
      </c>
    </row>
    <row r="3644">
      <c r="B3644" s="186" t="str">
        <f>IFERROR(__xludf.DUMMYFUNCTION("""COMPUTED_VALUE"""),"PI6320Y")</f>
        <v>PI6320Y</v>
      </c>
      <c r="C3644" s="186" t="str">
        <f>IFERROR(__xludf.DUMMYFUNCTION("""COMPUTED_VALUE"""),"GARRAFA TÉRMICA COM ALÇA LISTRAS")</f>
        <v>GARRAFA TÉRMICA COM ALÇA LISTRAS</v>
      </c>
      <c r="D3644" s="186" t="str">
        <f>IFERROR(__xludf.DUMMYFUNCTION("""COMPUTED_VALUE"""),"FALSO")</f>
        <v>FALSO</v>
      </c>
    </row>
    <row r="3645">
      <c r="B3645" s="186" t="str">
        <f>IFERROR(__xludf.DUMMYFUNCTION("""COMPUTED_VALUE"""),"PI5527Y")</f>
        <v>PI5527Y</v>
      </c>
      <c r="C3645" s="186" t="str">
        <f>IFERROR(__xludf.DUMMYFUNCTION("""COMPUTED_VALUE"""),"GARRAFA TERMICA COM ALCA POR ONDE FLOR")</f>
        <v>GARRAFA TERMICA COM ALCA POR ONDE FLOR</v>
      </c>
      <c r="D3645" s="186" t="str">
        <f>IFERROR(__xludf.DUMMYFUNCTION("""COMPUTED_VALUE"""),"FALSO")</f>
        <v>FALSO</v>
      </c>
    </row>
    <row r="3646">
      <c r="B3646" s="186" t="str">
        <f>IFERROR(__xludf.DUMMYFUNCTION("""COMPUTED_VALUE"""),"PI5527Y")</f>
        <v>PI5527Y</v>
      </c>
      <c r="C3646" s="186" t="str">
        <f>IFERROR(__xludf.DUMMYFUNCTION("""COMPUTED_VALUE"""),"GARRAFA TERMICA COM ALCA POR ONDE FLOR")</f>
        <v>GARRAFA TERMICA COM ALCA POR ONDE FLOR</v>
      </c>
      <c r="D3646" s="186" t="str">
        <f>IFERROR(__xludf.DUMMYFUNCTION("""COMPUTED_VALUE"""),"FALSO")</f>
        <v>FALSO</v>
      </c>
    </row>
    <row r="3647">
      <c r="B3647" s="186" t="str">
        <f>IFERROR(__xludf.DUMMYFUNCTION("""COMPUTED_VALUE"""),"PI5527Y")</f>
        <v>PI5527Y</v>
      </c>
      <c r="C3647" s="186" t="str">
        <f>IFERROR(__xludf.DUMMYFUNCTION("""COMPUTED_VALUE"""),"GARRAFA TERMICA COM ALCA POR ONDE FLOR")</f>
        <v>GARRAFA TERMICA COM ALCA POR ONDE FLOR</v>
      </c>
      <c r="D3647" s="186" t="str">
        <f>IFERROR(__xludf.DUMMYFUNCTION("""COMPUTED_VALUE"""),"FALSO")</f>
        <v>FALSO</v>
      </c>
    </row>
    <row r="3648">
      <c r="B3648" s="186" t="str">
        <f>IFERROR(__xludf.DUMMYFUNCTION("""COMPUTED_VALUE"""),"PI6308Y")</f>
        <v>PI6308Y</v>
      </c>
      <c r="C3648" s="186" t="str">
        <f>IFERROR(__xludf.DUMMYFUNCTION("""COMPUTED_VALUE"""),"GARRAFA TÉRMICA COM CANUDO AZUL E VERDE")</f>
        <v>GARRAFA TÉRMICA COM CANUDO AZUL E VERDE</v>
      </c>
      <c r="D3648" s="186" t="str">
        <f>IFERROR(__xludf.DUMMYFUNCTION("""COMPUTED_VALUE"""),"FALSO")</f>
        <v>FALSO</v>
      </c>
    </row>
    <row r="3649">
      <c r="B3649" s="186" t="str">
        <f>IFERROR(__xludf.DUMMYFUNCTION("""COMPUTED_VALUE"""),"PI7178Y")</f>
        <v>PI7178Y</v>
      </c>
      <c r="C3649" s="186" t="str">
        <f>IFERROR(__xludf.DUMMYFUNCTION("""COMPUTED_VALUE"""),"GARRAFA TERMICA COM CANUDO GATINHOS")</f>
        <v>GARRAFA TERMICA COM CANUDO GATINHOS</v>
      </c>
      <c r="D3649" s="186" t="str">
        <f>IFERROR(__xludf.DUMMYFUNCTION("""COMPUTED_VALUE"""),"FALSO")</f>
        <v>FALSO</v>
      </c>
    </row>
    <row r="3650">
      <c r="B3650" s="186" t="str">
        <f>IFERROR(__xludf.DUMMYFUNCTION("""COMPUTED_VALUE"""),"PI6307Y")</f>
        <v>PI6307Y</v>
      </c>
      <c r="C3650" s="186" t="str">
        <f>IFERROR(__xludf.DUMMYFUNCTION("""COMPUTED_VALUE"""),"GARRAFA TÉRMICA COM CANUDO ROSA GLITTER")</f>
        <v>GARRAFA TÉRMICA COM CANUDO ROSA GLITTER</v>
      </c>
      <c r="D3650" s="186" t="str">
        <f>IFERROR(__xludf.DUMMYFUNCTION("""COMPUTED_VALUE"""),"FALSO")</f>
        <v>FALSO</v>
      </c>
    </row>
    <row r="3651">
      <c r="B3651" s="186" t="str">
        <f>IFERROR(__xludf.DUMMYFUNCTION("""COMPUTED_VALUE"""),"PI7105Y")</f>
        <v>PI7105Y</v>
      </c>
      <c r="C3651" s="186" t="str">
        <f>IFERROR(__xludf.DUMMYFUNCTION("""COMPUTED_VALUE"""),"GARRAFA TERMICA COM ALCA GATO PRETO")</f>
        <v>GARRAFA TERMICA COM ALCA GATO PRETO</v>
      </c>
      <c r="D3651" s="186" t="str">
        <f>IFERROR(__xludf.DUMMYFUNCTION("""COMPUTED_VALUE"""),"FALSO")</f>
        <v>FALSO</v>
      </c>
    </row>
    <row r="3652">
      <c r="B3652" s="186" t="str">
        <f>IFERROR(__xludf.DUMMYFUNCTION("""COMPUTED_VALUE"""),"PI5520Y")</f>
        <v>PI5520Y</v>
      </c>
      <c r="C3652" s="186" t="str">
        <f>IFERROR(__xludf.DUMMYFUNCTION("""COMPUTED_VALUE"""),"GARRAFA TERMICA E INFUSOR CHA PRA LEVAR")</f>
        <v>GARRAFA TERMICA E INFUSOR CHA PRA LEVAR</v>
      </c>
      <c r="D3652" s="186" t="str">
        <f>IFERROR(__xludf.DUMMYFUNCTION("""COMPUTED_VALUE"""),"FALSO")</f>
        <v>FALSO</v>
      </c>
    </row>
    <row r="3653">
      <c r="B3653" s="186" t="str">
        <f>IFERROR(__xludf.DUMMYFUNCTION("""COMPUTED_VALUE"""),"PI5520Y")</f>
        <v>PI5520Y</v>
      </c>
      <c r="C3653" s="186" t="str">
        <f>IFERROR(__xludf.DUMMYFUNCTION("""COMPUTED_VALUE"""),"GARRAFA TERMICA E INFUSOR CHA PRA LEVAR")</f>
        <v>GARRAFA TERMICA E INFUSOR CHA PRA LEVAR</v>
      </c>
      <c r="D3653" s="186" t="str">
        <f>IFERROR(__xludf.DUMMYFUNCTION("""COMPUTED_VALUE"""),"FALSO")</f>
        <v>FALSO</v>
      </c>
    </row>
    <row r="3654">
      <c r="B3654" s="186" t="str">
        <f>IFERROR(__xludf.DUMMYFUNCTION("""COMPUTED_VALUE"""),"PI5115Y")</f>
        <v>PI5115Y</v>
      </c>
      <c r="C3654" s="186" t="str">
        <f>IFERROR(__xludf.DUMMYFUNCTION("""COMPUTED_VALUE"""),"GARRAFA TERMICA ZECA VERDE")</f>
        <v>GARRAFA TERMICA ZECA VERDE</v>
      </c>
      <c r="D3654" s="186" t="str">
        <f>IFERROR(__xludf.DUMMYFUNCTION("""COMPUTED_VALUE"""),"FALSO")</f>
        <v>FALSO</v>
      </c>
    </row>
    <row r="3655">
      <c r="B3655" s="186" t="str">
        <f>IFERROR(__xludf.DUMMYFUNCTION("""COMPUTED_VALUE"""),"PI5925Y")</f>
        <v>PI5925Y</v>
      </c>
      <c r="C3655" s="186" t="str">
        <f>IFERROR(__xludf.DUMMYFUNCTION("""COMPUTED_VALUE"""),"COOLER TERMICO GEL PARA GARRAFA PINGUIM")</f>
        <v>COOLER TERMICO GEL PARA GARRAFA PINGUIM</v>
      </c>
      <c r="D3655" s="186" t="str">
        <f>IFERROR(__xludf.DUMMYFUNCTION("""COMPUTED_VALUE"""),"FALSO")</f>
        <v>FALSO</v>
      </c>
    </row>
    <row r="3656">
      <c r="B3656" s="186" t="str">
        <f>IFERROR(__xludf.DUMMYFUNCTION("""COMPUTED_VALUE"""),"PI5317Y")</f>
        <v>PI5317Y</v>
      </c>
      <c r="C3656" s="186" t="str">
        <f>IFERROR(__xludf.DUMMYFUNCTION("""COMPUTED_VALUE"""),"COPO TERMICO LATINHA STOUT COM SEDE")</f>
        <v>COPO TERMICO LATINHA STOUT COM SEDE</v>
      </c>
      <c r="D3656" s="186" t="str">
        <f>IFERROR(__xludf.DUMMYFUNCTION("""COMPUTED_VALUE"""),"FALSO")</f>
        <v>FALSO</v>
      </c>
    </row>
    <row r="3657">
      <c r="B3657" s="186" t="str">
        <f>IFERROR(__xludf.DUMMYFUNCTION("""COMPUTED_VALUE"""),"PI7734Y")</f>
        <v>PI7734Y</v>
      </c>
      <c r="C3657" s="186" t="str">
        <f>IFERROR(__xludf.DUMMYFUNCTION("""COMPUTED_VALUE"""),"CASE PARA COPO TERMICO DIA INTEIRO")</f>
        <v>CASE PARA COPO TERMICO DIA INTEIRO</v>
      </c>
      <c r="D3657" s="186" t="str">
        <f>IFERROR(__xludf.DUMMYFUNCTION("""COMPUTED_VALUE"""),"FALSO")</f>
        <v>FALSO</v>
      </c>
    </row>
    <row r="3658">
      <c r="B3658" s="186" t="str">
        <f>IFERROR(__xludf.DUMMYFUNCTION("""COMPUTED_VALUE"""),"PI7735Y")</f>
        <v>PI7735Y</v>
      </c>
      <c r="C3658" s="186" t="str">
        <f>IFERROR(__xludf.DUMMYFUNCTION("""COMPUTED_VALUE"""),"CASE PARA COPO TERMICO SOBREVIVENCIA")</f>
        <v>CASE PARA COPO TERMICO SOBREVIVENCIA</v>
      </c>
      <c r="D3658" s="186" t="str">
        <f>IFERROR(__xludf.DUMMYFUNCTION("""COMPUTED_VALUE"""),"FALSO")</f>
        <v>FALSO</v>
      </c>
    </row>
    <row r="3659">
      <c r="B3659" s="186" t="str">
        <f>IFERROR(__xludf.DUMMYFUNCTION("""COMPUTED_VALUE"""),"PI6322Y")</f>
        <v>PI6322Y</v>
      </c>
      <c r="C3659" s="186" t="str">
        <f>IFERROR(__xludf.DUMMYFUNCTION("""COMPUTED_VALUE"""),"COPO PARA VIAGEM CAFE")</f>
        <v>COPO PARA VIAGEM CAFE</v>
      </c>
      <c r="D3659" s="186" t="str">
        <f>IFERROR(__xludf.DUMMYFUNCTION("""COMPUTED_VALUE"""),"FALSO")</f>
        <v>FALSO</v>
      </c>
    </row>
    <row r="3660">
      <c r="B3660" s="186" t="str">
        <f>IFERROR(__xludf.DUMMYFUNCTION("""COMPUTED_VALUE"""),"PI4198Y")</f>
        <v>PI4198Y</v>
      </c>
      <c r="C3660" s="186" t="str">
        <f>IFERROR(__xludf.DUMMYFUNCTION("""COMPUTED_VALUE"""),"COPO TERMICO CORTICA PRIORIDADES")</f>
        <v>COPO TERMICO CORTICA PRIORIDADES</v>
      </c>
      <c r="D3660" s="186" t="str">
        <f>IFERROR(__xludf.DUMMYFUNCTION("""COMPUTED_VALUE"""),"FALSO")</f>
        <v>FALSO</v>
      </c>
    </row>
    <row r="3661">
      <c r="B3661" s="186" t="str">
        <f>IFERROR(__xludf.DUMMYFUNCTION("""COMPUTED_VALUE"""),"PI4198Y")</f>
        <v>PI4198Y</v>
      </c>
      <c r="C3661" s="186" t="str">
        <f>IFERROR(__xludf.DUMMYFUNCTION("""COMPUTED_VALUE"""),"COPO TERMICO CORTICA PRIORIDADES")</f>
        <v>COPO TERMICO CORTICA PRIORIDADES</v>
      </c>
      <c r="D3661" s="186" t="str">
        <f>IFERROR(__xludf.DUMMYFUNCTION("""COMPUTED_VALUE"""),"FALSO")</f>
        <v>FALSO</v>
      </c>
    </row>
    <row r="3662">
      <c r="B3662" s="186" t="str">
        <f>IFERROR(__xludf.DUMMYFUNCTION("""COMPUTED_VALUE"""),"PI4198Y")</f>
        <v>PI4198Y</v>
      </c>
      <c r="C3662" s="186" t="str">
        <f>IFERROR(__xludf.DUMMYFUNCTION("""COMPUTED_VALUE"""),"COPO TERMICO CORTICA PRIORIDADES")</f>
        <v>COPO TERMICO CORTICA PRIORIDADES</v>
      </c>
      <c r="D3662" s="186" t="str">
        <f>IFERROR(__xludf.DUMMYFUNCTION("""COMPUTED_VALUE"""),"FALSO")</f>
        <v>FALSO</v>
      </c>
    </row>
    <row r="3663">
      <c r="B3663" s="186" t="str">
        <f>IFERROR(__xludf.DUMMYFUNCTION("""COMPUTED_VALUE"""),"PI4198Y")</f>
        <v>PI4198Y</v>
      </c>
      <c r="C3663" s="186" t="str">
        <f>IFERROR(__xludf.DUMMYFUNCTION("""COMPUTED_VALUE"""),"COPO TERMICO CORTICA PRIORIDADES")</f>
        <v>COPO TERMICO CORTICA PRIORIDADES</v>
      </c>
      <c r="D3663" s="186" t="str">
        <f>IFERROR(__xludf.DUMMYFUNCTION("""COMPUTED_VALUE"""),"FALSO")</f>
        <v>FALSO</v>
      </c>
    </row>
    <row r="3664">
      <c r="B3664" s="186" t="str">
        <f>IFERROR(__xludf.DUMMYFUNCTION("""COMPUTED_VALUE"""),"PI4198Y")</f>
        <v>PI4198Y</v>
      </c>
      <c r="C3664" s="186" t="str">
        <f>IFERROR(__xludf.DUMMYFUNCTION("""COMPUTED_VALUE"""),"COPO TERMICO CORTICA PRIORIDADES")</f>
        <v>COPO TERMICO CORTICA PRIORIDADES</v>
      </c>
      <c r="D3664" s="186" t="str">
        <f>IFERROR(__xludf.DUMMYFUNCTION("""COMPUTED_VALUE"""),"FALSO")</f>
        <v>FALSO</v>
      </c>
    </row>
    <row r="3665">
      <c r="B3665" s="186" t="str">
        <f>IFERROR(__xludf.DUMMYFUNCTION("""COMPUTED_VALUE"""),"PI6340Y")</f>
        <v>PI6340Y</v>
      </c>
      <c r="C3665" s="186" t="str">
        <f>IFERROR(__xludf.DUMMYFUNCTION("""COMPUTED_VALUE"""),"PORTA-LATAS PRIORIDADES")</f>
        <v>PORTA-LATAS PRIORIDADES</v>
      </c>
      <c r="D3665" s="186" t="str">
        <f>IFERROR(__xludf.DUMMYFUNCTION("""COMPUTED_VALUE"""),"FALSO")</f>
        <v>FALSO</v>
      </c>
    </row>
    <row r="3666">
      <c r="B3666" s="186" t="str">
        <f>IFERROR(__xludf.DUMMYFUNCTION("""COMPUTED_VALUE"""),"PI6332Y")</f>
        <v>PI6332Y</v>
      </c>
      <c r="C3666" s="186" t="str">
        <f>IFERROR(__xludf.DUMMYFUNCTION("""COMPUTED_VALUE"""),"COPO PARA VIAGEM TEM CAFÉ")</f>
        <v>COPO PARA VIAGEM TEM CAFÉ</v>
      </c>
      <c r="D3666" s="186" t="str">
        <f>IFERROR(__xludf.DUMMYFUNCTION("""COMPUTED_VALUE"""),"FALSO")</f>
        <v>FALSO</v>
      </c>
    </row>
    <row r="3667">
      <c r="B3667" s="186" t="str">
        <f>IFERROR(__xludf.DUMMYFUNCTION("""COMPUTED_VALUE"""),"PI6333Y")</f>
        <v>PI6333Y</v>
      </c>
      <c r="C3667" s="186" t="str">
        <f>IFERROR(__xludf.DUMMYFUNCTION("""COMPUTED_VALUE"""),"COPO TÉRMICO PARA VIAGEM INSPIRA")</f>
        <v>COPO TÉRMICO PARA VIAGEM INSPIRA</v>
      </c>
      <c r="D3667" s="186" t="str">
        <f>IFERROR(__xludf.DUMMYFUNCTION("""COMPUTED_VALUE"""),"FALSO")</f>
        <v>FALSO</v>
      </c>
    </row>
    <row r="3668">
      <c r="B3668" s="186" t="str">
        <f>IFERROR(__xludf.DUMMYFUNCTION("""COMPUTED_VALUE"""),"PI6330Y")</f>
        <v>PI6330Y</v>
      </c>
      <c r="C3668" s="186" t="str">
        <f>IFERROR(__xludf.DUMMYFUNCTION("""COMPUTED_VALUE"""),"COPO TÉRMICO HP HOGWARTS EXPRESS")</f>
        <v>COPO TÉRMICO HP HOGWARTS EXPRESS</v>
      </c>
      <c r="D3668" s="186" t="str">
        <f>IFERROR(__xludf.DUMMYFUNCTION("""COMPUTED_VALUE"""),"FALSO")</f>
        <v>FALSO</v>
      </c>
    </row>
    <row r="3669">
      <c r="B3669" s="186" t="str">
        <f>IFERROR(__xludf.DUMMYFUNCTION("""COMPUTED_VALUE"""),"PI6334Y")</f>
        <v>PI6334Y</v>
      </c>
      <c r="C3669" s="186" t="str">
        <f>IFERROR(__xludf.DUMMYFUNCTION("""COMPUTED_VALUE"""),"COPO PARA VIAGEM CAMERA FOTOGRAFICA")</f>
        <v>COPO PARA VIAGEM CAMERA FOTOGRAFICA</v>
      </c>
      <c r="D3669" s="186" t="str">
        <f>IFERROR(__xludf.DUMMYFUNCTION("""COMPUTED_VALUE"""),"FALSO")</f>
        <v>FALSO</v>
      </c>
    </row>
    <row r="3670">
      <c r="B3670" s="186" t="str">
        <f>IFERROR(__xludf.DUMMYFUNCTION("""COMPUTED_VALUE"""),"PI6334Y")</f>
        <v>PI6334Y</v>
      </c>
      <c r="C3670" s="186" t="str">
        <f>IFERROR(__xludf.DUMMYFUNCTION("""COMPUTED_VALUE"""),"COPO PARA VIAGEM CAMERA FOTOGRAFICA")</f>
        <v>COPO PARA VIAGEM CAMERA FOTOGRAFICA</v>
      </c>
      <c r="D3670" s="186" t="str">
        <f>IFERROR(__xludf.DUMMYFUNCTION("""COMPUTED_VALUE"""),"FALSO")</f>
        <v>FALSO</v>
      </c>
    </row>
    <row r="3671">
      <c r="B3671" s="186" t="str">
        <f>IFERROR(__xludf.DUMMYFUNCTION("""COMPUTED_VALUE"""),"PI6334Y")</f>
        <v>PI6334Y</v>
      </c>
      <c r="C3671" s="186" t="str">
        <f>IFERROR(__xludf.DUMMYFUNCTION("""COMPUTED_VALUE"""),"COPO PARA VIAGEM CAMERA FOTOGRAFICA")</f>
        <v>COPO PARA VIAGEM CAMERA FOTOGRAFICA</v>
      </c>
      <c r="D3671" s="186" t="str">
        <f>IFERROR(__xludf.DUMMYFUNCTION("""COMPUTED_VALUE"""),"FALSO")</f>
        <v>FALSO</v>
      </c>
    </row>
    <row r="3672">
      <c r="B3672" s="186" t="str">
        <f>IFERROR(__xludf.DUMMYFUNCTION("""COMPUTED_VALUE"""),"PI6334Y")</f>
        <v>PI6334Y</v>
      </c>
      <c r="C3672" s="186" t="str">
        <f>IFERROR(__xludf.DUMMYFUNCTION("""COMPUTED_VALUE"""),"COPO PARA VIAGEM CAMERA FOTOGRAFICA")</f>
        <v>COPO PARA VIAGEM CAMERA FOTOGRAFICA</v>
      </c>
      <c r="D3672" s="186" t="str">
        <f>IFERROR(__xludf.DUMMYFUNCTION("""COMPUTED_VALUE"""),"FALSO")</f>
        <v>FALSO</v>
      </c>
    </row>
    <row r="3673">
      <c r="B3673" s="186" t="str">
        <f>IFERROR(__xludf.DUMMYFUNCTION("""COMPUTED_VALUE"""),"PI6334Y")</f>
        <v>PI6334Y</v>
      </c>
      <c r="C3673" s="186" t="str">
        <f>IFERROR(__xludf.DUMMYFUNCTION("""COMPUTED_VALUE"""),"COPO PARA VIAGEM CAMERA FOTOGRAFICA")</f>
        <v>COPO PARA VIAGEM CAMERA FOTOGRAFICA</v>
      </c>
      <c r="D3673" s="186" t="str">
        <f>IFERROR(__xludf.DUMMYFUNCTION("""COMPUTED_VALUE"""),"FALSO")</f>
        <v>FALSO</v>
      </c>
    </row>
    <row r="3674">
      <c r="B3674" s="186" t="str">
        <f>IFERROR(__xludf.DUMMYFUNCTION("""COMPUTED_VALUE"""),"PI5197Y")</f>
        <v>PI5197Y</v>
      </c>
      <c r="C3674" s="186" t="str">
        <f>IFERROR(__xludf.DUMMYFUNCTION("""COMPUTED_VALUE"""),"COPO TERMICO DESCONTRACAO PRA VIAGEM")</f>
        <v>COPO TERMICO DESCONTRACAO PRA VIAGEM</v>
      </c>
      <c r="D3674" s="186" t="str">
        <f>IFERROR(__xludf.DUMMYFUNCTION("""COMPUTED_VALUE"""),"FALSO")</f>
        <v>FALSO</v>
      </c>
    </row>
    <row r="3675">
      <c r="B3675" s="186" t="str">
        <f>IFERROR(__xludf.DUMMYFUNCTION("""COMPUTED_VALUE"""),"PI5197Y")</f>
        <v>PI5197Y</v>
      </c>
      <c r="C3675" s="186" t="str">
        <f>IFERROR(__xludf.DUMMYFUNCTION("""COMPUTED_VALUE"""),"COPO TERMICO DESCONTRACAO PRA VIAGEM")</f>
        <v>COPO TERMICO DESCONTRACAO PRA VIAGEM</v>
      </c>
      <c r="D3675" s="186" t="str">
        <f>IFERROR(__xludf.DUMMYFUNCTION("""COMPUTED_VALUE"""),"FALSO")</f>
        <v>FALSO</v>
      </c>
    </row>
    <row r="3676">
      <c r="B3676" s="186" t="str">
        <f>IFERROR(__xludf.DUMMYFUNCTION("""COMPUTED_VALUE"""),"PI5197Y")</f>
        <v>PI5197Y</v>
      </c>
      <c r="C3676" s="186" t="str">
        <f>IFERROR(__xludf.DUMMYFUNCTION("""COMPUTED_VALUE"""),"COPO TERMICO DESCONTRACAO PRA VIAGEM")</f>
        <v>COPO TERMICO DESCONTRACAO PRA VIAGEM</v>
      </c>
      <c r="D3676" s="186" t="str">
        <f>IFERROR(__xludf.DUMMYFUNCTION("""COMPUTED_VALUE"""),"FALSO")</f>
        <v>FALSO</v>
      </c>
    </row>
    <row r="3677">
      <c r="B3677" s="186" t="str">
        <f>IFERROR(__xludf.DUMMYFUNCTION("""COMPUTED_VALUE"""),"PI5197Y")</f>
        <v>PI5197Y</v>
      </c>
      <c r="C3677" s="186" t="str">
        <f>IFERROR(__xludf.DUMMYFUNCTION("""COMPUTED_VALUE"""),"COPO TERMICO DESCONTRACAO PRA VIAGEM")</f>
        <v>COPO TERMICO DESCONTRACAO PRA VIAGEM</v>
      </c>
      <c r="D3677" s="186" t="str">
        <f>IFERROR(__xludf.DUMMYFUNCTION("""COMPUTED_VALUE"""),"FALSO")</f>
        <v>FALSO</v>
      </c>
    </row>
    <row r="3678">
      <c r="B3678" s="186" t="str">
        <f>IFERROR(__xludf.DUMMYFUNCTION("""COMPUTED_VALUE"""),"PI7532Y")</f>
        <v>PI7532Y</v>
      </c>
      <c r="C3678" s="186" t="str">
        <f>IFERROR(__xludf.DUMMYFUNCTION("""COMPUTED_VALUE"""),"COPO TERMICO ALCA HP BRILHA NO ESCURO")</f>
        <v>COPO TERMICO ALCA HP BRILHA NO ESCURO</v>
      </c>
      <c r="D3678" s="186" t="str">
        <f>IFERROR(__xludf.DUMMYFUNCTION("""COMPUTED_VALUE"""),"FALSO")</f>
        <v>FALSO</v>
      </c>
    </row>
    <row r="3679">
      <c r="B3679" s="186" t="str">
        <f>IFERROR(__xludf.DUMMYFUNCTION("""COMPUTED_VALUE"""),"PI6338Y")</f>
        <v>PI6338Y</v>
      </c>
      <c r="C3679" s="186" t="str">
        <f>IFERROR(__xludf.DUMMYFUNCTION("""COMPUTED_VALUE"""),"COPO TÉRMICO COM ALÇA HIDRATADAH")</f>
        <v>COPO TÉRMICO COM ALÇA HIDRATADAH</v>
      </c>
      <c r="D3679" s="186" t="str">
        <f>IFERROR(__xludf.DUMMYFUNCTION("""COMPUTED_VALUE"""),"FALSO")</f>
        <v>FALSO</v>
      </c>
    </row>
    <row r="3680">
      <c r="B3680" s="186" t="str">
        <f>IFERROR(__xludf.DUMMYFUNCTION("""COMPUTED_VALUE"""),"PI7909Y")</f>
        <v>PI7909Y</v>
      </c>
      <c r="C3680" s="186" t="str">
        <f>IFERROR(__xludf.DUMMYFUNCTION("""COMPUTED_VALUE"""),"COPO TERMICO COM ALCA AZUL CLARO")</f>
        <v>COPO TERMICO COM ALCA AZUL CLARO</v>
      </c>
      <c r="D3680" s="186" t="str">
        <f>IFERROR(__xludf.DUMMYFUNCTION("""COMPUTED_VALUE"""),"FALSO")</f>
        <v>FALSO</v>
      </c>
    </row>
    <row r="3681">
      <c r="B3681" s="186" t="str">
        <f>IFERROR(__xludf.DUMMYFUNCTION("""COMPUTED_VALUE"""),"PI7906Y")</f>
        <v>PI7906Y</v>
      </c>
      <c r="C3681" s="186" t="str">
        <f>IFERROR(__xludf.DUMMYFUNCTION("""COMPUTED_VALUE"""),"COPO TERMICO COM ALCA ROSA E VERDE")</f>
        <v>COPO TERMICO COM ALCA ROSA E VERDE</v>
      </c>
      <c r="D3681" s="186" t="str">
        <f>IFERROR(__xludf.DUMMYFUNCTION("""COMPUTED_VALUE"""),"FALSO")</f>
        <v>FALSO</v>
      </c>
    </row>
    <row r="3682">
      <c r="B3682" s="186" t="str">
        <f>IFERROR(__xludf.DUMMYFUNCTION("""COMPUTED_VALUE"""),"PI7908Y")</f>
        <v>PI7908Y</v>
      </c>
      <c r="C3682" s="186" t="str">
        <f>IFERROR(__xludf.DUMMYFUNCTION("""COMPUTED_VALUE"""),"COPO TERMICO COM ALCA AMARELO E AZUL")</f>
        <v>COPO TERMICO COM ALCA AMARELO E AZUL</v>
      </c>
      <c r="D3682" s="186" t="str">
        <f>IFERROR(__xludf.DUMMYFUNCTION("""COMPUTED_VALUE"""),"FALSO")</f>
        <v>FALSO</v>
      </c>
    </row>
    <row r="3683">
      <c r="B3683" s="186" t="str">
        <f>IFERROR(__xludf.DUMMYFUNCTION("""COMPUTED_VALUE"""),"PI7907Y")</f>
        <v>PI7907Y</v>
      </c>
      <c r="C3683" s="186" t="str">
        <f>IFERROR(__xludf.DUMMYFUNCTION("""COMPUTED_VALUE"""),"COPO TERMICO COM ALCA VERDE E LARANJA")</f>
        <v>COPO TERMICO COM ALCA VERDE E LARANJA</v>
      </c>
      <c r="D3683" s="186" t="str">
        <f>IFERROR(__xludf.DUMMYFUNCTION("""COMPUTED_VALUE"""),"FALSO")</f>
        <v>FALSO</v>
      </c>
    </row>
    <row r="3684">
      <c r="B3684" s="186" t="str">
        <f>IFERROR(__xludf.DUMMYFUNCTION("""COMPUTED_VALUE"""),"PI6030Y")</f>
        <v>PI6030Y</v>
      </c>
      <c r="C3684" s="186" t="str">
        <f>IFERROR(__xludf.DUMMYFUNCTION("""COMPUTED_VALUE"""),"COPO PARA VIAGEM POMO DE OURO HP")</f>
        <v>COPO PARA VIAGEM POMO DE OURO HP</v>
      </c>
      <c r="D3684" s="186" t="str">
        <f>IFERROR(__xludf.DUMMYFUNCTION("""COMPUTED_VALUE"""),"FALSO")</f>
        <v>FALSO</v>
      </c>
    </row>
    <row r="3685">
      <c r="B3685" s="186" t="str">
        <f>IFERROR(__xludf.DUMMYFUNCTION("""COMPUTED_VALUE"""),"PI7487Y")</f>
        <v>PI7487Y</v>
      </c>
      <c r="C3685" s="186" t="str">
        <f>IFERROR(__xludf.DUMMYFUNCTION("""COMPUTED_VALUE"""),"COPO TERMICO COM PINGENTE BONS CAFES")</f>
        <v>COPO TERMICO COM PINGENTE BONS CAFES</v>
      </c>
      <c r="D3685" s="186" t="str">
        <f>IFERROR(__xludf.DUMMYFUNCTION("""COMPUTED_VALUE"""),"FALSO")</f>
        <v>FALSO</v>
      </c>
    </row>
    <row r="3686">
      <c r="B3686" s="186" t="str">
        <f>IFERROR(__xludf.DUMMYFUNCTION("""COMPUTED_VALUE"""),"PI7914Y")</f>
        <v>PI7914Y</v>
      </c>
      <c r="C3686" s="186" t="str">
        <f>IFERROR(__xludf.DUMMYFUNCTION("""COMPUTED_VALUE"""),"COPO TERMICO COM PENDENTE LILAS")</f>
        <v>COPO TERMICO COM PENDENTE LILAS</v>
      </c>
      <c r="D3686" s="186" t="str">
        <f>IFERROR(__xludf.DUMMYFUNCTION("""COMPUTED_VALUE"""),"FALSO")</f>
        <v>FALSO</v>
      </c>
    </row>
    <row r="3687">
      <c r="B3687" s="186" t="str">
        <f>IFERROR(__xludf.DUMMYFUNCTION("""COMPUTED_VALUE"""),"PI7913Y")</f>
        <v>PI7913Y</v>
      </c>
      <c r="C3687" s="186" t="str">
        <f>IFERROR(__xludf.DUMMYFUNCTION("""COMPUTED_VALUE"""),"COPO TERMICO COM PENDENTE AMARELO")</f>
        <v>COPO TERMICO COM PENDENTE AMARELO</v>
      </c>
      <c r="D3687" s="186" t="str">
        <f>IFERROR(__xludf.DUMMYFUNCTION("""COMPUTED_VALUE"""),"FALSO")</f>
        <v>FALSO</v>
      </c>
    </row>
    <row r="3688">
      <c r="B3688" s="186" t="str">
        <f>IFERROR(__xludf.DUMMYFUNCTION("""COMPUTED_VALUE"""),"PI7917Y")</f>
        <v>PI7917Y</v>
      </c>
      <c r="C3688" s="186" t="str">
        <f>IFERROR(__xludf.DUMMYFUNCTION("""COMPUTED_VALUE"""),"COPO TERMICO COM CORDAO FLOR AZUL")</f>
        <v>COPO TERMICO COM CORDAO FLOR AZUL</v>
      </c>
      <c r="D3688" s="186" t="str">
        <f>IFERROR(__xludf.DUMMYFUNCTION("""COMPUTED_VALUE"""),"FALSO")</f>
        <v>FALSO</v>
      </c>
    </row>
    <row r="3689">
      <c r="B3689" s="186" t="str">
        <f>IFERROR(__xludf.DUMMYFUNCTION("""COMPUTED_VALUE"""),"PI7916Y")</f>
        <v>PI7916Y</v>
      </c>
      <c r="C3689" s="186" t="str">
        <f>IFERROR(__xludf.DUMMYFUNCTION("""COMPUTED_VALUE"""),"COPO TERMICO COM CORDAO FLOR VERDE")</f>
        <v>COPO TERMICO COM CORDAO FLOR VERDE</v>
      </c>
      <c r="D3689" s="186" t="str">
        <f>IFERROR(__xludf.DUMMYFUNCTION("""COMPUTED_VALUE"""),"FALSO")</f>
        <v>FALSO</v>
      </c>
    </row>
    <row r="3690">
      <c r="B3690" s="186" t="str">
        <f>IFERROR(__xludf.DUMMYFUNCTION("""COMPUTED_VALUE"""),"PI6329Y")</f>
        <v>PI6329Y</v>
      </c>
      <c r="C3690" s="186" t="str">
        <f>IFERROR(__xludf.DUMMYFUNCTION("""COMPUTED_VALUE"""),"COPO TÉRMICO COM ALÇA MEU MOMENTO")</f>
        <v>COPO TÉRMICO COM ALÇA MEU MOMENTO</v>
      </c>
      <c r="D3690" s="186" t="str">
        <f>IFERROR(__xludf.DUMMYFUNCTION("""COMPUTED_VALUE"""),"FALSO")</f>
        <v>FALSO</v>
      </c>
    </row>
    <row r="3691">
      <c r="B3691" s="186" t="str">
        <f>IFERROR(__xludf.DUMMYFUNCTION("""COMPUTED_VALUE"""),"PI7915Y")</f>
        <v>PI7915Y</v>
      </c>
      <c r="C3691" s="186" t="str">
        <f>IFERROR(__xludf.DUMMYFUNCTION("""COMPUTED_VALUE"""),"COPO TERMICO COM CORDAO FLOR VERMELHA")</f>
        <v>COPO TERMICO COM CORDAO FLOR VERMELHA</v>
      </c>
      <c r="D3691" s="186" t="str">
        <f>IFERROR(__xludf.DUMMYFUNCTION("""COMPUTED_VALUE"""),"FALSO")</f>
        <v>FALSO</v>
      </c>
    </row>
    <row r="3692">
      <c r="B3692" s="186" t="str">
        <f>IFERROR(__xludf.DUMMYFUNCTION("""COMPUTED_VALUE"""),"PI5487Y")</f>
        <v>PI5487Y</v>
      </c>
      <c r="C3692" s="186" t="str">
        <f>IFERROR(__xludf.DUMMYFUNCTION("""COMPUTED_VALUE"""),"COPO TERMICO COM CANUDO AVENTURA")</f>
        <v>COPO TERMICO COM CANUDO AVENTURA</v>
      </c>
      <c r="D3692" s="186" t="str">
        <f>IFERROR(__xludf.DUMMYFUNCTION("""COMPUTED_VALUE"""),"FALSO")</f>
        <v>FALSO</v>
      </c>
    </row>
    <row r="3693">
      <c r="B3693" s="186" t="str">
        <f>IFERROR(__xludf.DUMMYFUNCTION("""COMPUTED_VALUE"""),"PI7272Y")</f>
        <v>PI7272Y</v>
      </c>
      <c r="C3693" s="186" t="str">
        <f>IFERROR(__xludf.DUMMYFUNCTION("""COMPUTED_VALUE"""),"COPO TERMICO COM CANUDO E CASE 24 HORAS")</f>
        <v>COPO TERMICO COM CANUDO E CASE 24 HORAS</v>
      </c>
      <c r="D3693" s="186" t="str">
        <f>IFERROR(__xludf.DUMMYFUNCTION("""COMPUTED_VALUE"""),"FALSO")</f>
        <v>FALSO</v>
      </c>
    </row>
    <row r="3694">
      <c r="B3694" s="186" t="str">
        <f>IFERROR(__xludf.DUMMYFUNCTION("""COMPUTED_VALUE"""),"PI5219Y")</f>
        <v>PI5219Y</v>
      </c>
      <c r="C3694" s="186" t="str">
        <f>IFERROR(__xludf.DUMMYFUNCTION("""COMPUTED_VALUE"""),"COPO TERMICO COM CANUDO BEATLES LOVE")</f>
        <v>COPO TERMICO COM CANUDO BEATLES LOVE</v>
      </c>
      <c r="D3694" s="186" t="str">
        <f>IFERROR(__xludf.DUMMYFUNCTION("""COMPUTED_VALUE"""),"FALSO")</f>
        <v>FALSO</v>
      </c>
    </row>
    <row r="3695">
      <c r="B3695" s="186" t="str">
        <f>IFERROR(__xludf.DUMMYFUNCTION("""COMPUTED_VALUE"""),"PI7269Y")</f>
        <v>PI7269Y</v>
      </c>
      <c r="C3695" s="186" t="str">
        <f>IFERROR(__xludf.DUMMYFUNCTION("""COMPUTED_VALUE"""),"COPO TERMICO COM CANUDO BOTANICA")</f>
        <v>COPO TERMICO COM CANUDO BOTANICA</v>
      </c>
      <c r="D3695" s="186" t="str">
        <f>IFERROR(__xludf.DUMMYFUNCTION("""COMPUTED_VALUE"""),"FALSO")</f>
        <v>FALSO</v>
      </c>
    </row>
    <row r="3696">
      <c r="B3696" s="186" t="str">
        <f>IFERROR(__xludf.DUMMYFUNCTION("""COMPUTED_VALUE"""),"PI5486Y")</f>
        <v>PI5486Y</v>
      </c>
      <c r="C3696" s="186" t="str">
        <f>IFERROR(__xludf.DUMMYFUNCTION("""COMPUTED_VALUE"""),"COPO TERMICO COM CANUDO COLOR BLOCK AZUL")</f>
        <v>COPO TERMICO COM CANUDO COLOR BLOCK AZUL</v>
      </c>
      <c r="D3696" s="186" t="str">
        <f>IFERROR(__xludf.DUMMYFUNCTION("""COMPUTED_VALUE"""),"FALSO")</f>
        <v>FALSO</v>
      </c>
    </row>
    <row r="3697">
      <c r="B3697" s="186" t="str">
        <f>IFERROR(__xludf.DUMMYFUNCTION("""COMPUTED_VALUE"""),"PI5170Y")</f>
        <v>PI5170Y</v>
      </c>
      <c r="C3697" s="186" t="str">
        <f>IFERROR(__xludf.DUMMYFUNCTION("""COMPUTED_VALUE"""),"COPO TERMICO COM CANUDO BOM HUMOR")</f>
        <v>COPO TERMICO COM CANUDO BOM HUMOR</v>
      </c>
      <c r="D3697" s="186" t="str">
        <f>IFERROR(__xludf.DUMMYFUNCTION("""COMPUTED_VALUE"""),"FALSO")</f>
        <v>FALSO</v>
      </c>
    </row>
    <row r="3698">
      <c r="B3698" s="186" t="str">
        <f>IFERROR(__xludf.DUMMYFUNCTION("""COMPUTED_VALUE"""),"PI6823Y")</f>
        <v>PI6823Y</v>
      </c>
      <c r="C3698" s="186" t="str">
        <f>IFERROR(__xludf.DUMMYFUNCTION("""COMPUTED_VALUE"""),"COPO TERMICO COM CANUDO HP HOGWARTS")</f>
        <v>COPO TERMICO COM CANUDO HP HOGWARTS</v>
      </c>
      <c r="D3698" s="186" t="str">
        <f>IFERROR(__xludf.DUMMYFUNCTION("""COMPUTED_VALUE"""),"FALSO")</f>
        <v>FALSO</v>
      </c>
    </row>
    <row r="3699">
      <c r="B3699" s="186" t="str">
        <f>IFERROR(__xludf.DUMMYFUNCTION("""COMPUTED_VALUE"""),"PI6823Y")</f>
        <v>PI6823Y</v>
      </c>
      <c r="C3699" s="186" t="str">
        <f>IFERROR(__xludf.DUMMYFUNCTION("""COMPUTED_VALUE"""),"COPO TERMICO COM CANUDO HP HOGWARTS")</f>
        <v>COPO TERMICO COM CANUDO HP HOGWARTS</v>
      </c>
      <c r="D3699" s="186" t="str">
        <f>IFERROR(__xludf.DUMMYFUNCTION("""COMPUTED_VALUE"""),"FALSO")</f>
        <v>FALSO</v>
      </c>
    </row>
    <row r="3700">
      <c r="B3700" s="186" t="str">
        <f>IFERROR(__xludf.DUMMYFUNCTION("""COMPUTED_VALUE"""),"PI5764Y")</f>
        <v>PI5764Y</v>
      </c>
      <c r="C3700" s="186" t="str">
        <f>IFERROR(__xludf.DUMMYFUNCTION("""COMPUTED_VALUE"""),"COPO TERMICO COM CANUDO MISTICO ESTRELAS")</f>
        <v>COPO TERMICO COM CANUDO MISTICO ESTRELAS</v>
      </c>
      <c r="D3700" s="186" t="str">
        <f>IFERROR(__xludf.DUMMYFUNCTION("""COMPUTED_VALUE"""),"FALSO")</f>
        <v>FALSO</v>
      </c>
    </row>
    <row r="3701">
      <c r="B3701" s="186" t="str">
        <f>IFERROR(__xludf.DUMMYFUNCTION("""COMPUTED_VALUE"""),"PI5480Y")</f>
        <v>PI5480Y</v>
      </c>
      <c r="C3701" s="186" t="str">
        <f>IFERROR(__xludf.DUMMYFUNCTION("""COMPUTED_VALUE"""),"COPO TERMICO COM CANUDO DIA RADIANTE")</f>
        <v>COPO TERMICO COM CANUDO DIA RADIANTE</v>
      </c>
      <c r="D3701" s="186" t="str">
        <f>IFERROR(__xludf.DUMMYFUNCTION("""COMPUTED_VALUE"""),"FALSO")</f>
        <v>FALSO</v>
      </c>
    </row>
    <row r="3702">
      <c r="B3702" s="186" t="str">
        <f>IFERROR(__xludf.DUMMYFUNCTION("""COMPUTED_VALUE"""),"PI5479Y")</f>
        <v>PI5479Y</v>
      </c>
      <c r="C3702" s="186" t="str">
        <f>IFERROR(__xludf.DUMMYFUNCTION("""COMPUTED_VALUE"""),"COPO TERMICO COM CANUDO SMILE")</f>
        <v>COPO TERMICO COM CANUDO SMILE</v>
      </c>
      <c r="D3702" s="186" t="str">
        <f>IFERROR(__xludf.DUMMYFUNCTION("""COMPUTED_VALUE"""),"FALSO")</f>
        <v>FALSO</v>
      </c>
    </row>
    <row r="3703">
      <c r="B3703" s="186" t="str">
        <f>IFERROR(__xludf.DUMMYFUNCTION("""COMPUTED_VALUE"""),"PI7012Y")</f>
        <v>PI7012Y</v>
      </c>
      <c r="C3703" s="186" t="str">
        <f>IFERROR(__xludf.DUMMYFUNCTION("""COMPUTED_VALUE"""),"COPO TERMICO COM CANUDO ESTRELAS")</f>
        <v>COPO TERMICO COM CANUDO ESTRELAS</v>
      </c>
      <c r="D3703" s="186" t="str">
        <f>IFERROR(__xludf.DUMMYFUNCTION("""COMPUTED_VALUE"""),"FALSO")</f>
        <v>FALSO</v>
      </c>
    </row>
    <row r="3704">
      <c r="B3704" s="186" t="str">
        <f>IFERROR(__xludf.DUMMYFUNCTION("""COMPUTED_VALUE"""),"PI5478Y")</f>
        <v>PI5478Y</v>
      </c>
      <c r="C3704" s="186" t="str">
        <f>IFERROR(__xludf.DUMMYFUNCTION("""COMPUTED_VALUE"""),"COPO TERMICO COM CANUDO Y2K BORBOLETA")</f>
        <v>COPO TERMICO COM CANUDO Y2K BORBOLETA</v>
      </c>
      <c r="D3704" s="186" t="str">
        <f>IFERROR(__xludf.DUMMYFUNCTION("""COMPUTED_VALUE"""),"FALSO")</f>
        <v>FALSO</v>
      </c>
    </row>
    <row r="3705">
      <c r="B3705" s="186" t="str">
        <f>IFERROR(__xludf.DUMMYFUNCTION("""COMPUTED_VALUE"""),"PI5167Y")</f>
        <v>PI5167Y</v>
      </c>
      <c r="C3705" s="186" t="str">
        <f>IFERROR(__xludf.DUMMYFUNCTION("""COMPUTED_VALUE"""),"MARMITA TERMICA HORA DE COMER")</f>
        <v>MARMITA TERMICA HORA DE COMER</v>
      </c>
      <c r="D3705" s="186" t="str">
        <f>IFERROR(__xludf.DUMMYFUNCTION("""COMPUTED_VALUE"""),"FALSO")</f>
        <v>FALSO</v>
      </c>
    </row>
    <row r="3706">
      <c r="B3706" s="186" t="str">
        <f>IFERROR(__xludf.DUMMYFUNCTION("""COMPUTED_VALUE"""),"PI7323Y")</f>
        <v>PI7323Y</v>
      </c>
      <c r="C3706" s="186" t="str">
        <f>IFERROR(__xludf.DUMMYFUNCTION("""COMPUTED_VALUE"""),"CANECA TERMICA COM TAMPA ESTILOS CAFES")</f>
        <v>CANECA TERMICA COM TAMPA ESTILOS CAFES</v>
      </c>
      <c r="D3706" s="186" t="str">
        <f>IFERROR(__xludf.DUMMYFUNCTION("""COMPUTED_VALUE"""),"FALSO")</f>
        <v>FALSO</v>
      </c>
    </row>
    <row r="3707">
      <c r="B3707" s="186" t="str">
        <f>IFERROR(__xludf.DUMMYFUNCTION("""COMPUTED_VALUE"""),"PI5793Y")</f>
        <v>PI5793Y</v>
      </c>
      <c r="C3707" s="186" t="str">
        <f>IFERROR(__xludf.DUMMYFUNCTION("""COMPUTED_VALUE"""),"CANECA TERMICA COM TAMPA UMA DOSE DE CAFE")</f>
        <v>CANECA TERMICA COM TAMPA UMA DOSE DE CAFE</v>
      </c>
      <c r="D3707" s="186" t="str">
        <f>IFERROR(__xludf.DUMMYFUNCTION("""COMPUTED_VALUE"""),"FALSO")</f>
        <v>FALSO</v>
      </c>
    </row>
    <row r="3708">
      <c r="B3708" s="186" t="str">
        <f>IFERROR(__xludf.DUMMYFUNCTION("""COMPUTED_VALUE"""),"PI5793Y")</f>
        <v>PI5793Y</v>
      </c>
      <c r="C3708" s="186" t="str">
        <f>IFERROR(__xludf.DUMMYFUNCTION("""COMPUTED_VALUE"""),"CANECA TERMICA COM TAMPA UMA DOSE DE CAFE")</f>
        <v>CANECA TERMICA COM TAMPA UMA DOSE DE CAFE</v>
      </c>
      <c r="D3708" s="186" t="str">
        <f>IFERROR(__xludf.DUMMYFUNCTION("""COMPUTED_VALUE"""),"FALSO")</f>
        <v>FALSO</v>
      </c>
    </row>
    <row r="3709">
      <c r="B3709" s="186" t="str">
        <f>IFERROR(__xludf.DUMMYFUNCTION("""COMPUTED_VALUE"""),"PI5993Y")</f>
        <v>PI5993Y</v>
      </c>
      <c r="C3709" s="186" t="str">
        <f>IFERROR(__xludf.DUMMYFUNCTION("""COMPUTED_VALUE"""),"COPO TERMICO PARA VIAGEM FELIPE MOROZINI")</f>
        <v>COPO TERMICO PARA VIAGEM FELIPE MOROZINI</v>
      </c>
      <c r="D3709" s="186" t="str">
        <f>IFERROR(__xludf.DUMMYFUNCTION("""COMPUTED_VALUE"""),"FALSO")</f>
        <v>FALSO</v>
      </c>
    </row>
    <row r="3710">
      <c r="B3710" s="186" t="str">
        <f>IFERROR(__xludf.DUMMYFUNCTION("""COMPUTED_VALUE"""),"PI5790Y")</f>
        <v>PI5790Y</v>
      </c>
      <c r="C3710" s="186" t="str">
        <f>IFERROR(__xludf.DUMMYFUNCTION("""COMPUTED_VALUE"""),"COPO TERMICO PARA VIAGEM PASSATEMPO")</f>
        <v>COPO TERMICO PARA VIAGEM PASSATEMPO</v>
      </c>
      <c r="D3710" s="186" t="str">
        <f>IFERROR(__xludf.DUMMYFUNCTION("""COMPUTED_VALUE"""),"FALSO")</f>
        <v>FALSO</v>
      </c>
    </row>
    <row r="3711">
      <c r="B3711" s="186" t="str">
        <f>IFERROR(__xludf.DUMMYFUNCTION("""COMPUTED_VALUE"""),"PI5794Y")</f>
        <v>PI5794Y</v>
      </c>
      <c r="C3711" s="186" t="str">
        <f>IFERROR(__xludf.DUMMYFUNCTION("""COMPUTED_VALUE"""),"GARRAFA TERMICA E INFUSOR CHA COMIGO")</f>
        <v>GARRAFA TERMICA E INFUSOR CHA COMIGO</v>
      </c>
      <c r="D3711" s="186" t="str">
        <f>IFERROR(__xludf.DUMMYFUNCTION("""COMPUTED_VALUE"""),"FALSO")</f>
        <v>FALSO</v>
      </c>
    </row>
    <row r="3712">
      <c r="B3712" s="186" t="str">
        <f>IFERROR(__xludf.DUMMYFUNCTION("""COMPUTED_VALUE"""),"PI6686Y")</f>
        <v>PI6686Y</v>
      </c>
      <c r="C3712" s="186" t="str">
        <f>IFERROR(__xludf.DUMMYFUNCTION("""COMPUTED_VALUE"""),"GARRAFA TERMICA COM CASE E ALCA CARAMELO")</f>
        <v>GARRAFA TERMICA COM CASE E ALCA CARAMELO</v>
      </c>
      <c r="D3712" s="186" t="str">
        <f>IFERROR(__xludf.DUMMYFUNCTION("""COMPUTED_VALUE"""),"FALSO")</f>
        <v>FALSO</v>
      </c>
    </row>
    <row r="3713">
      <c r="B3713" s="186" t="str">
        <f>IFERROR(__xludf.DUMMYFUNCTION("""COMPUTED_VALUE"""),"PI6660Y")</f>
        <v>PI6660Y</v>
      </c>
      <c r="C3713" s="186" t="str">
        <f>IFERROR(__xludf.DUMMYFUNCTION("""COMPUTED_VALUE"""),"GARRAFA TERMICA COM ALCA PRETO E MARROM")</f>
        <v>GARRAFA TERMICA COM ALCA PRETO E MARROM</v>
      </c>
      <c r="D3713" s="186" t="str">
        <f>IFERROR(__xludf.DUMMYFUNCTION("""COMPUTED_VALUE"""),"FALSO")</f>
        <v>FALSO</v>
      </c>
    </row>
    <row r="3714">
      <c r="B3714" s="186" t="str">
        <f>IFERROR(__xludf.DUMMYFUNCTION("""COMPUTED_VALUE"""),"PI6633Y")</f>
        <v>PI6633Y</v>
      </c>
      <c r="C3714" s="186" t="str">
        <f>IFERROR(__xludf.DUMMYFUNCTION("""COMPUTED_VALUE"""),"GARRAFA TERMICA COM ALCA POR ONDE FLOR")</f>
        <v>GARRAFA TERMICA COM ALCA POR ONDE FLOR</v>
      </c>
      <c r="D3714" s="186" t="str">
        <f>IFERROR(__xludf.DUMMYFUNCTION("""COMPUTED_VALUE"""),"FALSO")</f>
        <v>FALSO</v>
      </c>
    </row>
    <row r="3715">
      <c r="B3715" s="186" t="str">
        <f>IFERROR(__xludf.DUMMYFUNCTION("""COMPUTED_VALUE"""),"PI5923Y")</f>
        <v>PI5923Y</v>
      </c>
      <c r="C3715" s="186" t="str">
        <f>IFERROR(__xludf.DUMMYFUNCTION("""COMPUTED_VALUE"""),"GARRAFA TERMICA COM ALCA BONS MOMENTOS")</f>
        <v>GARRAFA TERMICA COM ALCA BONS MOMENTOS</v>
      </c>
      <c r="D3715" s="186" t="str">
        <f>IFERROR(__xludf.DUMMYFUNCTION("""COMPUTED_VALUE"""),"FALSO")</f>
        <v>FALSO</v>
      </c>
    </row>
    <row r="3716">
      <c r="B3716" s="186" t="str">
        <f>IFERROR(__xludf.DUMMYFUNCTION("""COMPUTED_VALUE"""),"PI5430Y")</f>
        <v>PI5430Y</v>
      </c>
      <c r="C3716" s="186" t="str">
        <f>IFERROR(__xludf.DUMMYFUNCTION("""COMPUTED_VALUE"""),"COPO TERMICO HP DARK MARK")</f>
        <v>COPO TERMICO HP DARK MARK</v>
      </c>
      <c r="D3716" s="186" t="str">
        <f>IFERROR(__xludf.DUMMYFUNCTION("""COMPUTED_VALUE"""),"FALSO")</f>
        <v>FALSO</v>
      </c>
    </row>
    <row r="3717">
      <c r="B3717" s="186" t="str">
        <f>IFERROR(__xludf.DUMMYFUNCTION("""COMPUTED_VALUE"""),"PI5791Y")</f>
        <v>PI5791Y</v>
      </c>
      <c r="C3717" s="186" t="str">
        <f>IFERROR(__xludf.DUMMYFUNCTION("""COMPUTED_VALUE"""),"COPO TERMICO COM CANUDO ENERGIA")</f>
        <v>COPO TERMICO COM CANUDO ENERGIA</v>
      </c>
      <c r="D3717" s="186" t="str">
        <f>IFERROR(__xludf.DUMMYFUNCTION("""COMPUTED_VALUE"""),"FALSO")</f>
        <v>FALSO</v>
      </c>
    </row>
    <row r="3718">
      <c r="B3718" s="186" t="str">
        <f>IFERROR(__xludf.DUMMYFUNCTION("""COMPUTED_VALUE"""),"PI6076Y")</f>
        <v>PI6076Y</v>
      </c>
      <c r="C3718" s="186" t="str">
        <f>IFERROR(__xludf.DUMMYFUNCTION("""COMPUTED_VALUE"""),"COPO TERMICO COM TAMPA HORA DO CAFE")</f>
        <v>COPO TERMICO COM TAMPA HORA DO CAFE</v>
      </c>
      <c r="D3718" s="186" t="str">
        <f>IFERROR(__xludf.DUMMYFUNCTION("""COMPUTED_VALUE"""),"FALSO")</f>
        <v>FALSO</v>
      </c>
    </row>
    <row r="3719">
      <c r="B3719" s="186" t="str">
        <f>IFERROR(__xludf.DUMMYFUNCTION("""COMPUTED_VALUE"""),"PI6076Y")</f>
        <v>PI6076Y</v>
      </c>
      <c r="C3719" s="186" t="str">
        <f>IFERROR(__xludf.DUMMYFUNCTION("""COMPUTED_VALUE"""),"COPO TERMICO COM TAMPA HORA DO CAFE")</f>
        <v>COPO TERMICO COM TAMPA HORA DO CAFE</v>
      </c>
      <c r="D3719" s="186" t="str">
        <f>IFERROR(__xludf.DUMMYFUNCTION("""COMPUTED_VALUE"""),"FALSO")</f>
        <v>FALSO</v>
      </c>
    </row>
    <row r="3720">
      <c r="B3720" s="186" t="str">
        <f>IFERROR(__xludf.DUMMYFUNCTION("""COMPUTED_VALUE"""),"PI6076Y")</f>
        <v>PI6076Y</v>
      </c>
      <c r="C3720" s="186" t="str">
        <f>IFERROR(__xludf.DUMMYFUNCTION("""COMPUTED_VALUE"""),"COPO TERMICO COM TAMPA HORA DO CAFE")</f>
        <v>COPO TERMICO COM TAMPA HORA DO CAFE</v>
      </c>
      <c r="D3720" s="186" t="str">
        <f>IFERROR(__xludf.DUMMYFUNCTION("""COMPUTED_VALUE"""),"FALSO")</f>
        <v>FALSO</v>
      </c>
    </row>
    <row r="3721">
      <c r="B3721" s="186" t="str">
        <f>IFERROR(__xludf.DUMMYFUNCTION("""COMPUTED_VALUE"""),"PI6076Y")</f>
        <v>PI6076Y</v>
      </c>
      <c r="C3721" s="186" t="str">
        <f>IFERROR(__xludf.DUMMYFUNCTION("""COMPUTED_VALUE"""),"COPO TERMICO COM TAMPA HORA DO CAFE")</f>
        <v>COPO TERMICO COM TAMPA HORA DO CAFE</v>
      </c>
      <c r="D3721" s="186" t="str">
        <f>IFERROR(__xludf.DUMMYFUNCTION("""COMPUTED_VALUE"""),"FALSO")</f>
        <v>FALSO</v>
      </c>
    </row>
    <row r="3722">
      <c r="B3722" s="186" t="str">
        <f>IFERROR(__xludf.DUMMYFUNCTION("""COMPUTED_VALUE"""),"PI6314Y")</f>
        <v>PI6314Y</v>
      </c>
      <c r="C3722" s="186" t="str">
        <f>IFERROR(__xludf.DUMMYFUNCTION("""COMPUTED_VALUE"""),"GARRAFA TÉRMICA TORNEIO TRIBRUXO")</f>
        <v>GARRAFA TÉRMICA TORNEIO TRIBRUXO</v>
      </c>
      <c r="D3722" s="186" t="str">
        <f>IFERROR(__xludf.DUMMYFUNCTION("""COMPUTED_VALUE"""),"FALSO")</f>
        <v>FALSO</v>
      </c>
    </row>
    <row r="3723">
      <c r="B3723" s="186" t="str">
        <f>IFERROR(__xludf.DUMMYFUNCTION("""COMPUTED_VALUE"""),"PI6042Y")</f>
        <v>PI6042Y</v>
      </c>
      <c r="C3723" s="186" t="str">
        <f>IFERROR(__xludf.DUMMYFUNCTION("""COMPUTED_VALUE"""),"JOGO DA VELHA SHOTS VIRADA DE MESTRE")</f>
        <v>JOGO DA VELHA SHOTS VIRADA DE MESTRE</v>
      </c>
      <c r="D3723" s="186" t="str">
        <f>IFERROR(__xludf.DUMMYFUNCTION("""COMPUTED_VALUE"""),"FALSO")</f>
        <v>FALSO</v>
      </c>
    </row>
    <row r="3724">
      <c r="B3724" s="186" t="str">
        <f>IFERROR(__xludf.DUMMYFUNCTION("""COMPUTED_VALUE"""),"AC2221")</f>
        <v>AC2221</v>
      </c>
      <c r="C3724" s="186" t="str">
        <f>IFERROR(__xludf.DUMMYFUNCTION("""COMPUTED_VALUE"""),"Tinta Sublimática Amarela")</f>
        <v>Tinta Sublimática Amarela</v>
      </c>
      <c r="D3724" s="186" t="str">
        <f>IFERROR(__xludf.DUMMYFUNCTION("""COMPUTED_VALUE"""),"FALSO")</f>
        <v>FALSO</v>
      </c>
    </row>
    <row r="3725">
      <c r="B3725" s="186" t="str">
        <f>IFERROR(__xludf.DUMMYFUNCTION("""COMPUTED_VALUE"""),"AC2229")</f>
        <v>AC2229</v>
      </c>
      <c r="C3725" s="186" t="str">
        <f>IFERROR(__xludf.DUMMYFUNCTION("""COMPUTED_VALUE"""),"Tinta Sublimatica Azul")</f>
        <v>Tinta Sublimatica Azul</v>
      </c>
      <c r="D3725" s="186" t="str">
        <f>IFERROR(__xludf.DUMMYFUNCTION("""COMPUTED_VALUE"""),"FALSO")</f>
        <v>FALSO</v>
      </c>
    </row>
    <row r="3726">
      <c r="B3726" s="186" t="str">
        <f>IFERROR(__xludf.DUMMYFUNCTION("""COMPUTED_VALUE"""),"AC2227")</f>
        <v>AC2227</v>
      </c>
      <c r="C3726" s="186" t="str">
        <f>IFERROR(__xludf.DUMMYFUNCTION("""COMPUTED_VALUE"""),"Tinta Sublimatica Magenta")</f>
        <v>Tinta Sublimatica Magenta</v>
      </c>
      <c r="D3726" s="186" t="str">
        <f>IFERROR(__xludf.DUMMYFUNCTION("""COMPUTED_VALUE"""),"FALSO")</f>
        <v>FALSO</v>
      </c>
    </row>
    <row r="3727">
      <c r="B3727" s="186" t="str">
        <f>IFERROR(__xludf.DUMMYFUNCTION("""COMPUTED_VALUE"""),"AC2228")</f>
        <v>AC2228</v>
      </c>
      <c r="C3727" s="186" t="str">
        <f>IFERROR(__xludf.DUMMYFUNCTION("""COMPUTED_VALUE"""),"Tinta Sublimatica Preta")</f>
        <v>Tinta Sublimatica Preta</v>
      </c>
      <c r="D3727" s="186" t="str">
        <f>IFERROR(__xludf.DUMMYFUNCTION("""COMPUTED_VALUE"""),"FALSO")</f>
        <v>FALSO</v>
      </c>
    </row>
    <row r="3728">
      <c r="B3728" s="186" t="str">
        <f>IFERROR(__xludf.DUMMYFUNCTION("""COMPUTED_VALUE"""),"PI5269Y")</f>
        <v>PI5269Y</v>
      </c>
      <c r="C3728" s="186" t="str">
        <f>IFERROR(__xludf.DUMMYFUNCTION("""COMPUTED_VALUE"""),"TORRADEIRA 127V BEATLES ALL YOU NEED")</f>
        <v>TORRADEIRA 127V BEATLES ALL YOU NEED</v>
      </c>
      <c r="D3728" s="186" t="str">
        <f>IFERROR(__xludf.DUMMYFUNCTION("""COMPUTED_VALUE"""),"INMETRO Electrical Security System 5 (Factory) - Ordinance 371")</f>
        <v>INMETRO Electrical Security System 5 (Factory) - Ordinance 371</v>
      </c>
    </row>
    <row r="3729">
      <c r="B3729" s="186" t="str">
        <f>IFERROR(__xludf.DUMMYFUNCTION("""COMPUTED_VALUE"""),"PI5270Y")</f>
        <v>PI5270Y</v>
      </c>
      <c r="C3729" s="186" t="str">
        <f>IFERROR(__xludf.DUMMYFUNCTION("""COMPUTED_VALUE"""),"TORRADEIRA 220V BEATLES ALL YOU NEED")</f>
        <v>TORRADEIRA 220V BEATLES ALL YOU NEED</v>
      </c>
      <c r="D3729" s="186" t="str">
        <f>IFERROR(__xludf.DUMMYFUNCTION("""COMPUTED_VALUE"""),"INMETRO Electrical Security System 5 (Factory) - Ordinance 371")</f>
        <v>INMETRO Electrical Security System 5 (Factory) - Ordinance 371</v>
      </c>
    </row>
    <row r="3730">
      <c r="B3730" s="186" t="str">
        <f>IFERROR(__xludf.DUMMYFUNCTION("""COMPUTED_VALUE"""),"PI4975Y")</f>
        <v>PI4975Y</v>
      </c>
      <c r="C3730" s="186" t="str">
        <f>IFERROR(__xludf.DUMMYFUNCTION("""COMPUTED_VALUE"""),"LUMINARIA TOUCH BEATLES COMES THE SUN")</f>
        <v>LUMINARIA TOUCH BEATLES COMES THE SUN</v>
      </c>
      <c r="D3730" s="186" t="str">
        <f>IFERROR(__xludf.DUMMYFUNCTION("""COMPUTED_VALUE"""),"FALSO")</f>
        <v>FALSO</v>
      </c>
    </row>
    <row r="3731">
      <c r="B3731" s="186" t="str">
        <f>IFERROR(__xludf.DUMMYFUNCTION("""COMPUTED_VALUE"""),"PI5208Y")</f>
        <v>PI5208Y</v>
      </c>
      <c r="C3731" s="186" t="str">
        <f>IFERROR(__xludf.DUMMYFUNCTION("""COMPUTED_VALUE"""),"LUMINARIA TOUCH BRILHANDO NA VIDA")</f>
        <v>LUMINARIA TOUCH BRILHANDO NA VIDA</v>
      </c>
      <c r="D3731" s="186" t="str">
        <f>IFERROR(__xludf.DUMMYFUNCTION("""COMPUTED_VALUE"""),"FALSO")</f>
        <v>FALSO</v>
      </c>
    </row>
    <row r="3732">
      <c r="B3732" s="186" t="str">
        <f>IFERROR(__xludf.DUMMYFUNCTION("""COMPUTED_VALUE"""),"PI5060Y")</f>
        <v>PI5060Y</v>
      </c>
      <c r="C3732" s="186" t="str">
        <f>IFERROR(__xludf.DUMMYFUNCTION("""COMPUTED_VALUE"""),"LUMINARIA TOUCH LUA GALAXIA")</f>
        <v>LUMINARIA TOUCH LUA GALAXIA</v>
      </c>
      <c r="D3732" s="186" t="str">
        <f>IFERROR(__xludf.DUMMYFUNCTION("""COMPUTED_VALUE"""),"FALSO")</f>
        <v>FALSO</v>
      </c>
    </row>
    <row r="3733">
      <c r="B3733" s="186" t="str">
        <f>IFERROR(__xludf.DUMMYFUNCTION("""COMPUTED_VALUE"""),"PI5060Y")</f>
        <v>PI5060Y</v>
      </c>
      <c r="C3733" s="186" t="str">
        <f>IFERROR(__xludf.DUMMYFUNCTION("""COMPUTED_VALUE"""),"LUMINARIA TOUCH LUA GALAXIA")</f>
        <v>LUMINARIA TOUCH LUA GALAXIA</v>
      </c>
      <c r="D3733" s="186" t="str">
        <f>IFERROR(__xludf.DUMMYFUNCTION("""COMPUTED_VALUE"""),"FALSO")</f>
        <v>FALSO</v>
      </c>
    </row>
    <row r="3734">
      <c r="B3734" s="186"/>
      <c r="C3734" s="186"/>
      <c r="D3734" s="186"/>
    </row>
    <row r="3735">
      <c r="B3735" s="186"/>
      <c r="C3735" s="186"/>
      <c r="D3735" s="186"/>
    </row>
    <row r="3736">
      <c r="B3736" s="186"/>
      <c r="C3736" s="186"/>
      <c r="D3736" s="186"/>
    </row>
    <row r="3737">
      <c r="B3737" s="186" t="str">
        <f>IFERROR(__xludf.DUMMYFUNCTION("""COMPUTED_VALUE"""),"PI5060Y")</f>
        <v>PI5060Y</v>
      </c>
      <c r="C3737" s="186" t="str">
        <f>IFERROR(__xludf.DUMMYFUNCTION("""COMPUTED_VALUE"""),"LUMINARIA TOUCH LUA GALAXIA")</f>
        <v>LUMINARIA TOUCH LUA GALAXIA</v>
      </c>
      <c r="D3737" s="186" t="str">
        <f>IFERROR(__xludf.DUMMYFUNCTION("""COMPUTED_VALUE"""),"FALSO")</f>
        <v>FALSO</v>
      </c>
    </row>
    <row r="3738">
      <c r="B3738" s="186" t="str">
        <f>IFERROR(__xludf.DUMMYFUNCTION("""COMPUTED_VALUE"""),"PI5576Y")</f>
        <v>PI5576Y</v>
      </c>
      <c r="C3738" s="186" t="str">
        <f>IFERROR(__xludf.DUMMYFUNCTION("""COMPUTED_VALUE"""),"TOALHA COM BAG CARTA DE TAROT O SOL")</f>
        <v>TOALHA COM BAG CARTA DE TAROT O SOL</v>
      </c>
      <c r="D3738" s="186" t="str">
        <f>IFERROR(__xludf.DUMMYFUNCTION("""COMPUTED_VALUE"""),"FALSO")</f>
        <v>FALSO</v>
      </c>
    </row>
    <row r="3739">
      <c r="B3739" s="186" t="str">
        <f>IFERROR(__xludf.DUMMYFUNCTION("""COMPUTED_VALUE"""),"PI5577Y")</f>
        <v>PI5577Y</v>
      </c>
      <c r="C3739" s="186" t="str">
        <f>IFERROR(__xludf.DUMMYFUNCTION("""COMPUTED_VALUE"""),"TOALHA COM FORMATO E BAG BONS DRINKS")</f>
        <v>TOALHA COM FORMATO E BAG BONS DRINKS</v>
      </c>
      <c r="D3739" s="186" t="str">
        <f>IFERROR(__xludf.DUMMYFUNCTION("""COMPUTED_VALUE"""),"FALSO")</f>
        <v>FALSO</v>
      </c>
    </row>
    <row r="3740">
      <c r="B3740" s="186" t="str">
        <f>IFERROR(__xludf.DUMMYFUNCTION("""COMPUTED_VALUE"""),"PI5102Y")</f>
        <v>PI5102Y</v>
      </c>
      <c r="C3740" s="186" t="str">
        <f>IFERROR(__xludf.DUMMYFUNCTION("""COMPUTED_VALUE"""),"MALA DE BORDO TRANSPARENTE SO VAI")</f>
        <v>MALA DE BORDO TRANSPARENTE SO VAI</v>
      </c>
      <c r="D3740" s="186" t="str">
        <f>IFERROR(__xludf.DUMMYFUNCTION("""COMPUTED_VALUE"""),"FALSO")</f>
        <v>FALSO</v>
      </c>
    </row>
    <row r="3741">
      <c r="B3741" s="186" t="str">
        <f>IFERROR(__xludf.DUMMYFUNCTION("""COMPUTED_VALUE"""),"PI5568Y")</f>
        <v>PI5568Y</v>
      </c>
      <c r="C3741" s="186" t="str">
        <f>IFERROR(__xludf.DUMMYFUNCTION("""COMPUTED_VALUE"""),"KIT FRASCOS PARA VIAGEM LILAS")</f>
        <v>KIT FRASCOS PARA VIAGEM LILAS</v>
      </c>
      <c r="D3741" s="186" t="str">
        <f>IFERROR(__xludf.DUMMYFUNCTION("""COMPUTED_VALUE"""),"FALSO")</f>
        <v>FALSO</v>
      </c>
    </row>
    <row r="3742">
      <c r="B3742" s="186" t="str">
        <f>IFERROR(__xludf.DUMMYFUNCTION("""COMPUTED_VALUE"""),"PI5568Y")</f>
        <v>PI5568Y</v>
      </c>
      <c r="C3742" s="186" t="str">
        <f>IFERROR(__xludf.DUMMYFUNCTION("""COMPUTED_VALUE"""),"KIT FRASCOS PARA VIAGEM LILAS")</f>
        <v>KIT FRASCOS PARA VIAGEM LILAS</v>
      </c>
      <c r="D3742" s="186" t="str">
        <f>IFERROR(__xludf.DUMMYFUNCTION("""COMPUTED_VALUE"""),"FALSO")</f>
        <v>FALSO</v>
      </c>
    </row>
    <row r="3743">
      <c r="B3743" s="186" t="str">
        <f>IFERROR(__xludf.DUMMYFUNCTION("""COMPUTED_VALUE"""),"PI5572Y")</f>
        <v>PI5572Y</v>
      </c>
      <c r="C3743" s="186" t="str">
        <f>IFERROR(__xludf.DUMMYFUNCTION("""COMPUTED_VALUE"""),"KIT FRASCOS PARA VIAGEM JUNTO E SEPARADO")</f>
        <v>KIT FRASCOS PARA VIAGEM JUNTO E SEPARADO</v>
      </c>
      <c r="D3743" s="186" t="str">
        <f>IFERROR(__xludf.DUMMYFUNCTION("""COMPUTED_VALUE"""),"FALSO")</f>
        <v>FALSO</v>
      </c>
    </row>
    <row r="3744">
      <c r="B3744" s="186" t="str">
        <f>IFERROR(__xludf.DUMMYFUNCTION("""COMPUTED_VALUE"""),"PI5485Y")</f>
        <v>PI5485Y</v>
      </c>
      <c r="C3744" s="186" t="str">
        <f>IFERROR(__xludf.DUMMYFUNCTION("""COMPUTED_VALUE"""),"COPO PARA VIAGEM CERVEJA FAZ FALTA")</f>
        <v>COPO PARA VIAGEM CERVEJA FAZ FALTA</v>
      </c>
      <c r="D3744" s="186" t="str">
        <f>IFERROR(__xludf.DUMMYFUNCTION("""COMPUTED_VALUE"""),"FALSO")</f>
        <v>FALSO</v>
      </c>
    </row>
    <row r="3745">
      <c r="B3745" s="186" t="str">
        <f>IFERROR(__xludf.DUMMYFUNCTION("""COMPUTED_VALUE"""),"PI5351Y")</f>
        <v>PI5351Y</v>
      </c>
      <c r="C3745" s="186" t="str">
        <f>IFERROR(__xludf.DUMMYFUNCTION("""COMPUTED_VALUE"""),"COPO PARA VIAGEM TOMANDO AQUI")</f>
        <v>COPO PARA VIAGEM TOMANDO AQUI</v>
      </c>
      <c r="D3745" s="186" t="str">
        <f>IFERROR(__xludf.DUMMYFUNCTION("""COMPUTED_VALUE"""),"FALSO")</f>
        <v>FALSO</v>
      </c>
    </row>
    <row r="3746">
      <c r="B3746" s="186" t="str">
        <f>IFERROR(__xludf.DUMMYFUNCTION("""COMPUTED_VALUE"""),"PI6335Y")</f>
        <v>PI6335Y</v>
      </c>
      <c r="C3746" s="186" t="str">
        <f>IFERROR(__xludf.DUMMYFUNCTION("""COMPUTED_VALUE"""),"COPO PARA VIAGEM TUDO NO SEU TEMPO")</f>
        <v>COPO PARA VIAGEM TUDO NO SEU TEMPO</v>
      </c>
      <c r="D3746" s="186" t="str">
        <f>IFERROR(__xludf.DUMMYFUNCTION("""COMPUTED_VALUE"""),"FALSO")</f>
        <v>FALSO</v>
      </c>
    </row>
    <row r="3747">
      <c r="B3747" s="186" t="str">
        <f>IFERROR(__xludf.DUMMYFUNCTION("""COMPUTED_VALUE"""),"PI5475Y")</f>
        <v>PI5475Y</v>
      </c>
      <c r="C3747" s="186" t="str">
        <f>IFERROR(__xludf.DUMMYFUNCTION("""COMPUTED_VALUE"""),"COPO PARA VIAGEM TOMANDO JUIZO")</f>
        <v>COPO PARA VIAGEM TOMANDO JUIZO</v>
      </c>
      <c r="D3747" s="186" t="str">
        <f>IFERROR(__xludf.DUMMYFUNCTION("""COMPUTED_VALUE"""),"FALSO")</f>
        <v>FALSO</v>
      </c>
    </row>
    <row r="3748">
      <c r="B3748" s="186" t="str">
        <f>IFERROR(__xludf.DUMMYFUNCTION("""COMPUTED_VALUE"""),"PI5356Y")</f>
        <v>PI5356Y</v>
      </c>
      <c r="C3748" s="186" t="str">
        <f>IFERROR(__xludf.DUMMYFUNCTION("""COMPUTED_VALUE"""),"COPO PARA VIAGEM VAI E FAZ")</f>
        <v>COPO PARA VIAGEM VAI E FAZ</v>
      </c>
      <c r="D3748" s="186" t="str">
        <f>IFERROR(__xludf.DUMMYFUNCTION("""COMPUTED_VALUE"""),"FALSO")</f>
        <v>FALSO</v>
      </c>
    </row>
    <row r="3749">
      <c r="B3749" s="186" t="str">
        <f>IFERROR(__xludf.DUMMYFUNCTION("""COMPUTED_VALUE"""),"PI5490Y")</f>
        <v>PI5490Y</v>
      </c>
      <c r="C3749" s="186" t="str">
        <f>IFERROR(__xludf.DUMMYFUNCTION("""COMPUTED_VALUE"""),"COPO PARA VIAGEM P HP LEVIOSA")</f>
        <v>COPO PARA VIAGEM P HP LEVIOSA</v>
      </c>
      <c r="D3749" s="186" t="str">
        <f>IFERROR(__xludf.DUMMYFUNCTION("""COMPUTED_VALUE"""),"FALSO")</f>
        <v>FALSO</v>
      </c>
    </row>
    <row r="3750">
      <c r="B3750" s="186" t="str">
        <f>IFERROR(__xludf.DUMMYFUNCTION("""COMPUTED_VALUE"""),"PI7231Y")</f>
        <v>PI7231Y</v>
      </c>
      <c r="C3750" s="186" t="str">
        <f>IFERROR(__xludf.DUMMYFUNCTION("""COMPUTED_VALUE"""),"COPO PARA VIAGEM BEIJA FLOR")</f>
        <v>COPO PARA VIAGEM BEIJA FLOR</v>
      </c>
      <c r="D3750" s="186" t="str">
        <f>IFERROR(__xludf.DUMMYFUNCTION("""COMPUTED_VALUE"""),"FALSO")</f>
        <v>FALSO</v>
      </c>
    </row>
    <row r="3751">
      <c r="B3751" s="186" t="str">
        <f>IFERROR(__xludf.DUMMYFUNCTION("""COMPUTED_VALUE"""),"PI5473Y")</f>
        <v>PI5473Y</v>
      </c>
      <c r="C3751" s="186" t="str">
        <f>IFERROR(__xludf.DUMMYFUNCTION("""COMPUTED_VALUE"""),"COPO PARA VIAGEM ESTAMPA DEIXA FLUIR")</f>
        <v>COPO PARA VIAGEM ESTAMPA DEIXA FLUIR</v>
      </c>
      <c r="D3751" s="186" t="str">
        <f>IFERROR(__xludf.DUMMYFUNCTION("""COMPUTED_VALUE"""),"FALSO")</f>
        <v>FALSO</v>
      </c>
    </row>
    <row r="3752">
      <c r="B3752" s="186" t="str">
        <f>IFERROR(__xludf.DUMMYFUNCTION("""COMPUTED_VALUE"""),"PI5488Y")</f>
        <v>PI5488Y</v>
      </c>
      <c r="C3752" s="186" t="str">
        <f>IFERROR(__xludf.DUMMYFUNCTION("""COMPUTED_VALUE"""),"COPO PARA VIAGEM P SIGO MEU CAMINHO")</f>
        <v>COPO PARA VIAGEM P SIGO MEU CAMINHO</v>
      </c>
      <c r="D3752" s="186" t="str">
        <f>IFERROR(__xludf.DUMMYFUNCTION("""COMPUTED_VALUE"""),"FALSO")</f>
        <v>FALSO</v>
      </c>
    </row>
    <row r="3753">
      <c r="B3753" s="186" t="str">
        <f>IFERROR(__xludf.DUMMYFUNCTION("""COMPUTED_VALUE"""),"PI5476Y")</f>
        <v>PI5476Y</v>
      </c>
      <c r="C3753" s="186" t="str">
        <f>IFERROR(__xludf.DUMMYFUNCTION("""COMPUTED_VALUE"""),"COPO PARA VIAGEM SOL E GELADA")</f>
        <v>COPO PARA VIAGEM SOL E GELADA</v>
      </c>
      <c r="D3753" s="186" t="str">
        <f>IFERROR(__xludf.DUMMYFUNCTION("""COMPUTED_VALUE"""),"FALSO")</f>
        <v>FALSO</v>
      </c>
    </row>
    <row r="3754">
      <c r="B3754" s="186" t="str">
        <f>IFERROR(__xludf.DUMMYFUNCTION("""COMPUTED_VALUE"""),"PI5474Y")</f>
        <v>PI5474Y</v>
      </c>
      <c r="C3754" s="186" t="str">
        <f>IFERROR(__xludf.DUMMYFUNCTION("""COMPUTED_VALUE"""),"COPO PARA VIAGEM ONDA")</f>
        <v>COPO PARA VIAGEM ONDA</v>
      </c>
      <c r="D3754" s="186" t="str">
        <f>IFERROR(__xludf.DUMMYFUNCTION("""COMPUTED_VALUE"""),"FALSO")</f>
        <v>FALSO</v>
      </c>
    </row>
    <row r="3755">
      <c r="B3755" s="186" t="str">
        <f>IFERROR(__xludf.DUMMYFUNCTION("""COMPUTED_VALUE"""),"PI5484Y")</f>
        <v>PI5484Y</v>
      </c>
      <c r="C3755" s="186" t="str">
        <f>IFERROR(__xludf.DUMMYFUNCTION("""COMPUTED_VALUE"""),"COPO PARA VIAGEM GLITTER SMILE")</f>
        <v>COPO PARA VIAGEM GLITTER SMILE</v>
      </c>
      <c r="D3755" s="186" t="str">
        <f>IFERROR(__xludf.DUMMYFUNCTION("""COMPUTED_VALUE"""),"FALSO")</f>
        <v>FALSO</v>
      </c>
    </row>
    <row r="3756">
      <c r="B3756" s="186" t="str">
        <f>IFERROR(__xludf.DUMMYFUNCTION("""COMPUTED_VALUE"""),"PI5483Y")</f>
        <v>PI5483Y</v>
      </c>
      <c r="C3756" s="186" t="str">
        <f>IFERROR(__xludf.DUMMYFUNCTION("""COMPUTED_VALUE"""),"COPO PARA VIAGEM GLITTER CORACAO")</f>
        <v>COPO PARA VIAGEM GLITTER CORACAO</v>
      </c>
      <c r="D3756" s="186" t="str">
        <f>IFERROR(__xludf.DUMMYFUNCTION("""COMPUTED_VALUE"""),"FALSO")</f>
        <v>FALSO</v>
      </c>
    </row>
    <row r="3757">
      <c r="B3757" s="186" t="str">
        <f>IFERROR(__xludf.DUMMYFUNCTION("""COMPUTED_VALUE"""),"PI5342Y")</f>
        <v>PI5342Y</v>
      </c>
      <c r="C3757" s="186" t="str">
        <f>IFERROR(__xludf.DUMMYFUNCTION("""COMPUTED_VALUE"""),"COPO PARA VIAGEM COM ABRIDOR PRETO")</f>
        <v>COPO PARA VIAGEM COM ABRIDOR PRETO</v>
      </c>
      <c r="D3757" s="186" t="str">
        <f>IFERROR(__xludf.DUMMYFUNCTION("""COMPUTED_VALUE"""),"FALSO")</f>
        <v>FALSO</v>
      </c>
    </row>
    <row r="3758">
      <c r="B3758" s="186" t="str">
        <f>IFERROR(__xludf.DUMMYFUNCTION("""COMPUTED_VALUE"""),"PI5323Y")</f>
        <v>PI5323Y</v>
      </c>
      <c r="C3758" s="186" t="str">
        <f>IFERROR(__xludf.DUMMYFUNCTION("""COMPUTED_VALUE"""),"COPO PARA VIAGEM COM ABRIDOR GOL")</f>
        <v>COPO PARA VIAGEM COM ABRIDOR GOL</v>
      </c>
      <c r="D3758" s="186" t="str">
        <f>IFERROR(__xludf.DUMMYFUNCTION("""COMPUTED_VALUE"""),"FALSO")</f>
        <v>FALSO</v>
      </c>
    </row>
    <row r="3759">
      <c r="B3759" s="186" t="str">
        <f>IFERROR(__xludf.DUMMYFUNCTION("""COMPUTED_VALUE"""),"PI5281Y")</f>
        <v>PI5281Y</v>
      </c>
      <c r="C3759" s="186" t="str">
        <f>IFERROR(__xludf.DUMMYFUNCTION("""COMPUTED_VALUE"""),"ALMOFADA DE PESCOCO COM CAPUZ BOIA")</f>
        <v>ALMOFADA DE PESCOCO COM CAPUZ BOIA</v>
      </c>
      <c r="D3759" s="186" t="str">
        <f>IFERROR(__xludf.DUMMYFUNCTION("""COMPUTED_VALUE"""),"FALSO")</f>
        <v>FALSO</v>
      </c>
    </row>
    <row r="3760">
      <c r="B3760" s="186" t="str">
        <f>IFERROR(__xludf.DUMMYFUNCTION("""COMPUTED_VALUE"""),"PI5108Y")</f>
        <v>PI5108Y</v>
      </c>
      <c r="C3760" s="186" t="str">
        <f>IFERROR(__xludf.DUMMYFUNCTION("""COMPUTED_VALUE"""),"ALMOFADA DE PESCOCO COM MANTA HP MAPA")</f>
        <v>ALMOFADA DE PESCOCO COM MANTA HP MAPA</v>
      </c>
      <c r="D3760" s="186" t="str">
        <f>IFERROR(__xludf.DUMMYFUNCTION("""COMPUTED_VALUE"""),"FALSO")</f>
        <v>FALSO</v>
      </c>
    </row>
    <row r="3761">
      <c r="B3761" s="186" t="str">
        <f>IFERROR(__xludf.DUMMYFUNCTION("""COMPUTED_VALUE"""),"PI5185Y")</f>
        <v>PI5185Y</v>
      </c>
      <c r="C3761" s="186" t="str">
        <f>IFERROR(__xludf.DUMMYFUNCTION("""COMPUTED_VALUE"""),"ALMOFADA DE PESCOCO COM MANTA LA FLORA")</f>
        <v>ALMOFADA DE PESCOCO COM MANTA LA FLORA</v>
      </c>
      <c r="D3761" s="186" t="str">
        <f>IFERROR(__xludf.DUMMYFUNCTION("""COMPUTED_VALUE"""),"FALSO")</f>
        <v>FALSO</v>
      </c>
    </row>
    <row r="3762">
      <c r="B3762" s="186" t="str">
        <f>IFERROR(__xludf.DUMMYFUNCTION("""COMPUTED_VALUE"""),"PI6240Y")</f>
        <v>PI6240Y</v>
      </c>
      <c r="C3762" s="186" t="str">
        <f>IFERROR(__xludf.DUMMYFUNCTION("""COMPUTED_VALUE"""),"ALMOFADA DE VIAGEM COM MÁSCARA HP LUNA")</f>
        <v>ALMOFADA DE VIAGEM COM MÁSCARA HP LUNA</v>
      </c>
      <c r="D3762" s="186" t="str">
        <f>IFERROR(__xludf.DUMMYFUNCTION("""COMPUTED_VALUE"""),"INMETRO Toys System 5 - Ordinance 302")</f>
        <v>INMETRO Toys System 5 - Ordinance 302</v>
      </c>
    </row>
    <row r="3763">
      <c r="B3763" s="186" t="str">
        <f>IFERROR(__xludf.DUMMYFUNCTION("""COMPUTED_VALUE"""),"PI5090Y")</f>
        <v>PI5090Y</v>
      </c>
      <c r="C3763" s="186" t="str">
        <f>IFERROR(__xludf.DUMMYFUNCTION("""COMPUTED_VALUE"""),"ALMOFADA DE VIAGEM COM MASCARA CAPACETE")</f>
        <v>ALMOFADA DE VIAGEM COM MASCARA CAPACETE</v>
      </c>
      <c r="D3763" s="186" t="str">
        <f>IFERROR(__xludf.DUMMYFUNCTION("""COMPUTED_VALUE"""),"FALSO")</f>
        <v>FALSO</v>
      </c>
    </row>
    <row r="3764">
      <c r="B3764" s="186" t="str">
        <f>IFERROR(__xludf.DUMMYFUNCTION("""COMPUTED_VALUE"""),"PI5647Y")</f>
        <v>PI5647Y</v>
      </c>
      <c r="C3764" s="186" t="str">
        <f>IFERROR(__xludf.DUMMYFUNCTION("""COMPUTED_VALUE"""),"PORTA JOIAS DE VIAGEM PLANOS PRA HOJE")</f>
        <v>PORTA JOIAS DE VIAGEM PLANOS PRA HOJE</v>
      </c>
      <c r="D3764" s="186" t="str">
        <f>IFERROR(__xludf.DUMMYFUNCTION("""COMPUTED_VALUE"""),"FALSO")</f>
        <v>FALSO</v>
      </c>
    </row>
    <row r="3765">
      <c r="B3765" s="186" t="str">
        <f>IFERROR(__xludf.DUMMYFUNCTION("""COMPUTED_VALUE"""),"PI5647Y")</f>
        <v>PI5647Y</v>
      </c>
      <c r="C3765" s="186" t="str">
        <f>IFERROR(__xludf.DUMMYFUNCTION("""COMPUTED_VALUE"""),"PORTA JOIAS DE VIAGEM PLANOS PRA HOJE")</f>
        <v>PORTA JOIAS DE VIAGEM PLANOS PRA HOJE</v>
      </c>
      <c r="D3765" s="186" t="str">
        <f>IFERROR(__xludf.DUMMYFUNCTION("""COMPUTED_VALUE"""),"FALSO")</f>
        <v>FALSO</v>
      </c>
    </row>
    <row r="3766">
      <c r="B3766" s="186" t="str">
        <f>IFERROR(__xludf.DUMMYFUNCTION("""COMPUTED_VALUE"""),"PI5647Y")</f>
        <v>PI5647Y</v>
      </c>
      <c r="C3766" s="186" t="str">
        <f>IFERROR(__xludf.DUMMYFUNCTION("""COMPUTED_VALUE"""),"PORTA JOIAS DE VIAGEM PLANOS PRA HOJE")</f>
        <v>PORTA JOIAS DE VIAGEM PLANOS PRA HOJE</v>
      </c>
      <c r="D3766" s="186" t="str">
        <f>IFERROR(__xludf.DUMMYFUNCTION("""COMPUTED_VALUE"""),"FALSO")</f>
        <v>FALSO</v>
      </c>
    </row>
    <row r="3767">
      <c r="B3767" s="186" t="str">
        <f>IFERROR(__xludf.DUMMYFUNCTION("""COMPUTED_VALUE"""),"PI5647Y")</f>
        <v>PI5647Y</v>
      </c>
      <c r="C3767" s="186" t="str">
        <f>IFERROR(__xludf.DUMMYFUNCTION("""COMPUTED_VALUE"""),"PORTA JOIAS DE VIAGEM PLANOS PRA HOJE")</f>
        <v>PORTA JOIAS DE VIAGEM PLANOS PRA HOJE</v>
      </c>
      <c r="D3767" s="186" t="str">
        <f>IFERROR(__xludf.DUMMYFUNCTION("""COMPUTED_VALUE"""),"FALSO")</f>
        <v>FALSO</v>
      </c>
    </row>
    <row r="3768">
      <c r="B3768" s="186"/>
      <c r="C3768" s="186"/>
      <c r="D3768" s="186"/>
    </row>
    <row r="3769">
      <c r="B3769" s="186" t="str">
        <f>IFERROR(__xludf.DUMMYFUNCTION("""COMPUTED_VALUE"""),"PI5647Y")</f>
        <v>PI5647Y</v>
      </c>
      <c r="C3769" s="186" t="str">
        <f>IFERROR(__xludf.DUMMYFUNCTION("""COMPUTED_VALUE"""),"PORTA JOIAS DE VIAGEM PLANOS PRA HOJE")</f>
        <v>PORTA JOIAS DE VIAGEM PLANOS PRA HOJE</v>
      </c>
      <c r="D3769" s="186" t="str">
        <f>IFERROR(__xludf.DUMMYFUNCTION("""COMPUTED_VALUE"""),"FALSO")</f>
        <v>FALSO</v>
      </c>
    </row>
    <row r="3770">
      <c r="B3770" s="186" t="str">
        <f>IFERROR(__xludf.DUMMYFUNCTION("""COMPUTED_VALUE"""),"PI5647Y")</f>
        <v>PI5647Y</v>
      </c>
      <c r="C3770" s="186" t="str">
        <f>IFERROR(__xludf.DUMMYFUNCTION("""COMPUTED_VALUE"""),"PORTA JOIAS DE VIAGEM PLANOS PRA HOJE")</f>
        <v>PORTA JOIAS DE VIAGEM PLANOS PRA HOJE</v>
      </c>
      <c r="D3770" s="186" t="str">
        <f>IFERROR(__xludf.DUMMYFUNCTION("""COMPUTED_VALUE"""),"FALSO")</f>
        <v>FALSO</v>
      </c>
    </row>
    <row r="3771">
      <c r="B3771" s="186" t="str">
        <f>IFERROR(__xludf.DUMMYFUNCTION("""COMPUTED_VALUE"""),"PI2376Y")</f>
        <v>PI2376Y</v>
      </c>
      <c r="C3771" s="186" t="str">
        <f>IFERROR(__xludf.DUMMYFUNCTION("""COMPUTED_VALUE"""),"CANECA PARA VIAGEM LEVO MEU CAFE")</f>
        <v>CANECA PARA VIAGEM LEVO MEU CAFE</v>
      </c>
      <c r="D3771" s="186" t="str">
        <f>IFERROR(__xludf.DUMMYFUNCTION("""COMPUTED_VALUE"""),"FALSO")</f>
        <v>FALSO</v>
      </c>
    </row>
    <row r="3772">
      <c r="B3772" s="186" t="str">
        <f>IFERROR(__xludf.DUMMYFUNCTION("""COMPUTED_VALUE"""),"PI2376Y")</f>
        <v>PI2376Y</v>
      </c>
      <c r="C3772" s="186" t="str">
        <f>IFERROR(__xludf.DUMMYFUNCTION("""COMPUTED_VALUE"""),"CANECA PARA VIAGEM LEVO MEU CAFE")</f>
        <v>CANECA PARA VIAGEM LEVO MEU CAFE</v>
      </c>
      <c r="D3772" s="186" t="str">
        <f>IFERROR(__xludf.DUMMYFUNCTION("""COMPUTED_VALUE"""),"FALSO")</f>
        <v>FALSO</v>
      </c>
    </row>
    <row r="3773">
      <c r="B3773" s="186" t="str">
        <f>IFERROR(__xludf.DUMMYFUNCTION("""COMPUTED_VALUE"""),"PI5570Y")</f>
        <v>PI5570Y</v>
      </c>
      <c r="C3773" s="186" t="str">
        <f>IFERROR(__xludf.DUMMYFUNCTION("""COMPUTED_VALUE"""),"KIT VIAGEM PASSAPORTE E TAG HP HOGWARTS")</f>
        <v>KIT VIAGEM PASSAPORTE E TAG HP HOGWARTS</v>
      </c>
      <c r="D3773" s="186" t="str">
        <f>IFERROR(__xludf.DUMMYFUNCTION("""COMPUTED_VALUE"""),"FALSO")</f>
        <v>FALSO</v>
      </c>
    </row>
    <row r="3774">
      <c r="B3774" s="186" t="str">
        <f>IFERROR(__xludf.DUMMYFUNCTION("""COMPUTED_VALUE"""),"PI5569Y")</f>
        <v>PI5569Y</v>
      </c>
      <c r="C3774" s="186" t="str">
        <f>IFERROR(__xludf.DUMMYFUNCTION("""COMPUTED_VALUE"""),"KIT VIAGEM PASSAPORTE E TAG SMILE")</f>
        <v>KIT VIAGEM PASSAPORTE E TAG SMILE</v>
      </c>
      <c r="D3774" s="186" t="str">
        <f>IFERROR(__xludf.DUMMYFUNCTION("""COMPUTED_VALUE"""),"FALSO")</f>
        <v>FALSO</v>
      </c>
    </row>
    <row r="3775">
      <c r="B3775" s="186" t="str">
        <f>IFERROR(__xludf.DUMMYFUNCTION("""COMPUTED_VALUE"""),"PI6336Y")</f>
        <v>PI6336Y</v>
      </c>
      <c r="C3775" s="186" t="str">
        <f>IFERROR(__xludf.DUMMYFUNCTION("""COMPUTED_VALUE"""),"COPO PARA VIAGEM UM BOM DIA")</f>
        <v>COPO PARA VIAGEM UM BOM DIA</v>
      </c>
      <c r="D3775" s="186" t="str">
        <f>IFERROR(__xludf.DUMMYFUNCTION("""COMPUTED_VALUE"""),"FALSO")</f>
        <v>FALSO</v>
      </c>
    </row>
    <row r="3776">
      <c r="B3776" s="186" t="str">
        <f>IFERROR(__xludf.DUMMYFUNCTION("""COMPUTED_VALUE"""),"PI6337Y")</f>
        <v>PI6337Y</v>
      </c>
      <c r="C3776" s="186" t="str">
        <f>IFERROR(__xludf.DUMMYFUNCTION("""COMPUTED_VALUE"""),"COPO PARA VIAGEM DE GRÃO EM GRÃO")</f>
        <v>COPO PARA VIAGEM DE GRÃO EM GRÃO</v>
      </c>
      <c r="D3776" s="186" t="str">
        <f>IFERROR(__xludf.DUMMYFUNCTION("""COMPUTED_VALUE"""),"FALSO")</f>
        <v>FALSO</v>
      </c>
    </row>
    <row r="3777">
      <c r="B3777" s="186" t="str">
        <f>IFERROR(__xludf.DUMMYFUNCTION("""COMPUTED_VALUE"""),"CS2170")</f>
        <v>CS2170</v>
      </c>
      <c r="C3777" s="186" t="str">
        <f>IFERROR(__xludf.DUMMYFUNCTION("""COMPUTED_VALUE"""),"TRIO DE CANECAS BATERIA DA FAMILIA")</f>
        <v>TRIO DE CANECAS BATERIA DA FAMILIA</v>
      </c>
      <c r="D3777" s="186" t="str">
        <f>IFERROR(__xludf.DUMMYFUNCTION("""COMPUTED_VALUE"""),"FALSO")</f>
        <v>FALSO</v>
      </c>
    </row>
    <row r="3778">
      <c r="B3778" s="186" t="str">
        <f>IFERROR(__xludf.DUMMYFUNCTION("""COMPUTED_VALUE"""),"CS2188")</f>
        <v>CS2188</v>
      </c>
      <c r="C3778" s="186" t="str">
        <f>IFERROR(__xludf.DUMMYFUNCTION("""COMPUTED_VALUE"""),"TRIO DE COPOS DE CERVEJA MEDIDAS")</f>
        <v>TRIO DE COPOS DE CERVEJA MEDIDAS</v>
      </c>
      <c r="D3778" s="186" t="str">
        <f>IFERROR(__xludf.DUMMYFUNCTION("""COMPUTED_VALUE"""),"FALSO")</f>
        <v>FALSO</v>
      </c>
    </row>
    <row r="3779">
      <c r="B3779" s="186" t="str">
        <f>IFERROR(__xludf.DUMMYFUNCTION("""COMPUTED_VALUE"""),"PI7795Y")</f>
        <v>PI7795Y</v>
      </c>
      <c r="C3779" s="186" t="str">
        <f>IFERROR(__xludf.DUMMYFUNCTION("""COMPUTED_VALUE"""),"TRIO PORTA RETRATO GLITTER DOLCE VITA")</f>
        <v>TRIO PORTA RETRATO GLITTER DOLCE VITA</v>
      </c>
      <c r="D3779" s="186" t="str">
        <f>IFERROR(__xludf.DUMMYFUNCTION("""COMPUTED_VALUE"""),"FALSO")</f>
        <v>FALSO</v>
      </c>
    </row>
    <row r="3780">
      <c r="B3780" s="186" t="str">
        <f>IFERROR(__xludf.DUMMYFUNCTION("""COMPUTED_VALUE"""),"PI7445Y")</f>
        <v>PI7445Y</v>
      </c>
      <c r="C3780" s="186" t="str">
        <f>IFERROR(__xludf.DUMMYFUNCTION("""COMPUTED_VALUE"""),"TRIO PORTA RETRATOS RETANGULARES GLITTER")</f>
        <v>TRIO PORTA RETRATOS RETANGULARES GLITTER</v>
      </c>
      <c r="D3780" s="186" t="str">
        <f>IFERROR(__xludf.DUMMYFUNCTION("""COMPUTED_VALUE"""),"FALSO")</f>
        <v>FALSO</v>
      </c>
    </row>
    <row r="3781">
      <c r="B3781" s="186" t="str">
        <f>IFERROR(__xludf.DUMMYFUNCTION("""COMPUTED_VALUE"""),"PI4772Y")</f>
        <v>PI4772Y</v>
      </c>
      <c r="C3781" s="186" t="str">
        <f>IFERROR(__xludf.DUMMYFUNCTION("""COMPUTED_VALUE"""),"PORTA RETRATO TRIPLO CORACOES")</f>
        <v>PORTA RETRATO TRIPLO CORACOES</v>
      </c>
      <c r="D3781" s="186" t="str">
        <f>IFERROR(__xludf.DUMMYFUNCTION("""COMPUTED_VALUE"""),"FALSO")</f>
        <v>FALSO</v>
      </c>
    </row>
    <row r="3782">
      <c r="B3782" s="186" t="str">
        <f>IFERROR(__xludf.DUMMYFUNCTION("""COMPUTED_VALUE"""),"PI7798Y")</f>
        <v>PI7798Y</v>
      </c>
      <c r="C3782" s="186" t="str">
        <f>IFERROR(__xludf.DUMMYFUNCTION("""COMPUTED_VALUE"""),"JOGO VERDADE OU DESAFIO DOLCE VITA")</f>
        <v>JOGO VERDADE OU DESAFIO DOLCE VITA</v>
      </c>
      <c r="D3782" s="186" t="str">
        <f>IFERROR(__xludf.DUMMYFUNCTION("""COMPUTED_VALUE"""),"FALSO")</f>
        <v>FALSO</v>
      </c>
    </row>
    <row r="3783">
      <c r="B3783" s="186" t="str">
        <f>IFERROR(__xludf.DUMMYFUNCTION("""COMPUTED_VALUE"""),"PI6574Y")</f>
        <v>PI6574Y</v>
      </c>
      <c r="C3783" s="186" t="str">
        <f>IFERROR(__xludf.DUMMYFUNCTION("""COMPUTED_VALUE"""),"JOGO VERDADE OU DESAFIO PARA CASAIS")</f>
        <v>JOGO VERDADE OU DESAFIO PARA CASAIS</v>
      </c>
      <c r="D3783" s="186" t="str">
        <f>IFERROR(__xludf.DUMMYFUNCTION("""COMPUTED_VALUE"""),"FALSO")</f>
        <v>FALSO</v>
      </c>
    </row>
    <row r="3784">
      <c r="B3784" s="186" t="str">
        <f>IFERROR(__xludf.DUMMYFUNCTION("""COMPUTED_VALUE"""),"US0100")</f>
        <v>US0100</v>
      </c>
      <c r="C3784" s="186" t="str">
        <f>IFERROR(__xludf.DUMMYFUNCTION("""COMPUTED_VALUE"""),"LUMINARIA TUBARAOZINHO AZUL")</f>
        <v>LUMINARIA TUBARAOZINHO AZUL</v>
      </c>
      <c r="D3784" s="186" t="str">
        <f>IFERROR(__xludf.DUMMYFUNCTION("""COMPUTED_VALUE"""),"FALSO")</f>
        <v>FALSO</v>
      </c>
    </row>
    <row r="3785">
      <c r="B3785" s="186" t="str">
        <f>IFERROR(__xludf.DUMMYFUNCTION("""COMPUTED_VALUE"""),"PI5493Y")</f>
        <v>PI5493Y</v>
      </c>
      <c r="C3785" s="186" t="str">
        <f>IFERROR(__xludf.DUMMYFUNCTION("""COMPUTED_VALUE"""),"TULIPA MUDA DE COR ICEBEER")</f>
        <v>TULIPA MUDA DE COR ICEBEER</v>
      </c>
      <c r="D3785" s="186" t="str">
        <f>IFERROR(__xludf.DUMMYFUNCTION("""COMPUTED_VALUE"""),"FALSO")</f>
        <v>FALSO</v>
      </c>
    </row>
    <row r="3786">
      <c r="B3786" s="186" t="str">
        <f>IFERROR(__xludf.DUMMYFUNCTION("""COMPUTED_VALUE"""),"PI6045Y")</f>
        <v>PI6045Y</v>
      </c>
      <c r="C3786" s="186" t="str">
        <f>IFERROR(__xludf.DUMMYFUNCTION("""COMPUTED_VALUE"""),"GUARDA CHUVA FEIJOEZINHOS SABORES HP")</f>
        <v>GUARDA CHUVA FEIJOEZINHOS SABORES HP</v>
      </c>
      <c r="D3786" s="186" t="str">
        <f>IFERROR(__xludf.DUMMYFUNCTION("""COMPUTED_VALUE"""),"FALSO")</f>
        <v>FALSO</v>
      </c>
    </row>
    <row r="3787">
      <c r="B3787" s="186" t="str">
        <f>IFERROR(__xludf.DUMMYFUNCTION("""COMPUTED_VALUE"""),"PI3220Y")</f>
        <v>PI3220Y</v>
      </c>
      <c r="C3787" s="186" t="str">
        <f>IFERROR(__xludf.DUMMYFUNCTION("""COMPUTED_VALUE"""),"GUARDA CHUVA CORACAO")</f>
        <v>GUARDA CHUVA CORACAO</v>
      </c>
      <c r="D3787" s="186" t="str">
        <f>IFERROR(__xludf.DUMMYFUNCTION("""COMPUTED_VALUE"""),"FALSO")</f>
        <v>FALSO</v>
      </c>
    </row>
    <row r="3788">
      <c r="B3788" s="186" t="str">
        <f>IFERROR(__xludf.DUMMYFUNCTION("""COMPUTED_VALUE"""),"PI3220Y")</f>
        <v>PI3220Y</v>
      </c>
      <c r="C3788" s="186" t="str">
        <f>IFERROR(__xludf.DUMMYFUNCTION("""COMPUTED_VALUE"""),"GUARDA CHUVA CORACAO")</f>
        <v>GUARDA CHUVA CORACAO</v>
      </c>
      <c r="D3788" s="186" t="str">
        <f>IFERROR(__xludf.DUMMYFUNCTION("""COMPUTED_VALUE"""),"FALSO")</f>
        <v>FALSO</v>
      </c>
    </row>
    <row r="3789">
      <c r="B3789" s="186" t="str">
        <f>IFERROR(__xludf.DUMMYFUNCTION("""COMPUTED_VALUE"""),"PI3220Y")</f>
        <v>PI3220Y</v>
      </c>
      <c r="C3789" s="186" t="str">
        <f>IFERROR(__xludf.DUMMYFUNCTION("""COMPUTED_VALUE"""),"GUARDA CHUVA CORACAO")</f>
        <v>GUARDA CHUVA CORACAO</v>
      </c>
      <c r="D3789" s="186" t="str">
        <f>IFERROR(__xludf.DUMMYFUNCTION("""COMPUTED_VALUE"""),"FALSO")</f>
        <v>FALSO</v>
      </c>
    </row>
    <row r="3790">
      <c r="B3790" s="186" t="str">
        <f>IFERROR(__xludf.DUMMYFUNCTION("""COMPUTED_VALUE"""),"PI3220Y")</f>
        <v>PI3220Y</v>
      </c>
      <c r="C3790" s="186" t="str">
        <f>IFERROR(__xludf.DUMMYFUNCTION("""COMPUTED_VALUE"""),"GUARDA CHUVA CORACAO")</f>
        <v>GUARDA CHUVA CORACAO</v>
      </c>
      <c r="D3790" s="186" t="str">
        <f>IFERROR(__xludf.DUMMYFUNCTION("""COMPUTED_VALUE"""),"FALSO")</f>
        <v>FALSO</v>
      </c>
    </row>
    <row r="3791">
      <c r="B3791" s="186" t="str">
        <f>IFERROR(__xludf.DUMMYFUNCTION("""COMPUTED_VALUE"""),"PI3220Y")</f>
        <v>PI3220Y</v>
      </c>
      <c r="C3791" s="186" t="str">
        <f>IFERROR(__xludf.DUMMYFUNCTION("""COMPUTED_VALUE"""),"GUARDA CHUVA CORACAO")</f>
        <v>GUARDA CHUVA CORACAO</v>
      </c>
      <c r="D3791" s="186" t="str">
        <f>IFERROR(__xludf.DUMMYFUNCTION("""COMPUTED_VALUE"""),"FALSO")</f>
        <v>FALSO</v>
      </c>
    </row>
    <row r="3792">
      <c r="B3792" s="186" t="str">
        <f>IFERROR(__xludf.DUMMYFUNCTION("""COMPUTED_VALUE"""),"PI7553Y")</f>
        <v>PI7553Y</v>
      </c>
      <c r="C3792" s="186" t="str">
        <f>IFERROR(__xludf.DUMMYFUNCTION("""COMPUTED_VALUE"""),"CANETA PINGENTE UNICORNIO")</f>
        <v>CANETA PINGENTE UNICORNIO</v>
      </c>
      <c r="D3792" s="186" t="str">
        <f>IFERROR(__xludf.DUMMYFUNCTION("""COMPUTED_VALUE"""),"INMETRO SCHOOL ARTICLES SYSTEM 5 - ORDINANCE 481")</f>
        <v>INMETRO SCHOOL ARTICLES SYSTEM 5 - ORDINANCE 481</v>
      </c>
    </row>
    <row r="3793">
      <c r="B3793" s="186" t="str">
        <f>IFERROR(__xludf.DUMMYFUNCTION("""COMPUTED_VALUE"""),"PI7167Y")</f>
        <v>PI7167Y</v>
      </c>
      <c r="C3793" s="186" t="str">
        <f>IFERROR(__xludf.DUMMYFUNCTION("""COMPUTED_VALUE"""),"LUMINARIA DE SILICONE UNICORNIO")</f>
        <v>LUMINARIA DE SILICONE UNICORNIO</v>
      </c>
      <c r="D3793" s="186" t="str">
        <f>IFERROR(__xludf.DUMMYFUNCTION("""COMPUTED_VALUE"""),"FALSO")</f>
        <v>FALSO</v>
      </c>
    </row>
    <row r="3794">
      <c r="B3794" s="186" t="str">
        <f>IFERROR(__xludf.DUMMYFUNCTION("""COMPUTED_VALUE"""),"PI7382Y")</f>
        <v>PI7382Y</v>
      </c>
      <c r="C3794" s="186" t="str">
        <f>IFERROR(__xludf.DUMMYFUNCTION("""COMPUTED_VALUE"""),"PANTUFA UNICORNIO AURORA")</f>
        <v>PANTUFA UNICORNIO AURORA</v>
      </c>
      <c r="D3794" s="186" t="str">
        <f>IFERROR(__xludf.DUMMYFUNCTION("""COMPUTED_VALUE"""),"FALSO")</f>
        <v>FALSO</v>
      </c>
    </row>
    <row r="3795">
      <c r="B3795" s="186" t="str">
        <f>IFERROR(__xludf.DUMMYFUNCTION("""COMPUTED_VALUE"""),"US0101")</f>
        <v>US0101</v>
      </c>
      <c r="C3795" s="186" t="str">
        <f>IFERROR(__xludf.DUMMYFUNCTION("""COMPUTED_VALUE"""),"LUMINARIA URSINHO NATURAL")</f>
        <v>LUMINARIA URSINHO NATURAL</v>
      </c>
      <c r="D3795" s="186" t="str">
        <f>IFERROR(__xludf.DUMMYFUNCTION("""COMPUTED_VALUE"""),"FALSO")</f>
        <v>FALSO</v>
      </c>
    </row>
    <row r="3796">
      <c r="B3796" s="186" t="str">
        <f>IFERROR(__xludf.DUMMYFUNCTION("""COMPUTED_VALUE"""),"PI5235Y")</f>
        <v>PI5235Y</v>
      </c>
      <c r="C3796" s="186" t="str">
        <f>IFERROR(__xludf.DUMMYFUNCTION("""COMPUTED_VALUE"""),"TAMPA PARA VINHO A VACUO FECHOU")</f>
        <v>TAMPA PARA VINHO A VACUO FECHOU</v>
      </c>
      <c r="D3796" s="186" t="str">
        <f>IFERROR(__xludf.DUMMYFUNCTION("""COMPUTED_VALUE"""),"FALSO")</f>
        <v>FALSO</v>
      </c>
    </row>
    <row r="3797">
      <c r="B3797" s="186" t="str">
        <f>IFERROR(__xludf.DUMMYFUNCTION("""COMPUTED_VALUE"""),"PI4697Y")</f>
        <v>PI4697Y</v>
      </c>
      <c r="C3797" s="186" t="str">
        <f>IFERROR(__xludf.DUMMYFUNCTION("""COMPUTED_VALUE"""),"PORTA RETRATO COM VASO AMOR QUE CRESCE")</f>
        <v>PORTA RETRATO COM VASO AMOR QUE CRESCE</v>
      </c>
      <c r="D3797" s="186" t="str">
        <f>IFERROR(__xludf.DUMMYFUNCTION("""COMPUTED_VALUE"""),"FALSO")</f>
        <v>FALSO</v>
      </c>
    </row>
    <row r="3798">
      <c r="B3798" s="186" t="str">
        <f>IFERROR(__xludf.DUMMYFUNCTION("""COMPUTED_VALUE"""),"CS2388")</f>
        <v>CS2388</v>
      </c>
      <c r="C3798" s="186" t="str">
        <f>IFERROR(__xludf.DUMMYFUNCTION("""COMPUTED_VALUE"""),"VELA DE MASSAGEM AROMA CHA B NUDE")</f>
        <v>VELA DE MASSAGEM AROMA CHA B NUDE</v>
      </c>
      <c r="D3798" s="186" t="str">
        <f>IFERROR(__xludf.DUMMYFUNCTION("""COMPUTED_VALUE"""),"FALSO")</f>
        <v>FALSO</v>
      </c>
    </row>
    <row r="3799">
      <c r="B3799" s="186" t="str">
        <f>IFERROR(__xludf.DUMMYFUNCTION("""COMPUTED_VALUE"""),"CS2318")</f>
        <v>CS2318</v>
      </c>
      <c r="C3799" s="186" t="str">
        <f>IFERROR(__xludf.DUMMYFUNCTION("""COMPUTED_VALUE"""),"VELA DE MASSAGEM AROMA CITRIC VERMELHA")</f>
        <v>VELA DE MASSAGEM AROMA CITRIC VERMELHA</v>
      </c>
      <c r="D3799" s="186" t="str">
        <f>IFERROR(__xludf.DUMMYFUNCTION("""COMPUTED_VALUE"""),"FALSO")</f>
        <v>FALSO</v>
      </c>
    </row>
    <row r="3800">
      <c r="B3800" s="186" t="str">
        <f>IFERROR(__xludf.DUMMYFUNCTION("""COMPUTED_VALUE"""),"PI6246Y")</f>
        <v>PI6246Y</v>
      </c>
      <c r="C3800" s="186" t="str">
        <f>IFERROR(__xludf.DUMMYFUNCTION("""COMPUTED_VALUE"""),"LUMINARIA LAVA VULCAO")</f>
        <v>LUMINARIA LAVA VULCAO</v>
      </c>
      <c r="D3800" s="186" t="str">
        <f>IFERROR(__xludf.DUMMYFUNCTION("""COMPUTED_VALUE"""),"FALSO")</f>
        <v>FALSO</v>
      </c>
    </row>
    <row r="3801">
      <c r="B3801" s="186" t="str">
        <f>IFERROR(__xludf.DUMMYFUNCTION("""COMPUTED_VALUE"""),"PI6246Y")</f>
        <v>PI6246Y</v>
      </c>
      <c r="C3801" s="186" t="str">
        <f>IFERROR(__xludf.DUMMYFUNCTION("""COMPUTED_VALUE"""),"LUMINARIA LAVA VULCAO")</f>
        <v>LUMINARIA LAVA VULCAO</v>
      </c>
      <c r="D3801" s="186" t="str">
        <f>IFERROR(__xludf.DUMMYFUNCTION("""COMPUTED_VALUE"""),"FALSO")</f>
        <v>FALSO</v>
      </c>
    </row>
    <row r="3802">
      <c r="B3802" s="186" t="str">
        <f>IFERROR(__xludf.DUMMYFUNCTION("""COMPUTED_VALUE"""),"PI6260Y")</f>
        <v>PI6260Y</v>
      </c>
      <c r="C3802" s="186" t="str">
        <f>IFERROR(__xludf.DUMMYFUNCTION("""COMPUTED_VALUE"""),"VITROLA PÕE PRA TOCAR")</f>
        <v>VITROLA PÕE PRA TOCAR</v>
      </c>
      <c r="D3802" s="186" t="str">
        <f>IFERROR(__xludf.DUMMYFUNCTION("""COMPUTED_VALUE"""),"Anatel Category 2 - Bluetooth and Radiofrequency Comms")</f>
        <v>Anatel Category 2 - Bluetooth and Radiofrequency Comms</v>
      </c>
    </row>
    <row r="3803">
      <c r="B3803" s="186" t="str">
        <f>IFERROR(__xludf.DUMMYFUNCTION("""COMPUTED_VALUE"""),"PI5143Y")</f>
        <v>PI5143Y</v>
      </c>
      <c r="C3803" s="186" t="str">
        <f>IFERROR(__xludf.DUMMYFUNCTION("""COMPUTED_VALUE"""),"MAQUINA DE WAFFLE 127V STRANGER THINGS")</f>
        <v>MAQUINA DE WAFFLE 127V STRANGER THINGS</v>
      </c>
      <c r="D3803" s="186" t="str">
        <f>IFERROR(__xludf.DUMMYFUNCTION("""COMPUTED_VALUE"""),"INMETRO Electrical Security System 5 (Factory)")</f>
        <v>INMETRO Electrical Security System 5 (Factory)</v>
      </c>
    </row>
    <row r="3804">
      <c r="B3804" s="186" t="str">
        <f>IFERROR(__xludf.DUMMYFUNCTION("""COMPUTED_VALUE"""),"PI5144Y")</f>
        <v>PI5144Y</v>
      </c>
      <c r="C3804" s="186" t="str">
        <f>IFERROR(__xludf.DUMMYFUNCTION("""COMPUTED_VALUE"""),"MAQUINA DE WAFFLE 220V STRANGER THINGS")</f>
        <v>MAQUINA DE WAFFLE 220V STRANGER THINGS</v>
      </c>
      <c r="D3804" s="186" t="str">
        <f>IFERROR(__xludf.DUMMYFUNCTION("""COMPUTED_VALUE"""),"INMETRO Electrical Security System 5 (Factory)")</f>
        <v>INMETRO Electrical Security System 5 (Factory)</v>
      </c>
    </row>
    <row r="3805">
      <c r="B3805" s="186" t="str">
        <f>IFERROR(__xludf.DUMMYFUNCTION("""COMPUTED_VALUE"""),"PI7506Y")</f>
        <v>PI7506Y</v>
      </c>
      <c r="C3805" s="186" t="str">
        <f>IFERROR(__xludf.DUMMYFUNCTION("""COMPUTED_VALUE"""),"CALENDARIO DE PAREDE 2026")</f>
        <v>CALENDARIO DE PAREDE 2026</v>
      </c>
      <c r="D3805" s="186" t="str">
        <f>IFERROR(__xludf.DUMMYFUNCTION("""COMPUTED_VALUE"""),"FALSO")</f>
        <v>FALSO</v>
      </c>
    </row>
    <row r="3806">
      <c r="B3806" s="186" t="str">
        <f>IFERROR(__xludf.DUMMYFUNCTION("""COMPUTED_VALUE"""),"PI6483Y")</f>
        <v>PI6483Y</v>
      </c>
      <c r="C3806" s="186" t="str">
        <f>IFERROR(__xludf.DUMMYFUNCTION("""COMPUTED_VALUE"""),"RELOGIO DE PAREDE KARATE")</f>
        <v>RELOGIO DE PAREDE KARATE</v>
      </c>
      <c r="D3806" s="186" t="str">
        <f>IFERROR(__xludf.DUMMYFUNCTION("""COMPUTED_VALUE"""),"FALSO")</f>
        <v>FALSO</v>
      </c>
    </row>
    <row r="3807">
      <c r="B3807" s="186" t="str">
        <f>IFERROR(__xludf.DUMMYFUNCTION("""COMPUTED_VALUE"""),"PI6481Y")</f>
        <v>PI6481Y</v>
      </c>
      <c r="C3807" s="186" t="str">
        <f>IFERROR(__xludf.DUMMYFUNCTION("""COMPUTED_VALUE"""),"RELOGIO DE PAREDE YOGA")</f>
        <v>RELOGIO DE PAREDE YOGA</v>
      </c>
      <c r="D3807" s="186" t="str">
        <f>IFERROR(__xludf.DUMMYFUNCTION("""COMPUTED_VALUE"""),"FALSO")</f>
        <v>FALSO</v>
      </c>
    </row>
    <row r="3808">
      <c r="B3808" s="186" t="str">
        <f>IFERROR(__xludf.DUMMYFUNCTION("""COMPUTED_VALUE"""),"PI6024Y")</f>
        <v>PI6024Y</v>
      </c>
      <c r="C3808" s="186" t="str">
        <f>IFERROR(__xludf.DUMMYFUNCTION("""COMPUTED_VALUE"""),"BANDEIRA DE PAREDE GRIFINORIA HP")</f>
        <v>BANDEIRA DE PAREDE GRIFINORIA HP</v>
      </c>
      <c r="D3808" s="186" t="str">
        <f>IFERROR(__xludf.DUMMYFUNCTION("""COMPUTED_VALUE"""),"FALSO")</f>
        <v>FALSO</v>
      </c>
    </row>
    <row r="3809">
      <c r="B3809" s="186" t="str">
        <f>IFERROR(__xludf.DUMMYFUNCTION("""COMPUTED_VALUE"""),"PI6022Y")</f>
        <v>PI6022Y</v>
      </c>
      <c r="C3809" s="186" t="str">
        <f>IFERROR(__xludf.DUMMYFUNCTION("""COMPUTED_VALUE"""),"BANDEIRA DE PAREDE LUFA LUFA HP")</f>
        <v>BANDEIRA DE PAREDE LUFA LUFA HP</v>
      </c>
      <c r="D3809" s="186" t="str">
        <f>IFERROR(__xludf.DUMMYFUNCTION("""COMPUTED_VALUE"""),"FALSO")</f>
        <v>FALSO</v>
      </c>
    </row>
    <row r="3810">
      <c r="B3810" s="186" t="str">
        <f>IFERROR(__xludf.DUMMYFUNCTION("""COMPUTED_VALUE"""),"PI6023Y")</f>
        <v>PI6023Y</v>
      </c>
      <c r="C3810" s="186" t="str">
        <f>IFERROR(__xludf.DUMMYFUNCTION("""COMPUTED_VALUE"""),"BANDEIRA DE PAREDE CORVINAL HP")</f>
        <v>BANDEIRA DE PAREDE CORVINAL HP</v>
      </c>
      <c r="D3810" s="186" t="str">
        <f>IFERROR(__xludf.DUMMYFUNCTION("""COMPUTED_VALUE"""),"FALSO")</f>
        <v>FALSO</v>
      </c>
    </row>
    <row r="3811">
      <c r="B3811" s="186" t="str">
        <f>IFERROR(__xludf.DUMMYFUNCTION("""COMPUTED_VALUE"""),"PI6021Y")</f>
        <v>PI6021Y</v>
      </c>
      <c r="C3811" s="186" t="str">
        <f>IFERROR(__xludf.DUMMYFUNCTION("""COMPUTED_VALUE"""),"BANDEIRA DE PAREDE SONSERINA HP")</f>
        <v>BANDEIRA DE PAREDE SONSERINA HP</v>
      </c>
      <c r="D3811" s="186" t="str">
        <f>IFERROR(__xludf.DUMMYFUNCTION("""COMPUTED_VALUE"""),"FALSO")</f>
        <v>FALSO</v>
      </c>
    </row>
    <row r="3812">
      <c r="B3812" s="186" t="str">
        <f>IFERROR(__xludf.DUMMYFUNCTION("""COMPUTED_VALUE"""),"PI5903Y")</f>
        <v>PI5903Y</v>
      </c>
      <c r="C3812" s="186" t="str">
        <f>IFERROR(__xludf.DUMMYFUNCTION("""COMPUTED_VALUE"""),"PAINEL DE PAREDE COM GANCHOS PIANO")</f>
        <v>PAINEL DE PAREDE COM GANCHOS PIANO</v>
      </c>
      <c r="D3812" s="186" t="str">
        <f>IFERROR(__xludf.DUMMYFUNCTION("""COMPUTED_VALUE"""),"FALSO")</f>
        <v>FALSO</v>
      </c>
    </row>
    <row r="3813">
      <c r="B3813" s="186" t="str">
        <f>IFERROR(__xludf.DUMMYFUNCTION("""COMPUTED_VALUE"""),"PI6303Y")</f>
        <v>PI6303Y</v>
      </c>
      <c r="C3813" s="186" t="str">
        <f>IFERROR(__xludf.DUMMYFUNCTION("""COMPUTED_VALUE"""),"PAINEL DE FOTOS A JORNADA COMEÇA AQUI")</f>
        <v>PAINEL DE FOTOS A JORNADA COMEÇA AQUI</v>
      </c>
      <c r="D3813" s="186" t="str">
        <f>IFERROR(__xludf.DUMMYFUNCTION("""COMPUTED_VALUE"""),"FALSO")</f>
        <v>FALSO</v>
      </c>
    </row>
    <row r="3814">
      <c r="B3814" s="186" t="str">
        <f>IFERROR(__xludf.DUMMYFUNCTION("""COMPUTED_VALUE"""),"PI6304Y")</f>
        <v>PI6304Y</v>
      </c>
      <c r="C3814" s="186" t="str">
        <f>IFERROR(__xludf.DUMMYFUNCTION("""COMPUTED_VALUE"""),"PAINEL DE FOTOS DUPLA IMBATÍVEL")</f>
        <v>PAINEL DE FOTOS DUPLA IMBATÍVEL</v>
      </c>
      <c r="D3814" s="186" t="str">
        <f>IFERROR(__xludf.DUMMYFUNCTION("""COMPUTED_VALUE"""),"FALSO")</f>
        <v>FALSO</v>
      </c>
    </row>
    <row r="3815">
      <c r="B3815" s="186" t="str">
        <f>IFERROR(__xludf.DUMMYFUNCTION("""COMPUTED_VALUE"""),"PI7299Y")</f>
        <v>PI7299Y</v>
      </c>
      <c r="C3815" s="186" t="str">
        <f>IFERROR(__xludf.DUMMYFUNCTION("""COMPUTED_VALUE"""),"CANETA VARINHA HP DUMBLEDORE")</f>
        <v>CANETA VARINHA HP DUMBLEDORE</v>
      </c>
      <c r="D3815" s="186" t="str">
        <f>IFERROR(__xludf.DUMMYFUNCTION("""COMPUTED_VALUE"""),"	INMETRO SCHOOL ARTICLES - ORDINANCE 423")</f>
        <v>	INMETRO SCHOOL ARTICLES - ORDINANCE 423</v>
      </c>
    </row>
    <row r="3816">
      <c r="B3816" s="186" t="str">
        <f>IFERROR(__xludf.DUMMYFUNCTION("""COMPUTED_VALUE"""),"PI6831Y")</f>
        <v>PI6831Y</v>
      </c>
      <c r="C3816" s="186" t="str">
        <f>IFERROR(__xludf.DUMMYFUNCTION("""COMPUTED_VALUE"""),"CANETA VARINHA HP HARRY POTTER")</f>
        <v>CANETA VARINHA HP HARRY POTTER</v>
      </c>
      <c r="D3816" s="186" t="str">
        <f>IFERROR(__xludf.DUMMYFUNCTION("""COMPUTED_VALUE"""),"INMETRO SCHOOL ARTICLES - ORDINANCE 423")</f>
        <v>INMETRO SCHOOL ARTICLES - ORDINANCE 423</v>
      </c>
    </row>
    <row r="3817">
      <c r="B3817" s="186" t="str">
        <f>IFERROR(__xludf.DUMMYFUNCTION("""COMPUTED_VALUE"""),"PI6831Y")</f>
        <v>PI6831Y</v>
      </c>
      <c r="C3817" s="186" t="str">
        <f>IFERROR(__xludf.DUMMYFUNCTION("""COMPUTED_VALUE"""),"CANETA VARINHA HP HARRY POTTER")</f>
        <v>CANETA VARINHA HP HARRY POTTER</v>
      </c>
      <c r="D3817" s="186" t="str">
        <f>IFERROR(__xludf.DUMMYFUNCTION("""COMPUTED_VALUE"""),"INMETRO SCHOOL ARTICLES - ORDINANCE 423")</f>
        <v>INMETRO SCHOOL ARTICLES - ORDINANCE 423</v>
      </c>
    </row>
    <row r="3818">
      <c r="B3818" s="186"/>
      <c r="C3818" s="186"/>
      <c r="D3818" s="186"/>
    </row>
    <row r="3819">
      <c r="B3819" s="186" t="str">
        <f>IFERROR(__xludf.DUMMYFUNCTION("""COMPUTED_VALUE"""),"PI6253Y")</f>
        <v>PI6253Y</v>
      </c>
      <c r="C3819" s="186" t="str">
        <f>IFERROR(__xludf.DUMMYFUNCTION("""COMPUTED_VALUE"""),"ALMOFADA DE PESCOÇO AQUECEDORA RELAX")</f>
        <v>ALMOFADA DE PESCOÇO AQUECEDORA RELAX</v>
      </c>
      <c r="D3819" s="186" t="str">
        <f>IFERROR(__xludf.DUMMYFUNCTION("""COMPUTED_VALUE"""),"FALSO")</f>
        <v>FALSO</v>
      </c>
    </row>
    <row r="3820">
      <c r="B3820" s="186" t="str">
        <f>IFERROR(__xludf.DUMMYFUNCTION("""COMPUTED_VALUE"""),"PI6231Y")</f>
        <v>PI6231Y</v>
      </c>
      <c r="C3820" s="186" t="str">
        <f>IFERROR(__xludf.DUMMYFUNCTION("""COMPUTED_VALUE"""),"PAINEL ORGANIZADOR SEMANAL NÃO ESQUECER")</f>
        <v>PAINEL ORGANIZADOR SEMANAL NÃO ESQUECER</v>
      </c>
      <c r="D3820" s="186" t="str">
        <f>IFERROR(__xludf.DUMMYFUNCTION("""COMPUTED_VALUE"""),"FALSO")</f>
        <v>FALSO</v>
      </c>
    </row>
    <row r="3821">
      <c r="B3821" s="186" t="str">
        <f>IFERROR(__xludf.DUMMYFUNCTION("""COMPUTED_VALUE"""),"PI5433Y")</f>
        <v>PI5433Y</v>
      </c>
      <c r="C3821" s="186" t="str">
        <f>IFERROR(__xludf.DUMMYFUNCTION("""COMPUTED_VALUE"""),"KIT ORGANIZADOR SEMANAL TUDO FLUI")</f>
        <v>KIT ORGANIZADOR SEMANAL TUDO FLUI</v>
      </c>
      <c r="D3821" s="186" t="str">
        <f>IFERROR(__xludf.DUMMYFUNCTION("""COMPUTED_VALUE"""),"FALSO")</f>
        <v>FALSO</v>
      </c>
    </row>
    <row r="3822">
      <c r="B3822" s="186" t="str">
        <f>IFERROR(__xludf.DUMMYFUNCTION("""COMPUTED_VALUE"""),"PI6172Y")</f>
        <v>PI6172Y</v>
      </c>
      <c r="C3822" s="186" t="str">
        <f>IFERROR(__xludf.DUMMYFUNCTION("""COMPUTED_VALUE"""),"KIT ORGANIZADOR PLANEJANDO MEU SUCESSO")</f>
        <v>KIT ORGANIZADOR PLANEJANDO MEU SUCESSO</v>
      </c>
      <c r="D3822" s="186" t="str">
        <f>IFERROR(__xludf.DUMMYFUNCTION("""COMPUTED_VALUE"""),"FALSO")</f>
        <v>FALSO</v>
      </c>
    </row>
    <row r="3823">
      <c r="B3823" s="186" t="str">
        <f>IFERROR(__xludf.DUMMYFUNCTION("""COMPUTED_VALUE"""),"PI6055Y")</f>
        <v>PI6055Y</v>
      </c>
      <c r="C3823" s="186" t="str">
        <f>IFERROR(__xludf.DUMMYFUNCTION("""COMPUTED_VALUE"""),"KIT ORGANIZADOR SEMANAL HOGWARTS HP")</f>
        <v>KIT ORGANIZADOR SEMANAL HOGWARTS HP</v>
      </c>
      <c r="D3823" s="186" t="str">
        <f>IFERROR(__xludf.DUMMYFUNCTION("""COMPUTED_VALUE"""),"FALSO")</f>
        <v>FALSO</v>
      </c>
    </row>
    <row r="3824">
      <c r="B3824" s="186" t="str">
        <f>IFERROR(__xludf.DUMMYFUNCTION("""COMPUTED_VALUE"""),"PI5372Y")</f>
        <v>PI5372Y</v>
      </c>
      <c r="C3824" s="186" t="str">
        <f>IFERROR(__xludf.DUMMYFUNCTION("""COMPUTED_VALUE"""),"KIT ORGANIZADOR SEMANAL BORBOLETAS Y2K")</f>
        <v>KIT ORGANIZADOR SEMANAL BORBOLETAS Y2K</v>
      </c>
      <c r="D3824" s="186" t="str">
        <f>IFERROR(__xludf.DUMMYFUNCTION("""COMPUTED_VALUE"""),"FALSO")</f>
        <v>FALSO</v>
      </c>
    </row>
    <row r="3825">
      <c r="B3825" s="186" t="str">
        <f>IFERROR(__xludf.DUMMYFUNCTION("""COMPUTED_VALUE"""),"PI4941Y")</f>
        <v>PI4941Y</v>
      </c>
      <c r="C3825" s="186" t="str">
        <f>IFERROR(__xludf.DUMMYFUNCTION("""COMPUTED_VALUE"""),"PLANNER SEMANAL ANOTA ACOES")</f>
        <v>PLANNER SEMANAL ANOTA ACOES</v>
      </c>
      <c r="D3825" s="186" t="str">
        <f>IFERROR(__xludf.DUMMYFUNCTION("""COMPUTED_VALUE"""),"FALSO")</f>
        <v>FALSO</v>
      </c>
    </row>
    <row r="3826">
      <c r="B3826" s="186" t="str">
        <f>IFERROR(__xludf.DUMMYFUNCTION("""COMPUTED_VALUE"""),"PI5394Y")</f>
        <v>PI5394Y</v>
      </c>
      <c r="C3826" s="186" t="str">
        <f>IFERROR(__xludf.DUMMYFUNCTION("""COMPUTED_VALUE"""),"PLANNER SEMANAL RELEVO")</f>
        <v>PLANNER SEMANAL RELEVO</v>
      </c>
      <c r="D3826" s="186" t="str">
        <f>IFERROR(__xludf.DUMMYFUNCTION("""COMPUTED_VALUE"""),"FALSO")</f>
        <v>FALSO</v>
      </c>
    </row>
    <row r="3827">
      <c r="B3827" s="186" t="str">
        <f>IFERROR(__xludf.DUMMYFUNCTION("""COMPUTED_VALUE"""),"PI7189Y")</f>
        <v>PI7189Y</v>
      </c>
      <c r="C3827" s="186" t="str">
        <f>IFERROR(__xludf.DUMMYFUNCTION("""COMPUTED_VALUE"""),"KIT WHISKY CLUBE DO WHISKY")</f>
        <v>KIT WHISKY CLUBE DO WHISKY</v>
      </c>
      <c r="D3827" s="186" t="str">
        <f>IFERROR(__xludf.DUMMYFUNCTION("""COMPUTED_VALUE"""),"FALSO")</f>
        <v>FALSO</v>
      </c>
    </row>
    <row r="3828">
      <c r="B3828" s="186" t="str">
        <f>IFERROR(__xludf.DUMMYFUNCTION("""COMPUTED_VALUE"""),"PI7189Y")</f>
        <v>PI7189Y</v>
      </c>
      <c r="C3828" s="186" t="str">
        <f>IFERROR(__xludf.DUMMYFUNCTION("""COMPUTED_VALUE"""),"KIT WHISKY CLUBE DO WHISKY")</f>
        <v>KIT WHISKY CLUBE DO WHISKY</v>
      </c>
      <c r="D3828" s="186" t="str">
        <f>IFERROR(__xludf.DUMMYFUNCTION("""COMPUTED_VALUE"""),"FALSO")</f>
        <v>FALSO</v>
      </c>
    </row>
    <row r="3829">
      <c r="B3829" s="186" t="str">
        <f>IFERROR(__xludf.DUMMYFUNCTION("""COMPUTED_VALUE"""),"PI7189Y")</f>
        <v>PI7189Y</v>
      </c>
      <c r="C3829" s="186" t="str">
        <f>IFERROR(__xludf.DUMMYFUNCTION("""COMPUTED_VALUE"""),"KIT WHISKY CLUBE DO WHISKY")</f>
        <v>KIT WHISKY CLUBE DO WHISKY</v>
      </c>
      <c r="D3829" s="186" t="str">
        <f>IFERROR(__xludf.DUMMYFUNCTION("""COMPUTED_VALUE"""),"FALSO")</f>
        <v>FALSO</v>
      </c>
    </row>
    <row r="3830">
      <c r="B3830" s="186" t="str">
        <f>IFERROR(__xludf.DUMMYFUNCTION("""COMPUTED_VALUE"""),"PI3745Y")</f>
        <v>PI3745Y</v>
      </c>
      <c r="C3830" s="186" t="str">
        <f>IFERROR(__xludf.DUMMYFUNCTION("""COMPUTED_VALUE"""),"KIT VINHO LIVRO ESPECIALISTA EM VINHOS")</f>
        <v>KIT VINHO LIVRO ESPECIALISTA EM VINHOS</v>
      </c>
      <c r="D3830" s="186" t="str">
        <f>IFERROR(__xludf.DUMMYFUNCTION("""COMPUTED_VALUE"""),"FALSO")</f>
        <v>FALSO</v>
      </c>
    </row>
    <row r="3831">
      <c r="B3831" s="186" t="str">
        <f>IFERROR(__xludf.DUMMYFUNCTION("""COMPUTED_VALUE"""),"PI5194Y")</f>
        <v>PI5194Y</v>
      </c>
      <c r="C3831" s="186" t="str">
        <f>IFERROR(__xludf.DUMMYFUNCTION("""COMPUTED_VALUE"""),"TAMPA PARA GARRAFA DE VINHO MENSAGEM SOS")</f>
        <v>TAMPA PARA GARRAFA DE VINHO MENSAGEM SOS</v>
      </c>
      <c r="D3831" s="186" t="str">
        <f>IFERROR(__xludf.DUMMYFUNCTION("""COMPUTED_VALUE"""),"FALSO")</f>
        <v>FALSO</v>
      </c>
    </row>
    <row r="3832">
      <c r="B3832" s="186" t="str">
        <f>IFERROR(__xludf.DUMMYFUNCTION("""COMPUTED_VALUE"""),"PI4768Y")</f>
        <v>PI4768Y</v>
      </c>
      <c r="C3832" s="186" t="str">
        <f>IFERROR(__xludf.DUMMYFUNCTION("""COMPUTED_VALUE"""),"TAMPA PARA GARRAFA DE VINHO MAOZINHA")</f>
        <v>TAMPA PARA GARRAFA DE VINHO MAOZINHA</v>
      </c>
      <c r="D3832" s="186" t="str">
        <f>IFERROR(__xludf.DUMMYFUNCTION("""COMPUTED_VALUE"""),"FALSO")</f>
        <v>FALSO</v>
      </c>
    </row>
    <row r="3833">
      <c r="B3833" s="186" t="str">
        <f>IFERROR(__xludf.DUMMYFUNCTION("""COMPUTED_VALUE"""),"PI4767Y")</f>
        <v>PI4767Y</v>
      </c>
      <c r="C3833" s="186" t="str">
        <f>IFERROR(__xludf.DUMMYFUNCTION("""COMPUTED_VALUE"""),"TAMPA PARA GARRAFA DE VINHO PERNOCAS")</f>
        <v>TAMPA PARA GARRAFA DE VINHO PERNOCAS</v>
      </c>
      <c r="D3833" s="186" t="str">
        <f>IFERROR(__xludf.DUMMYFUNCTION("""COMPUTED_VALUE"""),"FALSO")</f>
        <v>FALSO</v>
      </c>
    </row>
    <row r="3834">
      <c r="B3834" s="186" t="str">
        <f>IFERROR(__xludf.DUMMYFUNCTION("""COMPUTED_VALUE"""),"PI6285Y")</f>
        <v>PI6285Y</v>
      </c>
      <c r="C3834" s="186" t="str">
        <f>IFERROR(__xludf.DUMMYFUNCTION("""COMPUTED_VALUE"""),"COOLER DE VINHO PRIORIDADES")</f>
        <v>COOLER DE VINHO PRIORIDADES</v>
      </c>
      <c r="D3834" s="186" t="str">
        <f>IFERROR(__xludf.DUMMYFUNCTION("""COMPUTED_VALUE"""),"FALSO")</f>
        <v>FALSO</v>
      </c>
    </row>
    <row r="3835">
      <c r="B3835" s="186" t="str">
        <f>IFERROR(__xludf.DUMMYFUNCTION("""COMPUTED_VALUE"""),"PI6352")</f>
        <v>PI6352</v>
      </c>
      <c r="C3835" s="186" t="str">
        <f>IFERROR(__xludf.DUMMYFUNCTION("""COMPUTED_VALUE"""),"TAÇA DE VINHO SÓ UMA TACINHA")</f>
        <v>TAÇA DE VINHO SÓ UMA TACINHA</v>
      </c>
      <c r="D3835" s="186" t="str">
        <f>IFERROR(__xludf.DUMMYFUNCTION("""COMPUTED_VALUE"""),"FALSO")</f>
        <v>FALSO</v>
      </c>
    </row>
    <row r="3836">
      <c r="B3836" s="186" t="str">
        <f>IFERROR(__xludf.DUMMYFUNCTION("""COMPUTED_VALUE"""),"PI6352")</f>
        <v>PI6352</v>
      </c>
      <c r="C3836" s="186" t="str">
        <f>IFERROR(__xludf.DUMMYFUNCTION("""COMPUTED_VALUE"""),"TAÇA DE VINHO SÓ UMA TACINHA")</f>
        <v>TAÇA DE VINHO SÓ UMA TACINHA</v>
      </c>
      <c r="D3836" s="186" t="str">
        <f>IFERROR(__xludf.DUMMYFUNCTION("""COMPUTED_VALUE"""),"FALSO")</f>
        <v>FALSO</v>
      </c>
    </row>
    <row r="3837">
      <c r="B3837" s="186" t="str">
        <f>IFERROR(__xludf.DUMMYFUNCTION("""COMPUTED_VALUE"""),"PI7311Y")</f>
        <v>PI7311Y</v>
      </c>
      <c r="C3837" s="186" t="str">
        <f>IFERROR(__xludf.DUMMYFUNCTION("""COMPUTED_VALUE"""),"KIT VINHO LIVRO UMA BOA HISTORIA")</f>
        <v>KIT VINHO LIVRO UMA BOA HISTORIA</v>
      </c>
      <c r="D3837" s="186" t="str">
        <f>IFERROR(__xludf.DUMMYFUNCTION("""COMPUTED_VALUE"""),"FALSO")</f>
        <v>FALSO</v>
      </c>
    </row>
    <row r="3838">
      <c r="B3838" s="186" t="str">
        <f>IFERROR(__xludf.DUMMYFUNCTION("""COMPUTED_VALUE"""),"PI7311Y")</f>
        <v>PI7311Y</v>
      </c>
      <c r="C3838" s="186" t="str">
        <f>IFERROR(__xludf.DUMMYFUNCTION("""COMPUTED_VALUE"""),"KIT VINHO LIVRO UMA BOA HISTORIA")</f>
        <v>KIT VINHO LIVRO UMA BOA HISTORIA</v>
      </c>
      <c r="D3838" s="186" t="str">
        <f>IFERROR(__xludf.DUMMYFUNCTION("""COMPUTED_VALUE"""),"FALSO")</f>
        <v>FALSO</v>
      </c>
    </row>
    <row r="3839">
      <c r="B3839" s="186" t="str">
        <f>IFERROR(__xludf.DUMMYFUNCTION("""COMPUTED_VALUE"""),"PI6280Y")</f>
        <v>PI6280Y</v>
      </c>
      <c r="C3839" s="186" t="str">
        <f>IFERROR(__xludf.DUMMYFUNCTION("""COMPUTED_VALUE"""),"KIT VINHO LIVRO O GUIA CLÁSSICO")</f>
        <v>KIT VINHO LIVRO O GUIA CLÁSSICO</v>
      </c>
      <c r="D3839" s="186" t="str">
        <f>IFERROR(__xludf.DUMMYFUNCTION("""COMPUTED_VALUE"""),"FALSO")</f>
        <v>FALSO</v>
      </c>
    </row>
    <row r="3840">
      <c r="B3840" s="186" t="str">
        <f>IFERROR(__xludf.DUMMYFUNCTION("""COMPUTED_VALUE"""),"PI6281Y")</f>
        <v>PI6281Y</v>
      </c>
      <c r="C3840" s="186" t="str">
        <f>IFERROR(__xludf.DUMMYFUNCTION("""COMPUTED_VALUE"""),"KIT VINHO LIVRO ESPECIALISTA EM VINHOS")</f>
        <v>KIT VINHO LIVRO ESPECIALISTA EM VINHOS</v>
      </c>
      <c r="D3840" s="186" t="str">
        <f>IFERROR(__xludf.DUMMYFUNCTION("""COMPUTED_VALUE"""),"FALSO")</f>
        <v>FALSO</v>
      </c>
    </row>
    <row r="3841">
      <c r="B3841" s="186" t="str">
        <f>IFERROR(__xludf.DUMMYFUNCTION("""COMPUTED_VALUE"""),"PI6009Y")</f>
        <v>PI6009Y</v>
      </c>
      <c r="C3841" s="186" t="str">
        <f>IFERROR(__xludf.DUMMYFUNCTION("""COMPUTED_VALUE"""),"ABRIDOR DE VINHO COM O TEMPO SO MELHORA")</f>
        <v>ABRIDOR DE VINHO COM O TEMPO SO MELHORA</v>
      </c>
      <c r="D3841" s="186" t="str">
        <f>IFERROR(__xludf.DUMMYFUNCTION("""COMPUTED_VALUE"""),"FALSO")</f>
        <v>FALSO</v>
      </c>
    </row>
    <row r="3842">
      <c r="B3842" s="186" t="str">
        <f>IFERROR(__xludf.DUMMYFUNCTION("""COMPUTED_VALUE"""),"PI6690Y")</f>
        <v>PI6690Y</v>
      </c>
      <c r="C3842" s="186" t="str">
        <f>IFERROR(__xludf.DUMMYFUNCTION("""COMPUTED_VALUE"""),"ABRIDOR DE VINHOS CONTRATO VITALICIO")</f>
        <v>ABRIDOR DE VINHOS CONTRATO VITALICIO</v>
      </c>
      <c r="D3842" s="186" t="str">
        <f>IFERROR(__xludf.DUMMYFUNCTION("""COMPUTED_VALUE"""),"FALSO")</f>
        <v>FALSO</v>
      </c>
    </row>
    <row r="3843">
      <c r="B3843" s="186" t="str">
        <f>IFERROR(__xludf.DUMMYFUNCTION("""COMPUTED_VALUE"""),"PI6690Y")</f>
        <v>PI6690Y</v>
      </c>
      <c r="C3843" s="186" t="str">
        <f>IFERROR(__xludf.DUMMYFUNCTION("""COMPUTED_VALUE"""),"ABRIDOR DE VINHOS CONTRATO VITALICIO")</f>
        <v>ABRIDOR DE VINHOS CONTRATO VITALICIO</v>
      </c>
      <c r="D3843" s="186" t="str">
        <f>IFERROR(__xludf.DUMMYFUNCTION("""COMPUTED_VALUE"""),"FALSO")</f>
        <v>FALSO</v>
      </c>
    </row>
    <row r="3844">
      <c r="B3844" s="186" t="str">
        <f>IFERROR(__xludf.DUMMYFUNCTION("""COMPUTED_VALUE"""),"PI6690Y")</f>
        <v>PI6690Y</v>
      </c>
      <c r="C3844" s="186" t="str">
        <f>IFERROR(__xludf.DUMMYFUNCTION("""COMPUTED_VALUE"""),"ABRIDOR DE VINHOS CONTRATO VITALICIO")</f>
        <v>ABRIDOR DE VINHOS CONTRATO VITALICIO</v>
      </c>
      <c r="D3844" s="186" t="str">
        <f>IFERROR(__xludf.DUMMYFUNCTION("""COMPUTED_VALUE"""),"FALSO")</f>
        <v>FALSO</v>
      </c>
    </row>
    <row r="3845">
      <c r="B3845" s="186" t="str">
        <f>IFERROR(__xludf.DUMMYFUNCTION("""COMPUTED_VALUE"""),"PI6608Y")</f>
        <v>PI6608Y</v>
      </c>
      <c r="C3845" s="186" t="str">
        <f>IFERROR(__xludf.DUMMYFUNCTION("""COMPUTED_VALUE"""),"ABRIDOR DE VINHO SARDINHA")</f>
        <v>ABRIDOR DE VINHO SARDINHA</v>
      </c>
      <c r="D3845" s="186" t="str">
        <f>IFERROR(__xludf.DUMMYFUNCTION("""COMPUTED_VALUE"""),"FALSO")</f>
        <v>FALSO</v>
      </c>
    </row>
    <row r="3846">
      <c r="B3846" s="186" t="str">
        <f>IFERROR(__xludf.DUMMYFUNCTION("""COMPUTED_VALUE"""),"PI5456Y")</f>
        <v>PI5456Y</v>
      </c>
      <c r="C3846" s="186" t="str">
        <f>IFERROR(__xludf.DUMMYFUNCTION("""COMPUTED_VALUE"""),"KIT MARCADOR DE TACAS E ROLHA INSTINTO")</f>
        <v>KIT MARCADOR DE TACAS E ROLHA INSTINTO</v>
      </c>
      <c r="D3846" s="186" t="str">
        <f>IFERROR(__xludf.DUMMYFUNCTION("""COMPUTED_VALUE"""),"FALSO")</f>
        <v>FALSO</v>
      </c>
    </row>
    <row r="3847">
      <c r="B3847" s="186" t="str">
        <f>IFERROR(__xludf.DUMMYFUNCTION("""COMPUTED_VALUE"""),"PI6584Y")</f>
        <v>PI6584Y</v>
      </c>
      <c r="C3847" s="186" t="str">
        <f>IFERROR(__xludf.DUMMYFUNCTION("""COMPUTED_VALUE"""),"KIT VINHO SOLUCAO PARA DIAS CHATEAUX")</f>
        <v>KIT VINHO SOLUCAO PARA DIAS CHATEAUX</v>
      </c>
      <c r="D3847" s="186" t="str">
        <f>IFERROR(__xludf.DUMMYFUNCTION("""COMPUTED_VALUE"""),"FALSO")</f>
        <v>FALSO</v>
      </c>
    </row>
    <row r="3848">
      <c r="B3848" s="186" t="str">
        <f>IFERROR(__xludf.DUMMYFUNCTION("""COMPUTED_VALUE"""),"PI6584Y")</f>
        <v>PI6584Y</v>
      </c>
      <c r="C3848" s="186" t="str">
        <f>IFERROR(__xludf.DUMMYFUNCTION("""COMPUTED_VALUE"""),"KIT VINHO SOLUCAO PARA DIAS CHATEAUX")</f>
        <v>KIT VINHO SOLUCAO PARA DIAS CHATEAUX</v>
      </c>
      <c r="D3848" s="186" t="str">
        <f>IFERROR(__xludf.DUMMYFUNCTION("""COMPUTED_VALUE"""),"FALSO")</f>
        <v>FALSO</v>
      </c>
    </row>
    <row r="3849">
      <c r="B3849" s="186" t="str">
        <f>IFERROR(__xludf.DUMMYFUNCTION("""COMPUTED_VALUE"""),"PI6584Y")</f>
        <v>PI6584Y</v>
      </c>
      <c r="C3849" s="186" t="str">
        <f>IFERROR(__xludf.DUMMYFUNCTION("""COMPUTED_VALUE"""),"KIT VINHO SOLUCAO PARA DIAS CHATEAUX")</f>
        <v>KIT VINHO SOLUCAO PARA DIAS CHATEAUX</v>
      </c>
      <c r="D3849" s="186" t="str">
        <f>IFERROR(__xludf.DUMMYFUNCTION("""COMPUTED_VALUE"""),"FALSO")</f>
        <v>FALSO</v>
      </c>
    </row>
    <row r="3850">
      <c r="B3850" s="186" t="str">
        <f>IFERROR(__xludf.DUMMYFUNCTION("""COMPUTED_VALUE"""),"PI5460Y")</f>
        <v>PI5460Y</v>
      </c>
      <c r="C3850" s="186" t="str">
        <f>IFERROR(__xludf.DUMMYFUNCTION("""COMPUTED_VALUE"""),"KIT VINHO FERRAMENTAS DE SOMMELIER")</f>
        <v>KIT VINHO FERRAMENTAS DE SOMMELIER</v>
      </c>
      <c r="D3850" s="186" t="str">
        <f>IFERROR(__xludf.DUMMYFUNCTION("""COMPUTED_VALUE"""),"FALSO")</f>
        <v>FALSO</v>
      </c>
    </row>
    <row r="3851">
      <c r="B3851" s="186" t="str">
        <f>IFERROR(__xludf.DUMMYFUNCTION("""COMPUTED_VALUE"""),"PI5418Y")</f>
        <v>PI5418Y</v>
      </c>
      <c r="C3851" s="186" t="str">
        <f>IFERROR(__xludf.DUMMYFUNCTION("""COMPUTED_VALUE"""),"KIT VINHO E JOGO DE XADREZ PRETO")</f>
        <v>KIT VINHO E JOGO DE XADREZ PRETO</v>
      </c>
      <c r="D3851" s="186" t="str">
        <f>IFERROR(__xludf.DUMMYFUNCTION("""COMPUTED_VALUE"""),"FALSO")</f>
        <v>FALSO</v>
      </c>
    </row>
    <row r="3852">
      <c r="B3852" s="186" t="str">
        <f>IFERROR(__xludf.DUMMYFUNCTION("""COMPUTED_VALUE"""),"PI5418Y")</f>
        <v>PI5418Y</v>
      </c>
      <c r="C3852" s="186" t="str">
        <f>IFERROR(__xludf.DUMMYFUNCTION("""COMPUTED_VALUE"""),"KIT VINHO E JOGO DE XADREZ PRETO")</f>
        <v>KIT VINHO E JOGO DE XADREZ PRETO</v>
      </c>
      <c r="D3852" s="186" t="str">
        <f>IFERROR(__xludf.DUMMYFUNCTION("""COMPUTED_VALUE"""),"FALSO")</f>
        <v>FALSO</v>
      </c>
    </row>
    <row r="3853">
      <c r="B3853" s="186" t="str">
        <f>IFERROR(__xludf.DUMMYFUNCTION("""COMPUTED_VALUE"""),"PI5418Y")</f>
        <v>PI5418Y</v>
      </c>
      <c r="C3853" s="186" t="str">
        <f>IFERROR(__xludf.DUMMYFUNCTION("""COMPUTED_VALUE"""),"KIT VINHO E JOGO DE XADREZ PRETO")</f>
        <v>KIT VINHO E JOGO DE XADREZ PRETO</v>
      </c>
      <c r="D3853" s="186" t="str">
        <f>IFERROR(__xludf.DUMMYFUNCTION("""COMPUTED_VALUE"""),"FALSO")</f>
        <v>FALSO</v>
      </c>
    </row>
    <row r="3854">
      <c r="B3854" s="186" t="str">
        <f>IFERROR(__xludf.DUMMYFUNCTION("""COMPUTED_VALUE"""),"PI5418Y")</f>
        <v>PI5418Y</v>
      </c>
      <c r="C3854" s="186" t="str">
        <f>IFERROR(__xludf.DUMMYFUNCTION("""COMPUTED_VALUE"""),"KIT VINHO E JOGO DE XADREZ PRETO")</f>
        <v>KIT VINHO E JOGO DE XADREZ PRETO</v>
      </c>
      <c r="D3854" s="186" t="str">
        <f>IFERROR(__xludf.DUMMYFUNCTION("""COMPUTED_VALUE"""),"FALSO")</f>
        <v>FALSO</v>
      </c>
    </row>
    <row r="3855">
      <c r="B3855" s="186" t="str">
        <f>IFERROR(__xludf.DUMMYFUNCTION("""COMPUTED_VALUE"""),"PI5418Y")</f>
        <v>PI5418Y</v>
      </c>
      <c r="C3855" s="186" t="str">
        <f>IFERROR(__xludf.DUMMYFUNCTION("""COMPUTED_VALUE"""),"KIT VINHO E JOGO DE XADREZ PRETO")</f>
        <v>KIT VINHO E JOGO DE XADREZ PRETO</v>
      </c>
      <c r="D3855" s="186" t="str">
        <f>IFERROR(__xludf.DUMMYFUNCTION("""COMPUTED_VALUE"""),"FALSO")</f>
        <v>FALSO</v>
      </c>
    </row>
    <row r="3856">
      <c r="B3856" s="186" t="str">
        <f>IFERROR(__xludf.DUMMYFUNCTION("""COMPUTED_VALUE"""),"PI6236Y")</f>
        <v>PI6236Y</v>
      </c>
      <c r="C3856" s="186" t="str">
        <f>IFERROR(__xludf.DUMMYFUNCTION("""COMPUTED_VALUE"""),"GUARDA CHUVA VINHO INSTINTO")</f>
        <v>GUARDA CHUVA VINHO INSTINTO</v>
      </c>
      <c r="D3856" s="186" t="str">
        <f>IFERROR(__xludf.DUMMYFUNCTION("""COMPUTED_VALUE"""),"FALSO")</f>
        <v>FALSO</v>
      </c>
    </row>
    <row r="3857">
      <c r="B3857" s="186" t="str">
        <f>IFERROR(__xludf.DUMMYFUNCTION("""COMPUTED_VALUE"""),"PI6236Y")</f>
        <v>PI6236Y</v>
      </c>
      <c r="C3857" s="186" t="str">
        <f>IFERROR(__xludf.DUMMYFUNCTION("""COMPUTED_VALUE"""),"GUARDA CHUVA VINHO INSTINTO")</f>
        <v>GUARDA CHUVA VINHO INSTINTO</v>
      </c>
      <c r="D3857" s="186" t="str">
        <f>IFERROR(__xludf.DUMMYFUNCTION("""COMPUTED_VALUE"""),"FALSO")</f>
        <v>FALSO</v>
      </c>
    </row>
    <row r="3858">
      <c r="B3858" s="186" t="str">
        <f>IFERROR(__xludf.DUMMYFUNCTION("""COMPUTED_VALUE"""),"PI4909Y")</f>
        <v>PI4909Y</v>
      </c>
      <c r="C3858" s="186" t="str">
        <f>IFERROR(__xludf.DUMMYFUNCTION("""COMPUTED_VALUE"""),"TAMPA PARA VINHO A VACUO PRA PROXIMA")</f>
        <v>TAMPA PARA VINHO A VACUO PRA PROXIMA</v>
      </c>
      <c r="D3858" s="186" t="str">
        <f>IFERROR(__xludf.DUMMYFUNCTION("""COMPUTED_VALUE"""),"FALSO")</f>
        <v>FALSO</v>
      </c>
    </row>
    <row r="3859">
      <c r="B3859" s="186" t="str">
        <f>IFERROR(__xludf.DUMMYFUNCTION("""COMPUTED_VALUE"""),"PI4943Y")</f>
        <v>PI4943Y</v>
      </c>
      <c r="C3859" s="186" t="str">
        <f>IFERROR(__xludf.DUMMYFUNCTION("""COMPUTED_VALUE"""),"CARREGADOR POR INDUCAO BEATLES HELP")</f>
        <v>CARREGADOR POR INDUCAO BEATLES HELP</v>
      </c>
      <c r="D3859" s="186" t="str">
        <f>IFERROR(__xludf.DUMMYFUNCTION("""COMPUTED_VALUE"""),"Anatel Category 3 - Cellphone Chargers")</f>
        <v>Anatel Category 3 - Cellphone Chargers</v>
      </c>
    </row>
    <row r="3860">
      <c r="B3860" s="186" t="str">
        <f>IFERROR(__xludf.DUMMYFUNCTION("""COMPUTED_VALUE"""),"PI5188Y")</f>
        <v>PI5188Y</v>
      </c>
      <c r="C3860" s="186" t="str">
        <f>IFERROR(__xludf.DUMMYFUNCTION("""COMPUTED_VALUE"""),"CARREGADOR POR INDUCAO BOLACHA MAIZUMA")</f>
        <v>CARREGADOR POR INDUCAO BOLACHA MAIZUMA</v>
      </c>
      <c r="D3860" s="186" t="str">
        <f>IFERROR(__xludf.DUMMYFUNCTION("""COMPUTED_VALUE"""),"Anatel Category 3 - Cell Phones")</f>
        <v>Anatel Category 3 - Cell Phones</v>
      </c>
    </row>
    <row r="3861">
      <c r="B3861" s="186" t="str">
        <f>IFERROR(__xludf.DUMMYFUNCTION("""COMPUTED_VALUE"""),"PI4917Y")</f>
        <v>PI4917Y</v>
      </c>
      <c r="C3861" s="186" t="str">
        <f>IFERROR(__xludf.DUMMYFUNCTION("""COMPUTED_VALUE"""),"CARREGADOR POR INDUCAO FRIENDS SOFA")</f>
        <v>CARREGADOR POR INDUCAO FRIENDS SOFA</v>
      </c>
      <c r="D3861" s="186" t="str">
        <f>IFERROR(__xludf.DUMMYFUNCTION("""COMPUTED_VALUE"""),"Anatel Category 3 - Cellphone Chargers")</f>
        <v>Anatel Category 3 - Cellphone Chargers</v>
      </c>
    </row>
    <row r="3862">
      <c r="B3862" s="186" t="str">
        <f>IFERROR(__xludf.DUMMYFUNCTION("""COMPUTED_VALUE"""),"PI4461Y")</f>
        <v>PI4461Y</v>
      </c>
      <c r="C3862" s="186" t="str">
        <f>IFERROR(__xludf.DUMMYFUNCTION("""COMPUTED_VALUE"""),"CARREGADOR SEM FIO HP PLATAFORMA 9 3/4")</f>
        <v>CARREGADOR SEM FIO HP PLATAFORMA 9 3/4</v>
      </c>
      <c r="D3862" s="186" t="str">
        <f>IFERROR(__xludf.DUMMYFUNCTION("""COMPUTED_VALUE"""),"Anatel Category 3 - Cellphone Chargers")</f>
        <v>Anatel Category 3 - Cellphone Chargers</v>
      </c>
    </row>
    <row r="3863">
      <c r="B3863" s="186" t="str">
        <f>IFERROR(__xludf.DUMMYFUNCTION("""COMPUTED_VALUE"""),"PI7440Y")</f>
        <v>PI7440Y</v>
      </c>
      <c r="C3863" s="186" t="str">
        <f>IFERROR(__xludf.DUMMYFUNCTION("""COMPUTED_VALUE"""),"PANTUFA FEMININA CANSADA ME DEITO")</f>
        <v>PANTUFA FEMININA CANSADA ME DEITO</v>
      </c>
      <c r="D3863" s="186" t="str">
        <f>IFERROR(__xludf.DUMMYFUNCTION("""COMPUTED_VALUE"""),"FALSO")</f>
        <v>FALSO</v>
      </c>
    </row>
    <row r="3864">
      <c r="B3864" s="186" t="str">
        <f>IFERROR(__xludf.DUMMYFUNCTION("""COMPUTED_VALUE"""),"PI6037Y")</f>
        <v>PI6037Y</v>
      </c>
      <c r="C3864" s="186" t="str">
        <f>IFERROR(__xludf.DUMMYFUNCTION("""COMPUTED_VALUE"""),"TABUA COM GARRA PARA CHURRASCO BRASA")</f>
        <v>TABUA COM GARRA PARA CHURRASCO BRASA</v>
      </c>
      <c r="D3864" s="186" t="str">
        <f>IFERROR(__xludf.DUMMYFUNCTION("""COMPUTED_VALUE"""),"FALSO")</f>
        <v>FALSO</v>
      </c>
    </row>
    <row r="3865">
      <c r="B3865" s="186" t="str">
        <f>IFERROR(__xludf.DUMMYFUNCTION("""COMPUTED_VALUE"""),"PI6504Y")</f>
        <v>PI6504Y</v>
      </c>
      <c r="C3865" s="186" t="str">
        <f>IFERROR(__xludf.DUMMYFUNCTION("""COMPUTED_VALUE"""),"PORTA BIJOUX GRANDE DE MADEIRA SE CUIDAR")</f>
        <v>PORTA BIJOUX GRANDE DE MADEIRA SE CUIDAR</v>
      </c>
      <c r="D3865" s="186" t="str">
        <f>IFERROR(__xludf.DUMMYFUNCTION("""COMPUTED_VALUE"""),"FALSO")</f>
        <v>FALSO</v>
      </c>
    </row>
    <row r="3866">
      <c r="B3866" s="186" t="str">
        <f>IFERROR(__xludf.DUMMYFUNCTION("""COMPUTED_VALUE"""),"PI6504Y")</f>
        <v>PI6504Y</v>
      </c>
      <c r="C3866" s="186" t="str">
        <f>IFERROR(__xludf.DUMMYFUNCTION("""COMPUTED_VALUE"""),"PORTA BIJOUX GRANDE DE MADEIRA SE CUIDAR")</f>
        <v>PORTA BIJOUX GRANDE DE MADEIRA SE CUIDAR</v>
      </c>
      <c r="D3866" s="186" t="str">
        <f>IFERROR(__xludf.DUMMYFUNCTION("""COMPUTED_VALUE"""),"FALSO")</f>
        <v>FALSO</v>
      </c>
    </row>
    <row r="3867">
      <c r="B3867" s="186" t="str">
        <f>IFERROR(__xludf.DUMMYFUNCTION("""COMPUTED_VALUE"""),"PI7882Y")</f>
        <v>PI7882Y</v>
      </c>
      <c r="C3867" s="186" t="str">
        <f>IFERROR(__xludf.DUMMYFUNCTION("""COMPUTED_VALUE"""),"RELOGIO DE MADEIRA RETANGULAR ESCURO")</f>
        <v>RELOGIO DE MADEIRA RETANGULAR ESCURO</v>
      </c>
      <c r="D3867" s="186" t="str">
        <f>IFERROR(__xludf.DUMMYFUNCTION("""COMPUTED_VALUE"""),"FALSO")</f>
        <v>FALSO</v>
      </c>
    </row>
    <row r="3868">
      <c r="B3868" s="186" t="str">
        <f>IFERROR(__xludf.DUMMYFUNCTION("""COMPUTED_VALUE"""),"PI7881Y")</f>
        <v>PI7881Y</v>
      </c>
      <c r="C3868" s="186" t="str">
        <f>IFERROR(__xludf.DUMMYFUNCTION("""COMPUTED_VALUE"""),"RELOGIO DE MADEIRA RETANGULAR CLARO")</f>
        <v>RELOGIO DE MADEIRA RETANGULAR CLARO</v>
      </c>
      <c r="D3868" s="186" t="str">
        <f>IFERROR(__xludf.DUMMYFUNCTION("""COMPUTED_VALUE"""),"FALSO")</f>
        <v>FALSO</v>
      </c>
    </row>
    <row r="3869">
      <c r="B3869" s="186" t="str">
        <f>IFERROR(__xludf.DUMMYFUNCTION("""COMPUTED_VALUE"""),"PI7884Y")</f>
        <v>PI7884Y</v>
      </c>
      <c r="C3869" s="186" t="str">
        <f>IFERROR(__xludf.DUMMYFUNCTION("""COMPUTED_VALUE"""),"RELOGIO DE MADEIRA QUADRADO ESCURO")</f>
        <v>RELOGIO DE MADEIRA QUADRADO ESCURO</v>
      </c>
      <c r="D3869" s="186" t="str">
        <f>IFERROR(__xludf.DUMMYFUNCTION("""COMPUTED_VALUE"""),"FALSO")</f>
        <v>FALSO</v>
      </c>
    </row>
    <row r="3870">
      <c r="B3870" s="186" t="str">
        <f>IFERROR(__xludf.DUMMYFUNCTION("""COMPUTED_VALUE"""),"PI7883Y")</f>
        <v>PI7883Y</v>
      </c>
      <c r="C3870" s="186" t="str">
        <f>IFERROR(__xludf.DUMMYFUNCTION("""COMPUTED_VALUE"""),"RELOGIO DE MADEIRA QUADRADO CLARO")</f>
        <v>RELOGIO DE MADEIRA QUADRADO CLARO</v>
      </c>
      <c r="D3870" s="186" t="str">
        <f>IFERROR(__xludf.DUMMYFUNCTION("""COMPUTED_VALUE"""),"FALSO")</f>
        <v>FALSO</v>
      </c>
    </row>
    <row r="3871">
      <c r="B3871" s="186" t="str">
        <f>IFERROR(__xludf.DUMMYFUNCTION("""COMPUTED_VALUE"""),"PI6995Y")</f>
        <v>PI6995Y</v>
      </c>
      <c r="C3871" s="186" t="str">
        <f>IFERROR(__xludf.DUMMYFUNCTION("""COMPUTED_VALUE"""),"PORTA RETRATO DE MADEIRA ENCARTE")</f>
        <v>PORTA RETRATO DE MADEIRA ENCARTE</v>
      </c>
      <c r="D3871" s="186" t="str">
        <f>IFERROR(__xludf.DUMMYFUNCTION("""COMPUTED_VALUE"""),"FALSO")</f>
        <v>FALSO</v>
      </c>
    </row>
    <row r="3872">
      <c r="B3872" s="186" t="str">
        <f>IFERROR(__xludf.DUMMYFUNCTION("""COMPUTED_VALUE"""),"PI6707Y")</f>
        <v>PI6707Y</v>
      </c>
      <c r="C3872" s="186" t="str">
        <f>IFERROR(__xludf.DUMMYFUNCTION("""COMPUTED_VALUE"""),"PORTA RETRATO MADEIRA LETREIRO")</f>
        <v>PORTA RETRATO MADEIRA LETREIRO</v>
      </c>
      <c r="D3872" s="186" t="str">
        <f>IFERROR(__xludf.DUMMYFUNCTION("""COMPUTED_VALUE"""),"FALSO")</f>
        <v>FALSO</v>
      </c>
    </row>
    <row r="3873">
      <c r="B3873" s="186" t="str">
        <f>IFERROR(__xludf.DUMMYFUNCTION("""COMPUTED_VALUE"""),"PI6707Y")</f>
        <v>PI6707Y</v>
      </c>
      <c r="C3873" s="186" t="str">
        <f>IFERROR(__xludf.DUMMYFUNCTION("""COMPUTED_VALUE"""),"PORTA RETRATO MADEIRA LETREIRO")</f>
        <v>PORTA RETRATO MADEIRA LETREIRO</v>
      </c>
      <c r="D3873" s="186" t="str">
        <f>IFERROR(__xludf.DUMMYFUNCTION("""COMPUTED_VALUE"""),"FALSO")</f>
        <v>FALSO</v>
      </c>
    </row>
    <row r="3874">
      <c r="B3874" s="186" t="str">
        <f>IFERROR(__xludf.DUMMYFUNCTION("""COMPUTED_VALUE"""),"PI5071Y")</f>
        <v>PI5071Y</v>
      </c>
      <c r="C3874" s="186" t="str">
        <f>IFERROR(__xludf.DUMMYFUNCTION("""COMPUTED_VALUE"""),"RELOGIO DE PULSO GLITTER BRILHAR")</f>
        <v>RELOGIO DE PULSO GLITTER BRILHAR</v>
      </c>
      <c r="D3874" s="186" t="str">
        <f>IFERROR(__xludf.DUMMYFUNCTION("""COMPUTED_VALUE"""),"FALSO")</f>
        <v>FALSO</v>
      </c>
    </row>
    <row r="3875">
      <c r="B3875" s="186" t="str">
        <f>IFERROR(__xludf.DUMMYFUNCTION("""COMPUTED_VALUE"""),"PI5111Y")</f>
        <v>PI5111Y</v>
      </c>
      <c r="C3875" s="186" t="str">
        <f>IFERROR(__xludf.DUMMYFUNCTION("""COMPUTED_VALUE"""),"RELOGIO DE PULSO GLITTER SMILE BORA")</f>
        <v>RELOGIO DE PULSO GLITTER SMILE BORA</v>
      </c>
      <c r="D3875" s="186" t="str">
        <f>IFERROR(__xludf.DUMMYFUNCTION("""COMPUTED_VALUE"""),"FALSO")</f>
        <v>FALSO</v>
      </c>
    </row>
    <row r="3876">
      <c r="B3876" s="186" t="str">
        <f>IFERROR(__xludf.DUMMYFUNCTION("""COMPUTED_VALUE"""),"PI7043Y")</f>
        <v>PI7043Y</v>
      </c>
      <c r="C3876" s="186" t="str">
        <f>IFERROR(__xludf.DUMMYFUNCTION("""COMPUTED_VALUE"""),"CORTADOR DE PIZZA AMARELO PIZZA CUTTER")</f>
        <v>CORTADOR DE PIZZA AMARELO PIZZA CUTTER</v>
      </c>
      <c r="D3876" s="186" t="str">
        <f>IFERROR(__xludf.DUMMYFUNCTION("""COMPUTED_VALUE"""),"FALSO")</f>
        <v>FALSO</v>
      </c>
    </row>
    <row r="3877">
      <c r="B3877" s="186" t="str">
        <f>IFERROR(__xludf.DUMMYFUNCTION("""COMPUTED_VALUE"""),"PI7043Y")</f>
        <v>PI7043Y</v>
      </c>
      <c r="C3877" s="186" t="str">
        <f>IFERROR(__xludf.DUMMYFUNCTION("""COMPUTED_VALUE"""),"CORTADOR DE PIZZA AMARELO PIZZA CUTTER")</f>
        <v>CORTADOR DE PIZZA AMARELO PIZZA CUTTER</v>
      </c>
      <c r="D3877" s="186" t="str">
        <f>IFERROR(__xludf.DUMMYFUNCTION("""COMPUTED_VALUE"""),"FALSO")</f>
        <v>FALSO</v>
      </c>
    </row>
    <row r="3878">
      <c r="B3878" s="186" t="str">
        <f>IFERROR(__xludf.DUMMYFUNCTION("""COMPUTED_VALUE"""),"PI5053Y")</f>
        <v>PI5053Y</v>
      </c>
      <c r="C3878" s="186" t="str">
        <f>IFERROR(__xludf.DUMMYFUNCTION("""COMPUTED_VALUE"""),"TAPETE PARA YOGA COM BOLSA PLENITUDE")</f>
        <v>TAPETE PARA YOGA COM BOLSA PLENITUDE</v>
      </c>
      <c r="D3878" s="186" t="str">
        <f>IFERROR(__xludf.DUMMYFUNCTION("""COMPUTED_VALUE"""),"FALSO")</f>
        <v>FALSO</v>
      </c>
    </row>
    <row r="3879">
      <c r="B3879" s="186" t="str">
        <f>IFERROR(__xludf.DUMMYFUNCTION("""COMPUTED_VALUE"""),"PI4685")</f>
        <v>PI4685</v>
      </c>
      <c r="C3879" s="186" t="str">
        <f>IFERROR(__xludf.DUMMYFUNCTION("""COMPUTED_VALUE"""),"ESPELHO DE AUMENTO LED APRECIE A ARTE")</f>
        <v>ESPELHO DE AUMENTO LED APRECIE A ARTE</v>
      </c>
      <c r="D3879" s="186" t="str">
        <f>IFERROR(__xludf.DUMMYFUNCTION("""COMPUTED_VALUE"""),"FALSO")</f>
        <v>FALSO</v>
      </c>
    </row>
    <row r="3880">
      <c r="B3880" s="186" t="str">
        <f>IFERROR(__xludf.DUMMYFUNCTION("""COMPUTED_VALUE"""),"PI4685")</f>
        <v>PI4685</v>
      </c>
      <c r="C3880" s="186" t="str">
        <f>IFERROR(__xludf.DUMMYFUNCTION("""COMPUTED_VALUE"""),"ESPELHO DE AUMENTO LED APRECIE A ARTE")</f>
        <v>ESPELHO DE AUMENTO LED APRECIE A ARTE</v>
      </c>
      <c r="D3880" s="186" t="str">
        <f>IFERROR(__xludf.DUMMYFUNCTION("""COMPUTED_VALUE"""),"FALSO")</f>
        <v>FALSO</v>
      </c>
    </row>
    <row r="3881">
      <c r="B3881" s="186" t="str">
        <f>IFERROR(__xludf.DUMMYFUNCTION("""COMPUTED_VALUE"""),"MI4108Y")</f>
        <v>MI4108Y</v>
      </c>
      <c r="C3881" s="186" t="str">
        <f>IFERROR(__xludf.DUMMYFUNCTION("""COMPUTED_VALUE"""),"Luminária Sunset")</f>
        <v>Luminária Sunset</v>
      </c>
      <c r="D3881" s="186" t="str">
        <f>IFERROR(__xludf.DUMMYFUNCTION("""COMPUTED_VALUE"""),"FALSO")</f>
        <v>FALSO</v>
      </c>
    </row>
    <row r="3882">
      <c r="B3882" s="186" t="str">
        <f>IFERROR(__xludf.DUMMYFUNCTION("""COMPUTED_VALUE"""),"MI3914Y")</f>
        <v>MI3914Y</v>
      </c>
      <c r="C3882" s="186" t="str">
        <f>IFERROR(__xludf.DUMMYFUNCTION("""COMPUTED_VALUE"""),"ALMOFADA RAIOS DE SOL")</f>
        <v>ALMOFADA RAIOS DE SOL</v>
      </c>
      <c r="D3882" s="186" t="str">
        <f>IFERROR(__xludf.DUMMYFUNCTION("""COMPUTED_VALUE"""),"FALSO")</f>
        <v>FALSO</v>
      </c>
    </row>
    <row r="3883">
      <c r="B3883" s="186" t="str">
        <f>IFERROR(__xludf.DUMMYFUNCTION("""COMPUTED_VALUE"""),"MI3913Y")</f>
        <v>MI3913Y</v>
      </c>
      <c r="C3883" s="186" t="str">
        <f>IFERROR(__xludf.DUMMYFUNCTION("""COMPUTED_VALUE"""),"ALMOFADA RETANGULAR RAIOS DE SOL")</f>
        <v>ALMOFADA RETANGULAR RAIOS DE SOL</v>
      </c>
      <c r="D3883" s="186" t="str">
        <f>IFERROR(__xludf.DUMMYFUNCTION("""COMPUTED_VALUE"""),"FALSO")</f>
        <v>FALSO</v>
      </c>
    </row>
    <row r="3884">
      <c r="B3884" s="186" t="str">
        <f>IFERROR(__xludf.DUMMYFUNCTION("""COMPUTED_VALUE"""),"MI3912Y")</f>
        <v>MI3912Y</v>
      </c>
      <c r="C3884" s="186" t="str">
        <f>IFERROR(__xludf.DUMMYFUNCTION("""COMPUTED_VALUE"""),"ALMOFADA RETANGULAR SUNSET")</f>
        <v>ALMOFADA RETANGULAR SUNSET</v>
      </c>
      <c r="D3884" s="186" t="str">
        <f>IFERROR(__xludf.DUMMYFUNCTION("""COMPUTED_VALUE"""),"FALSO")</f>
        <v>FALSO</v>
      </c>
    </row>
    <row r="3885">
      <c r="B3885" s="186" t="str">
        <f>IFERROR(__xludf.DUMMYFUNCTION("""COMPUTED_VALUE"""),"MI3915Y")</f>
        <v>MI3915Y</v>
      </c>
      <c r="C3885" s="186" t="str">
        <f>IFERROR(__xludf.DUMMYFUNCTION("""COMPUTED_VALUE"""),"ALMOFADA SOL")</f>
        <v>ALMOFADA SOL</v>
      </c>
      <c r="D3885" s="186" t="str">
        <f>IFERROR(__xludf.DUMMYFUNCTION("""COMPUTED_VALUE"""),"FALSO")</f>
        <v>FALSO</v>
      </c>
    </row>
    <row r="3886">
      <c r="B3886" s="186" t="str">
        <f>IFERROR(__xludf.DUMMYFUNCTION("""COMPUTED_VALUE"""),"MI3917Y")</f>
        <v>MI3917Y</v>
      </c>
      <c r="C3886" s="186" t="str">
        <f>IFERROR(__xludf.DUMMYFUNCTION("""COMPUTED_VALUE"""),"ALMOFADA SOL LILÁS")</f>
        <v>ALMOFADA SOL LILÁS</v>
      </c>
      <c r="D3886" s="186" t="str">
        <f>IFERROR(__xludf.DUMMYFUNCTION("""COMPUTED_VALUE"""),"FALSO")</f>
        <v>FALSO</v>
      </c>
    </row>
    <row r="3887">
      <c r="B3887" s="186" t="str">
        <f>IFERROR(__xludf.DUMMYFUNCTION("""COMPUTED_VALUE"""),"MI3916Y")</f>
        <v>MI3916Y</v>
      </c>
      <c r="C3887" s="186" t="str">
        <f>IFERROR(__xludf.DUMMYFUNCTION("""COMPUTED_VALUE"""),"ALMOFADA SUNSET")</f>
        <v>ALMOFADA SUNSET</v>
      </c>
      <c r="D3887" s="186" t="str">
        <f>IFERROR(__xludf.DUMMYFUNCTION("""COMPUTED_VALUE"""),"FALSO")</f>
        <v>FALSO</v>
      </c>
    </row>
    <row r="3888">
      <c r="B3888" s="186" t="str">
        <f>IFERROR(__xludf.DUMMYFUNCTION("""COMPUTED_VALUE"""),"MI3844Y")</f>
        <v>MI3844Y</v>
      </c>
      <c r="C3888" s="186" t="str">
        <f>IFERROR(__xludf.DUMMYFUNCTION("""COMPUTED_VALUE"""),"BANQUINHO EM LINHO AZUL")</f>
        <v>BANQUINHO EM LINHO AZUL</v>
      </c>
      <c r="D3888" s="186" t="str">
        <f>IFERROR(__xludf.DUMMYFUNCTION("""COMPUTED_VALUE"""),"FALSO")</f>
        <v>FALSO</v>
      </c>
    </row>
    <row r="3889">
      <c r="B3889" s="186" t="str">
        <f>IFERROR(__xludf.DUMMYFUNCTION("""COMPUTED_VALUE"""),"MI3845Y")</f>
        <v>MI3845Y</v>
      </c>
      <c r="C3889" s="186" t="str">
        <f>IFERROR(__xludf.DUMMYFUNCTION("""COMPUTED_VALUE"""),"BANQUINHO EM LINHO TERRACOTA")</f>
        <v>BANQUINHO EM LINHO TERRACOTA</v>
      </c>
      <c r="D3889" s="186" t="str">
        <f>IFERROR(__xludf.DUMMYFUNCTION("""COMPUTED_VALUE"""),"FALSO")</f>
        <v>FALSO</v>
      </c>
    </row>
    <row r="3890">
      <c r="B3890" s="186" t="str">
        <f>IFERROR(__xludf.DUMMYFUNCTION("""COMPUTED_VALUE"""),"MI3969Y")</f>
        <v>MI3969Y</v>
      </c>
      <c r="C3890" s="186" t="str">
        <f>IFERROR(__xludf.DUMMYFUNCTION("""COMPUTED_VALUE"""),"TAPETE DE BANHEIRO RAIOS DE SOL 50x70cm")</f>
        <v>TAPETE DE BANHEIRO RAIOS DE SOL 50x70cm</v>
      </c>
      <c r="D3890" s="186" t="str">
        <f>IFERROR(__xludf.DUMMYFUNCTION("""COMPUTED_VALUE"""),"FALSO")</f>
        <v>FALSO</v>
      </c>
    </row>
    <row r="3891">
      <c r="B3891" s="186" t="str">
        <f>IFERROR(__xludf.DUMMYFUNCTION("""COMPUTED_VALUE"""),"MI3960Y")</f>
        <v>MI3960Y</v>
      </c>
      <c r="C3891" s="186" t="str">
        <f>IFERROR(__xludf.DUMMYFUNCTION("""COMPUTED_VALUE"""),"CADEIRA COMFORT BEGE")</f>
        <v>CADEIRA COMFORT BEGE</v>
      </c>
      <c r="D3891" s="186" t="str">
        <f>IFERROR(__xludf.DUMMYFUNCTION("""COMPUTED_VALUE"""),"FALSO")</f>
        <v>FALSO</v>
      </c>
    </row>
    <row r="3892">
      <c r="B3892" s="186" t="str">
        <f>IFERROR(__xludf.DUMMYFUNCTION("""COMPUTED_VALUE"""),"MI3961Y")</f>
        <v>MI3961Y</v>
      </c>
      <c r="C3892" s="186" t="str">
        <f>IFERROR(__xludf.DUMMYFUNCTION("""COMPUTED_VALUE"""),"CADEIRA COMFORT CINZA")</f>
        <v>CADEIRA COMFORT CINZA</v>
      </c>
      <c r="D3892" s="186" t="str">
        <f>IFERROR(__xludf.DUMMYFUNCTION("""COMPUTED_VALUE"""),"FALSO")</f>
        <v>FALSO</v>
      </c>
    </row>
    <row r="3893">
      <c r="B3893" s="186" t="str">
        <f>IFERROR(__xludf.DUMMYFUNCTION("""COMPUTED_VALUE"""),"MI3962Y")</f>
        <v>MI3962Y</v>
      </c>
      <c r="C3893" s="186" t="str">
        <f>IFERROR(__xludf.DUMMYFUNCTION("""COMPUTED_VALUE"""),"CADEIRA DE BALANÇO COMFORT BEGE")</f>
        <v>CADEIRA DE BALANÇO COMFORT BEGE</v>
      </c>
      <c r="D3893" s="186" t="str">
        <f>IFERROR(__xludf.DUMMYFUNCTION("""COMPUTED_VALUE"""),"FALSO")</f>
        <v>FALSO</v>
      </c>
    </row>
    <row r="3894">
      <c r="B3894" s="186" t="str">
        <f>IFERROR(__xludf.DUMMYFUNCTION("""COMPUTED_VALUE"""),"MI3963Y")</f>
        <v>MI3963Y</v>
      </c>
      <c r="C3894" s="186" t="str">
        <f>IFERROR(__xludf.DUMMYFUNCTION("""COMPUTED_VALUE"""),"CADEIRA DE BALANÇO COMFORT CINZA")</f>
        <v>CADEIRA DE BALANÇO COMFORT CINZA</v>
      </c>
      <c r="D3894" s="186" t="str">
        <f>IFERROR(__xludf.DUMMYFUNCTION("""COMPUTED_VALUE"""),"FALSO")</f>
        <v>FALSO</v>
      </c>
    </row>
    <row r="3895">
      <c r="B3895" s="186" t="str">
        <f>IFERROR(__xludf.DUMMYFUNCTION("""COMPUTED_VALUE"""),"MI4056Y")</f>
        <v>MI4056Y</v>
      </c>
      <c r="C3895" s="186" t="str">
        <f>IFERROR(__xludf.DUMMYFUNCTION("""COMPUTED_VALUE"""),"Carrinho com Mesa Dobrável Taupe")</f>
        <v>Carrinho com Mesa Dobrável Taupe</v>
      </c>
      <c r="D3895" s="186" t="str">
        <f>IFERROR(__xludf.DUMMYFUNCTION("""COMPUTED_VALUE"""),"FALSO")</f>
        <v>FALSO</v>
      </c>
    </row>
    <row r="3896">
      <c r="B3896" s="186" t="str">
        <f>IFERROR(__xludf.DUMMYFUNCTION("""COMPUTED_VALUE"""),"MI3712Y")</f>
        <v>MI3712Y</v>
      </c>
      <c r="C3896" s="186" t="str">
        <f>IFERROR(__xludf.DUMMYFUNCTION("""COMPUTED_VALUE"""),"CARRINHO METAL ARTICULADO PRETO")</f>
        <v>CARRINHO METAL ARTICULADO PRETO</v>
      </c>
      <c r="D3896" s="186" t="str">
        <f>IFERROR(__xludf.DUMMYFUNCTION("""COMPUTED_VALUE"""),"FALSO")</f>
        <v>FALSO</v>
      </c>
    </row>
    <row r="3897">
      <c r="B3897" s="186" t="str">
        <f>IFERROR(__xludf.DUMMYFUNCTION("""COMPUTED_VALUE"""),"MI3713Y")</f>
        <v>MI3713Y</v>
      </c>
      <c r="C3897" s="186" t="str">
        <f>IFERROR(__xludf.DUMMYFUNCTION("""COMPUTED_VALUE"""),"CARRINHO METAL ARTICULADO TURQUESA")</f>
        <v>CARRINHO METAL ARTICULADO TURQUESA</v>
      </c>
      <c r="D3897" s="186" t="str">
        <f>IFERROR(__xludf.DUMMYFUNCTION("""COMPUTED_VALUE"""),"FALSO")</f>
        <v>FALSO</v>
      </c>
    </row>
    <row r="3898">
      <c r="B3898" s="186" t="str">
        <f>IFERROR(__xludf.DUMMYFUNCTION("""COMPUTED_VALUE"""),"MI4070Y")</f>
        <v>MI4070Y</v>
      </c>
      <c r="C3898" s="186" t="str">
        <f>IFERROR(__xludf.DUMMYFUNCTION("""COMPUTED_VALUE"""),"Carrinho 2 Andares Branco")</f>
        <v>Carrinho 2 Andares Branco</v>
      </c>
      <c r="D3898" s="186" t="str">
        <f>IFERROR(__xludf.DUMMYFUNCTION("""COMPUTED_VALUE"""),"FALSO")</f>
        <v>FALSO</v>
      </c>
    </row>
    <row r="3899">
      <c r="B3899" s="186" t="str">
        <f>IFERROR(__xludf.DUMMYFUNCTION("""COMPUTED_VALUE"""),"MI4059Y")</f>
        <v>MI4059Y</v>
      </c>
      <c r="C3899" s="186" t="str">
        <f>IFERROR(__xludf.DUMMYFUNCTION("""COMPUTED_VALUE"""),"Carrinho 2 Andares Cinza")</f>
        <v>Carrinho 2 Andares Cinza</v>
      </c>
      <c r="D3899" s="186" t="str">
        <f>IFERROR(__xludf.DUMMYFUNCTION("""COMPUTED_VALUE"""),"FALSO")</f>
        <v>FALSO</v>
      </c>
    </row>
    <row r="3900">
      <c r="B3900" s="186" t="str">
        <f>IFERROR(__xludf.DUMMYFUNCTION("""COMPUTED_VALUE"""),"MI4057Y")</f>
        <v>MI4057Y</v>
      </c>
      <c r="C3900" s="186" t="str">
        <f>IFERROR(__xludf.DUMMYFUNCTION("""COMPUTED_VALUE"""),"Carrinho 2 Andares Petróleo")</f>
        <v>Carrinho 2 Andares Petróleo</v>
      </c>
      <c r="D3900" s="186" t="str">
        <f>IFERROR(__xludf.DUMMYFUNCTION("""COMPUTED_VALUE"""),"FALSO")</f>
        <v>FALSO</v>
      </c>
    </row>
    <row r="3901">
      <c r="B3901" s="186" t="str">
        <f>IFERROR(__xludf.DUMMYFUNCTION("""COMPUTED_VALUE"""),"MI4069Y")</f>
        <v>MI4069Y</v>
      </c>
      <c r="C3901" s="186" t="str">
        <f>IFERROR(__xludf.DUMMYFUNCTION("""COMPUTED_VALUE"""),"Carrinho 2 Andares Preto")</f>
        <v>Carrinho 2 Andares Preto</v>
      </c>
      <c r="D3901" s="186" t="str">
        <f>IFERROR(__xludf.DUMMYFUNCTION("""COMPUTED_VALUE"""),"FALSO")</f>
        <v>FALSO</v>
      </c>
    </row>
    <row r="3902">
      <c r="B3902" s="186" t="str">
        <f>IFERROR(__xludf.DUMMYFUNCTION("""COMPUTED_VALUE"""),"MI4058Y")</f>
        <v>MI4058Y</v>
      </c>
      <c r="C3902" s="186" t="str">
        <f>IFERROR(__xludf.DUMMYFUNCTION("""COMPUTED_VALUE"""),"Carrinho 2 Andares Vermelho")</f>
        <v>Carrinho 2 Andares Vermelho</v>
      </c>
      <c r="D3902" s="186" t="str">
        <f>IFERROR(__xludf.DUMMYFUNCTION("""COMPUTED_VALUE"""),"FALSO")</f>
        <v>FALSO</v>
      </c>
    </row>
    <row r="3903">
      <c r="B3903" s="186" t="str">
        <f>IFERROR(__xludf.DUMMYFUNCTION("""COMPUTED_VALUE"""),"MI4062Y")</f>
        <v>MI4062Y</v>
      </c>
      <c r="C3903" s="186" t="str">
        <f>IFERROR(__xludf.DUMMYFUNCTION("""COMPUTED_VALUE"""),"Carrinho 3 Andares Cinza")</f>
        <v>Carrinho 3 Andares Cinza</v>
      </c>
      <c r="D3903" s="186" t="str">
        <f>IFERROR(__xludf.DUMMYFUNCTION("""COMPUTED_VALUE"""),"FALSO")</f>
        <v>FALSO</v>
      </c>
    </row>
    <row r="3904">
      <c r="B3904" s="186" t="str">
        <f>IFERROR(__xludf.DUMMYFUNCTION("""COMPUTED_VALUE"""),"MI4060Y")</f>
        <v>MI4060Y</v>
      </c>
      <c r="C3904" s="186" t="str">
        <f>IFERROR(__xludf.DUMMYFUNCTION("""COMPUTED_VALUE"""),"Carrinho 3 Andares Petróleo")</f>
        <v>Carrinho 3 Andares Petróleo</v>
      </c>
      <c r="D3904" s="186" t="str">
        <f>IFERROR(__xludf.DUMMYFUNCTION("""COMPUTED_VALUE"""),"FALSO")</f>
        <v>FALSO</v>
      </c>
    </row>
    <row r="3905">
      <c r="B3905" s="186" t="str">
        <f>IFERROR(__xludf.DUMMYFUNCTION("""COMPUTED_VALUE"""),"MI4061Y")</f>
        <v>MI4061Y</v>
      </c>
      <c r="C3905" s="186" t="str">
        <f>IFERROR(__xludf.DUMMYFUNCTION("""COMPUTED_VALUE"""),"Carrinho 3 Andares Vermelho")</f>
        <v>Carrinho 3 Andares Vermelho</v>
      </c>
      <c r="D3905" s="186" t="str">
        <f>IFERROR(__xludf.DUMMYFUNCTION("""COMPUTED_VALUE"""),"FALSO")</f>
        <v>FALSO</v>
      </c>
    </row>
    <row r="3906">
      <c r="B3906" s="186" t="str">
        <f>IFERROR(__xludf.DUMMYFUNCTION("""COMPUTED_VALUE"""),"MI3572Y")</f>
        <v>MI3572Y</v>
      </c>
      <c r="C3906" s="186" t="str">
        <f>IFERROR(__xludf.DUMMYFUNCTION("""COMPUTED_VALUE"""),"Cesto Corda e Algodão Cru M")</f>
        <v>Cesto Corda e Algodão Cru M</v>
      </c>
      <c r="D3906" s="186" t="str">
        <f>IFERROR(__xludf.DUMMYFUNCTION("""COMPUTED_VALUE"""),"FALSO")</f>
        <v>FALSO</v>
      </c>
    </row>
    <row r="3907">
      <c r="B3907" s="186" t="str">
        <f>IFERROR(__xludf.DUMMYFUNCTION("""COMPUTED_VALUE"""),"MI3569Y")</f>
        <v>MI3569Y</v>
      </c>
      <c r="C3907" s="186" t="str">
        <f>IFERROR(__xludf.DUMMYFUNCTION("""COMPUTED_VALUE"""),"Cesto Fibra Natual e Algodão Preto G")</f>
        <v>Cesto Fibra Natual e Algodão Preto G</v>
      </c>
      <c r="D3907" s="186" t="str">
        <f>IFERROR(__xludf.DUMMYFUNCTION("""COMPUTED_VALUE"""),"FALSO")</f>
        <v>FALSO</v>
      </c>
    </row>
    <row r="3908">
      <c r="B3908" s="186" t="str">
        <f>IFERROR(__xludf.DUMMYFUNCTION("""COMPUTED_VALUE"""),"MI3570Y")</f>
        <v>MI3570Y</v>
      </c>
      <c r="C3908" s="186" t="str">
        <f>IFERROR(__xludf.DUMMYFUNCTION("""COMPUTED_VALUE"""),"Cesto Corda e Algodão Preto M")</f>
        <v>Cesto Corda e Algodão Preto M</v>
      </c>
      <c r="D3908" s="186" t="str">
        <f>IFERROR(__xludf.DUMMYFUNCTION("""COMPUTED_VALUE"""),"FALSO")</f>
        <v>FALSO</v>
      </c>
    </row>
    <row r="3909">
      <c r="B3909" s="186" t="str">
        <f>IFERROR(__xludf.DUMMYFUNCTION("""COMPUTED_VALUE"""),"MI3571Y")</f>
        <v>MI3571Y</v>
      </c>
      <c r="C3909" s="186" t="str">
        <f>IFERROR(__xludf.DUMMYFUNCTION("""COMPUTED_VALUE"""),"Cesto Corda e Algodão Verde G")</f>
        <v>Cesto Corda e Algodão Verde G</v>
      </c>
      <c r="D3909" s="186" t="str">
        <f>IFERROR(__xludf.DUMMYFUNCTION("""COMPUTED_VALUE"""),"FALSO")</f>
        <v>FALSO</v>
      </c>
    </row>
    <row r="3910">
      <c r="B3910" s="186" t="str">
        <f>IFERROR(__xludf.DUMMYFUNCTION("""COMPUTED_VALUE"""),"MI4112")</f>
        <v>MI4112</v>
      </c>
      <c r="C3910" s="186" t="str">
        <f>IFERROR(__xludf.DUMMYFUNCTION("""COMPUTED_VALUE"""),"Espelho de Chão Deco")</f>
        <v>Espelho de Chão Deco</v>
      </c>
      <c r="D3910" s="186" t="str">
        <f>IFERROR(__xludf.DUMMYFUNCTION("""COMPUTED_VALUE"""),"FALSO")</f>
        <v>FALSO</v>
      </c>
    </row>
    <row r="3911">
      <c r="B3911" s="186" t="str">
        <f>IFERROR(__xludf.DUMMYFUNCTION("""COMPUTED_VALUE"""),"MI4106")</f>
        <v>MI4106</v>
      </c>
      <c r="C3911" s="186" t="str">
        <f>IFERROR(__xludf.DUMMYFUNCTION("""COMPUTED_VALUE"""),"ESPELHO RATTAN ESTRELA")</f>
        <v>ESPELHO RATTAN ESTRELA</v>
      </c>
      <c r="D3911" s="186" t="str">
        <f>IFERROR(__xludf.DUMMYFUNCTION("""COMPUTED_VALUE"""),"FALSO")</f>
        <v>FALSO</v>
      </c>
    </row>
    <row r="3912">
      <c r="B3912" s="186" t="str">
        <f>IFERROR(__xludf.DUMMYFUNCTION("""COMPUTED_VALUE"""),"MI4107")</f>
        <v>MI4107</v>
      </c>
      <c r="C3912" s="186" t="str">
        <f>IFERROR(__xludf.DUMMYFUNCTION("""COMPUTED_VALUE"""),"ESPELHO RATTAN PÉTALAS")</f>
        <v>ESPELHO RATTAN PÉTALAS</v>
      </c>
      <c r="D3912" s="186" t="str">
        <f>IFERROR(__xludf.DUMMYFUNCTION("""COMPUTED_VALUE"""),"FALSO")</f>
        <v>FALSO</v>
      </c>
    </row>
    <row r="3913">
      <c r="B3913" s="186" t="str">
        <f>IFERROR(__xludf.DUMMYFUNCTION("""COMPUTED_VALUE"""),"MI4049Y")</f>
        <v>MI4049Y</v>
      </c>
      <c r="C3913" s="186" t="str">
        <f>IFERROR(__xludf.DUMMYFUNCTION("""COMPUTED_VALUE"""),"Gancho Mão Amarelo")</f>
        <v>Gancho Mão Amarelo</v>
      </c>
      <c r="D3913" s="186" t="str">
        <f>IFERROR(__xludf.DUMMYFUNCTION("""COMPUTED_VALUE"""),"FALSO")</f>
        <v>FALSO</v>
      </c>
    </row>
    <row r="3914">
      <c r="B3914" s="186" t="str">
        <f>IFERROR(__xludf.DUMMYFUNCTION("""COMPUTED_VALUE"""),"MI4048Y")</f>
        <v>MI4048Y</v>
      </c>
      <c r="C3914" s="186" t="str">
        <f>IFERROR(__xludf.DUMMYFUNCTION("""COMPUTED_VALUE"""),"Gancho Mão Branco")</f>
        <v>Gancho Mão Branco</v>
      </c>
      <c r="D3914" s="186" t="str">
        <f>IFERROR(__xludf.DUMMYFUNCTION("""COMPUTED_VALUE"""),"FALSO")</f>
        <v>FALSO</v>
      </c>
    </row>
    <row r="3915">
      <c r="B3915" s="186" t="str">
        <f>IFERROR(__xludf.DUMMYFUNCTION("""COMPUTED_VALUE"""),"MI4050Y")</f>
        <v>MI4050Y</v>
      </c>
      <c r="C3915" s="186" t="str">
        <f>IFERROR(__xludf.DUMMYFUNCTION("""COMPUTED_VALUE"""),"Gancho Mão Moreno")</f>
        <v>Gancho Mão Moreno</v>
      </c>
      <c r="D3915" s="186" t="str">
        <f>IFERROR(__xludf.DUMMYFUNCTION("""COMPUTED_VALUE"""),"FALSO")</f>
        <v>FALSO</v>
      </c>
    </row>
    <row r="3916">
      <c r="B3916" s="186" t="str">
        <f>IFERROR(__xludf.DUMMYFUNCTION("""COMPUTED_VALUE"""),"MI4051Y")</f>
        <v>MI4051Y</v>
      </c>
      <c r="C3916" s="186" t="str">
        <f>IFERROR(__xludf.DUMMYFUNCTION("""COMPUTED_VALUE"""),"Gancho Mão Preto")</f>
        <v>Gancho Mão Preto</v>
      </c>
      <c r="D3916" s="186" t="str">
        <f>IFERROR(__xludf.DUMMYFUNCTION("""COMPUTED_VALUE"""),"FALSO")</f>
        <v>FALSO</v>
      </c>
    </row>
    <row r="3917">
      <c r="B3917" s="186" t="str">
        <f>IFERROR(__xludf.DUMMYFUNCTION("""COMPUTED_VALUE"""),"MI3932Y")</f>
        <v>MI3932Y</v>
      </c>
      <c r="C3917" s="186" t="str">
        <f>IFERROR(__xludf.DUMMYFUNCTION("""COMPUTED_VALUE"""),"VASO CACHEPOT SUSPENSO ARO REDONDO")</f>
        <v>VASO CACHEPOT SUSPENSO ARO REDONDO</v>
      </c>
      <c r="D3917" s="186" t="str">
        <f>IFERROR(__xludf.DUMMYFUNCTION("""COMPUTED_VALUE"""),"FALSO")</f>
        <v>FALSO</v>
      </c>
    </row>
    <row r="3918">
      <c r="B3918" s="186" t="str">
        <f>IFERROR(__xludf.DUMMYFUNCTION("""COMPUTED_VALUE"""),"MI3935Y")</f>
        <v>MI3935Y</v>
      </c>
      <c r="C3918" s="186" t="str">
        <f>IFERROR(__xludf.DUMMYFUNCTION("""COMPUTED_VALUE"""),"LUMINÁRIA PENDENTE DE PALHA CÚPULA")</f>
        <v>LUMINÁRIA PENDENTE DE PALHA CÚPULA</v>
      </c>
      <c r="D3918" s="186" t="str">
        <f>IFERROR(__xludf.DUMMYFUNCTION("""COMPUTED_VALUE"""),"FALSO")</f>
        <v>FALSO</v>
      </c>
    </row>
    <row r="3919">
      <c r="B3919" s="186" t="str">
        <f>IFERROR(__xludf.DUMMYFUNCTION("""COMPUTED_VALUE"""),"MI3829Y")</f>
        <v>MI3829Y</v>
      </c>
      <c r="C3919" s="186" t="str">
        <f>IFERROR(__xludf.DUMMYFUNCTION("""COMPUTED_VALUE"""),"LUMINARIA PENTENDE RATAN")</f>
        <v>LUMINARIA PENTENDE RATAN</v>
      </c>
      <c r="D3919" s="186" t="str">
        <f>IFERROR(__xludf.DUMMYFUNCTION("""COMPUTED_VALUE"""),"FALSO")</f>
        <v>FALSO</v>
      </c>
    </row>
    <row r="3920">
      <c r="B3920" s="186" t="str">
        <f>IFERROR(__xludf.DUMMYFUNCTION("""COMPUTED_VALUE"""),"MI3828Y")</f>
        <v>MI3828Y</v>
      </c>
      <c r="C3920" s="186" t="str">
        <f>IFERROR(__xludf.DUMMYFUNCTION("""COMPUTED_VALUE"""),"LUMINARIA PENTENDE RATAN OVAL")</f>
        <v>LUMINARIA PENTENDE RATAN OVAL</v>
      </c>
      <c r="D3920" s="186" t="str">
        <f>IFERROR(__xludf.DUMMYFUNCTION("""COMPUTED_VALUE"""),"FALSO")</f>
        <v>FALSO</v>
      </c>
    </row>
    <row r="3921">
      <c r="B3921" s="186" t="str">
        <f>IFERROR(__xludf.DUMMYFUNCTION("""COMPUTED_VALUE"""),"MI3881Y")</f>
        <v>MI3881Y</v>
      </c>
      <c r="C3921" s="186" t="str">
        <f>IFERROR(__xludf.DUMMYFUNCTION("""COMPUTED_VALUE"""),"MANTA RIO DE JANEIRO")</f>
        <v>MANTA RIO DE JANEIRO</v>
      </c>
      <c r="D3921" s="186" t="str">
        <f>IFERROR(__xludf.DUMMYFUNCTION("""COMPUTED_VALUE"""),"FALSO")</f>
        <v>FALSO</v>
      </c>
    </row>
    <row r="3922">
      <c r="B3922" s="186" t="str">
        <f>IFERROR(__xludf.DUMMYFUNCTION("""COMPUTED_VALUE"""),"MI3882Y")</f>
        <v>MI3882Y</v>
      </c>
      <c r="C3922" s="186" t="str">
        <f>IFERROR(__xludf.DUMMYFUNCTION("""COMPUTED_VALUE"""),"MANTA SÃO PAULO")</f>
        <v>MANTA SÃO PAULO</v>
      </c>
      <c r="D3922" s="186" t="str">
        <f>IFERROR(__xludf.DUMMYFUNCTION("""COMPUTED_VALUE"""),"FALSO")</f>
        <v>FALSO</v>
      </c>
    </row>
    <row r="3923">
      <c r="B3923" s="186" t="str">
        <f>IFERROR(__xludf.DUMMYFUNCTION("""COMPUTED_VALUE"""),"MI3910Y")</f>
        <v>MI3910Y</v>
      </c>
      <c r="C3923" s="186" t="str">
        <f>IFERROR(__xludf.DUMMYFUNCTION("""COMPUTED_VALUE"""),"MANTA SUNSET")</f>
        <v>MANTA SUNSET</v>
      </c>
      <c r="D3923" s="186" t="str">
        <f>IFERROR(__xludf.DUMMYFUNCTION("""COMPUTED_VALUE"""),"FALSO")</f>
        <v>FALSO</v>
      </c>
    </row>
    <row r="3924">
      <c r="B3924" s="186" t="str">
        <f>IFERROR(__xludf.DUMMYFUNCTION("""COMPUTED_VALUE"""),"MI3911Y")</f>
        <v>MI3911Y</v>
      </c>
      <c r="C3924" s="186" t="str">
        <f>IFERROR(__xludf.DUMMYFUNCTION("""COMPUTED_VALUE"""),"MANTA SUNSET LISTRAS")</f>
        <v>MANTA SUNSET LISTRAS</v>
      </c>
      <c r="D3924" s="186" t="str">
        <f>IFERROR(__xludf.DUMMYFUNCTION("""COMPUTED_VALUE"""),"FALSO")</f>
        <v>FALSO</v>
      </c>
    </row>
    <row r="3925">
      <c r="B3925" s="186" t="str">
        <f>IFERROR(__xludf.DUMMYFUNCTION("""COMPUTED_VALUE"""),"MI3853Y")</f>
        <v>MI3853Y</v>
      </c>
      <c r="C3925" s="186" t="str">
        <f>IFERROR(__xludf.DUMMYFUNCTION("""COMPUTED_VALUE"""),"MESA COM ALÇA AZUL CLARO")</f>
        <v>MESA COM ALÇA AZUL CLARO</v>
      </c>
      <c r="D3925" s="186" t="str">
        <f>IFERROR(__xludf.DUMMYFUNCTION("""COMPUTED_VALUE"""),"FALSO")</f>
        <v>FALSO</v>
      </c>
    </row>
    <row r="3926">
      <c r="B3926" s="186" t="str">
        <f>IFERROR(__xludf.DUMMYFUNCTION("""COMPUTED_VALUE"""),"MI3852Y")</f>
        <v>MI3852Y</v>
      </c>
      <c r="C3926" s="186" t="str">
        <f>IFERROR(__xludf.DUMMYFUNCTION("""COMPUTED_VALUE"""),"MESA COM ALÇA CINZA")</f>
        <v>MESA COM ALÇA CINZA</v>
      </c>
      <c r="D3926" s="186" t="str">
        <f>IFERROR(__xludf.DUMMYFUNCTION("""COMPUTED_VALUE"""),"FALSO")</f>
        <v>FALSO</v>
      </c>
    </row>
    <row r="3927">
      <c r="B3927" s="186" t="str">
        <f>IFERROR(__xludf.DUMMYFUNCTION("""COMPUTED_VALUE"""),"MI4033Y")</f>
        <v>MI4033Y</v>
      </c>
      <c r="C3927" s="186" t="str">
        <f>IFERROR(__xludf.DUMMYFUNCTION("""COMPUTED_VALUE"""),"Mesa Lateral com Bolso")</f>
        <v>Mesa Lateral com Bolso</v>
      </c>
      <c r="D3927" s="186" t="str">
        <f>IFERROR(__xludf.DUMMYFUNCTION("""COMPUTED_VALUE"""),"FALSO")</f>
        <v>FALSO</v>
      </c>
    </row>
    <row r="3928">
      <c r="B3928" s="186"/>
      <c r="C3928" s="186"/>
      <c r="D3928" s="186"/>
    </row>
    <row r="3929">
      <c r="B3929" s="186" t="str">
        <f>IFERROR(__xludf.DUMMYFUNCTION("""COMPUTED_VALUE"""),"MI3930Y")</f>
        <v>MI3930Y</v>
      </c>
      <c r="C3929" s="186" t="str">
        <f>IFERROR(__xludf.DUMMYFUNCTION("""COMPUTED_VALUE"""),"VASO COM TRIPÉ M")</f>
        <v>VASO COM TRIPÉ M</v>
      </c>
      <c r="D3929" s="186" t="str">
        <f>IFERROR(__xludf.DUMMYFUNCTION("""COMPUTED_VALUE"""),"FALSO")</f>
        <v>FALSO</v>
      </c>
    </row>
    <row r="3930">
      <c r="B3930" s="186" t="str">
        <f>IFERROR(__xludf.DUMMYFUNCTION("""COMPUTED_VALUE"""),"MI3928Y")</f>
        <v>MI3928Y</v>
      </c>
      <c r="C3930" s="186" t="str">
        <f>IFERROR(__xludf.DUMMYFUNCTION("""COMPUTED_VALUE"""),"FLOREIRA CACHEPOT GRAFITE")</f>
        <v>FLOREIRA CACHEPOT GRAFITE</v>
      </c>
      <c r="D3930" s="186" t="str">
        <f>IFERROR(__xludf.DUMMYFUNCTION("""COMPUTED_VALUE"""),"FALSO")</f>
        <v>FALSO</v>
      </c>
    </row>
    <row r="3931">
      <c r="B3931" s="186" t="str">
        <f>IFERROR(__xludf.DUMMYFUNCTION("""COMPUTED_VALUE"""),"MI3929Y")</f>
        <v>MI3929Y</v>
      </c>
      <c r="C3931" s="186" t="str">
        <f>IFERROR(__xludf.DUMMYFUNCTION("""COMPUTED_VALUE"""),"FLOREIRA CACHEPOT VERDE")</f>
        <v>FLOREIRA CACHEPOT VERDE</v>
      </c>
      <c r="D3931" s="186" t="str">
        <f>IFERROR(__xludf.DUMMYFUNCTION("""COMPUTED_VALUE"""),"FALSO")</f>
        <v>FALSO</v>
      </c>
    </row>
    <row r="3932">
      <c r="B3932" s="186" t="str">
        <f>IFERROR(__xludf.DUMMYFUNCTION("""COMPUTED_VALUE"""),"MI3931Y")</f>
        <v>MI3931Y</v>
      </c>
      <c r="C3932" s="186" t="str">
        <f>IFERROR(__xludf.DUMMYFUNCTION("""COMPUTED_VALUE"""),"VASO COM TRIPÉ P")</f>
        <v>VASO COM TRIPÉ P</v>
      </c>
      <c r="D3932" s="186" t="str">
        <f>IFERROR(__xludf.DUMMYFUNCTION("""COMPUTED_VALUE"""),"FALSO")</f>
        <v>FALSO</v>
      </c>
    </row>
    <row r="3933">
      <c r="B3933" s="186" t="str">
        <f>IFERROR(__xludf.DUMMYFUNCTION("""COMPUTED_VALUE"""),"MI3850Y")</f>
        <v>MI3850Y</v>
      </c>
      <c r="C3933" s="186" t="str">
        <f>IFERROR(__xludf.DUMMYFUNCTION("""COMPUTED_VALUE"""),"MINI PRATELEIRA DOBRÁVEL 3 ANDARES AZUL")</f>
        <v>MINI PRATELEIRA DOBRÁVEL 3 ANDARES AZUL</v>
      </c>
      <c r="D3933" s="186" t="str">
        <f>IFERROR(__xludf.DUMMYFUNCTION("""COMPUTED_VALUE"""),"FALSO")</f>
        <v>FALSO</v>
      </c>
    </row>
    <row r="3934">
      <c r="B3934" s="186" t="str">
        <f>IFERROR(__xludf.DUMMYFUNCTION("""COMPUTED_VALUE"""),"MI3851Y")</f>
        <v>MI3851Y</v>
      </c>
      <c r="C3934" s="186" t="str">
        <f>IFERROR(__xludf.DUMMYFUNCTION("""COMPUTED_VALUE"""),"MINI PRATELEIRA DOBRÁVEL 3 ANDARES TAUPE")</f>
        <v>MINI PRATELEIRA DOBRÁVEL 3 ANDARES TAUPE</v>
      </c>
      <c r="D3934" s="186" t="str">
        <f>IFERROR(__xludf.DUMMYFUNCTION("""COMPUTED_VALUE"""),"FALSO")</f>
        <v>FALSO</v>
      </c>
    </row>
    <row r="3935">
      <c r="B3935" s="186" t="str">
        <f>IFERROR(__xludf.DUMMYFUNCTION("""COMPUTED_VALUE"""),"MI3965Y")</f>
        <v>MI3965Y</v>
      </c>
      <c r="C3935" s="186" t="str">
        <f>IFERROR(__xludf.DUMMYFUNCTION("""COMPUTED_VALUE"""),"MOCHILA SET DE PIQUENIQUE PARA 4 PESSOAS AZUL")</f>
        <v>MOCHILA SET DE PIQUENIQUE PARA 4 PESSOAS AZUL</v>
      </c>
      <c r="D3935" s="186" t="str">
        <f>IFERROR(__xludf.DUMMYFUNCTION("""COMPUTED_VALUE"""),"FALSO")</f>
        <v>FALSO</v>
      </c>
    </row>
    <row r="3936">
      <c r="B3936" s="186" t="str">
        <f>IFERROR(__xludf.DUMMYFUNCTION("""COMPUTED_VALUE"""),"MI3964Y")</f>
        <v>MI3964Y</v>
      </c>
      <c r="C3936" s="186" t="str">
        <f>IFERROR(__xludf.DUMMYFUNCTION("""COMPUTED_VALUE"""),"MOCHILA SET DE PIQUENIQUE PARA 4 PESSOAS CINZA")</f>
        <v>MOCHILA SET DE PIQUENIQUE PARA 4 PESSOAS CINZA</v>
      </c>
      <c r="D3936" s="186" t="str">
        <f>IFERROR(__xludf.DUMMYFUNCTION("""COMPUTED_VALUE"""),"FALSO")</f>
        <v>FALSO</v>
      </c>
    </row>
    <row r="3937">
      <c r="B3937" s="186" t="str">
        <f>IFERROR(__xludf.DUMMYFUNCTION("""COMPUTED_VALUE"""),"MI3938Y")</f>
        <v>MI3938Y</v>
      </c>
      <c r="C3937" s="186" t="str">
        <f>IFERROR(__xludf.DUMMYFUNCTION("""COMPUTED_VALUE"""),"LUMINÁRIA PENDENTE DE RATTAN E CERÂMICA ROSA")</f>
        <v>LUMINÁRIA PENDENTE DE RATTAN E CERÂMICA ROSA</v>
      </c>
      <c r="D3937" s="186" t="str">
        <f>IFERROR(__xludf.DUMMYFUNCTION("""COMPUTED_VALUE"""),"FALSO")</f>
        <v>FALSO</v>
      </c>
    </row>
    <row r="3938">
      <c r="B3938" s="186" t="str">
        <f>IFERROR(__xludf.DUMMYFUNCTION("""COMPUTED_VALUE"""),"MI3937Y")</f>
        <v>MI3937Y</v>
      </c>
      <c r="C3938" s="186" t="str">
        <f>IFERROR(__xludf.DUMMYFUNCTION("""COMPUTED_VALUE"""),"LUMINÁRIA PENDENTE DE RATTAN E CERÂMICA VERDE")</f>
        <v>LUMINÁRIA PENDENTE DE RATTAN E CERÂMICA VERDE</v>
      </c>
      <c r="D3938" s="186" t="str">
        <f>IFERROR(__xludf.DUMMYFUNCTION("""COMPUTED_VALUE"""),"FALSO")</f>
        <v>FALSO</v>
      </c>
    </row>
    <row r="3939">
      <c r="B3939" s="186" t="str">
        <f>IFERROR(__xludf.DUMMYFUNCTION("""COMPUTED_VALUE"""),"MI3934Y")</f>
        <v>MI3934Y</v>
      </c>
      <c r="C3939" s="186" t="str">
        <f>IFERROR(__xludf.DUMMYFUNCTION("""COMPUTED_VALUE"""),"LUMINÁRIA PENDENTE DE BAMBU")</f>
        <v>LUMINÁRIA PENDENTE DE BAMBU</v>
      </c>
      <c r="D3939" s="186" t="str">
        <f>IFERROR(__xludf.DUMMYFUNCTION("""COMPUTED_VALUE"""),"FALSO")</f>
        <v>FALSO</v>
      </c>
    </row>
    <row r="3940">
      <c r="B3940" s="186" t="str">
        <f>IFERROR(__xludf.DUMMYFUNCTION("""COMPUTED_VALUE"""),"MI3936Y")</f>
        <v>MI3936Y</v>
      </c>
      <c r="C3940" s="186" t="str">
        <f>IFERROR(__xludf.DUMMYFUNCTION("""COMPUTED_VALUE"""),"LUMINÁRIA PENDENTE DE RATTAN E CERÂMICA BRANCA")</f>
        <v>LUMINÁRIA PENDENTE DE RATTAN E CERÂMICA BRANCA</v>
      </c>
      <c r="D3940" s="186" t="str">
        <f>IFERROR(__xludf.DUMMYFUNCTION("""COMPUTED_VALUE"""),"FALSO")</f>
        <v>FALSO</v>
      </c>
    </row>
    <row r="3941">
      <c r="B3941" s="186" t="str">
        <f>IFERROR(__xludf.DUMMYFUNCTION("""COMPUTED_VALUE"""),"MI3939Y")</f>
        <v>MI3939Y</v>
      </c>
      <c r="C3941" s="186" t="str">
        <f>IFERROR(__xludf.DUMMYFUNCTION("""COMPUTED_VALUE"""),"LUMINÁRIA PENDENTE COMPRIDA DE RATTAN E PALHA")</f>
        <v>LUMINÁRIA PENDENTE COMPRIDA DE RATTAN E PALHA</v>
      </c>
      <c r="D3941" s="186" t="str">
        <f>IFERROR(__xludf.DUMMYFUNCTION("""COMPUTED_VALUE"""),"FALSO")</f>
        <v>FALSO</v>
      </c>
    </row>
    <row r="3942">
      <c r="B3942" s="186" t="str">
        <f>IFERROR(__xludf.DUMMYFUNCTION("""COMPUTED_VALUE"""),"MI3850Y")</f>
        <v>MI3850Y</v>
      </c>
      <c r="C3942" s="186" t="str">
        <f>IFERROR(__xludf.DUMMYFUNCTION("""COMPUTED_VALUE"""),"MINI PRATELEIRA DOBRÁVEL 3 ANDARES AZUL")</f>
        <v>MINI PRATELEIRA DOBRÁVEL 3 ANDARES AZUL</v>
      </c>
      <c r="D3942" s="186" t="str">
        <f>IFERROR(__xludf.DUMMYFUNCTION("""COMPUTED_VALUE"""),"FALSO")</f>
        <v>FALSO</v>
      </c>
    </row>
    <row r="3943">
      <c r="B3943" s="186" t="str">
        <f>IFERROR(__xludf.DUMMYFUNCTION("""COMPUTED_VALUE"""),"MI3851Y")</f>
        <v>MI3851Y</v>
      </c>
      <c r="C3943" s="186" t="str">
        <f>IFERROR(__xludf.DUMMYFUNCTION("""COMPUTED_VALUE"""),"MINI PRATELEIRA DOBRÁVEL 3 ANDARES TAUPE")</f>
        <v>MINI PRATELEIRA DOBRÁVEL 3 ANDARES TAUPE</v>
      </c>
      <c r="D3943" s="186" t="str">
        <f>IFERROR(__xludf.DUMMYFUNCTION("""COMPUTED_VALUE"""),"FALSO")</f>
        <v>FALSO</v>
      </c>
    </row>
    <row r="3944">
      <c r="B3944" s="186" t="str">
        <f>IFERROR(__xludf.DUMMYFUNCTION("""COMPUTED_VALUE"""),"MI4052Y")</f>
        <v>MI4052Y</v>
      </c>
      <c r="C3944" s="186" t="str">
        <f>IFERROR(__xludf.DUMMYFUNCTION("""COMPUTED_VALUE"""),"Porta Livros Vasinho Areia")</f>
        <v>Porta Livros Vasinho Areia</v>
      </c>
      <c r="D3944" s="186" t="str">
        <f>IFERROR(__xludf.DUMMYFUNCTION("""COMPUTED_VALUE"""),"FALSO")</f>
        <v>FALSO</v>
      </c>
    </row>
    <row r="3945">
      <c r="B3945" s="186" t="str">
        <f>IFERROR(__xludf.DUMMYFUNCTION("""COMPUTED_VALUE"""),"MI4055Y")</f>
        <v>MI4055Y</v>
      </c>
      <c r="C3945" s="186" t="str">
        <f>IFERROR(__xludf.DUMMYFUNCTION("""COMPUTED_VALUE"""),"Porta Livros Vasinho Petróleo")</f>
        <v>Porta Livros Vasinho Petróleo</v>
      </c>
      <c r="D3945" s="186" t="str">
        <f>IFERROR(__xludf.DUMMYFUNCTION("""COMPUTED_VALUE"""),"FALSO")</f>
        <v>FALSO</v>
      </c>
    </row>
    <row r="3946">
      <c r="B3946" s="186" t="str">
        <f>IFERROR(__xludf.DUMMYFUNCTION("""COMPUTED_VALUE"""),"MI4054Y")</f>
        <v>MI4054Y</v>
      </c>
      <c r="C3946" s="186" t="str">
        <f>IFERROR(__xludf.DUMMYFUNCTION("""COMPUTED_VALUE"""),"Porta Livros Vasinho Rose")</f>
        <v>Porta Livros Vasinho Rose</v>
      </c>
      <c r="D3946" s="186" t="str">
        <f>IFERROR(__xludf.DUMMYFUNCTION("""COMPUTED_VALUE"""),"FALSO")</f>
        <v>FALSO</v>
      </c>
    </row>
    <row r="3947">
      <c r="B3947" s="186" t="str">
        <f>IFERROR(__xludf.DUMMYFUNCTION("""COMPUTED_VALUE"""),"MI4053Y")</f>
        <v>MI4053Y</v>
      </c>
      <c r="C3947" s="186" t="str">
        <f>IFERROR(__xludf.DUMMYFUNCTION("""COMPUTED_VALUE"""),"Porta Livros Vasinho Terracota")</f>
        <v>Porta Livros Vasinho Terracota</v>
      </c>
      <c r="D3947" s="186" t="str">
        <f>IFERROR(__xludf.DUMMYFUNCTION("""COMPUTED_VALUE"""),"FALSO")</f>
        <v>FALSO</v>
      </c>
    </row>
    <row r="3948">
      <c r="B3948" s="186" t="str">
        <f>IFERROR(__xludf.DUMMYFUNCTION("""COMPUTED_VALUE"""),"MI4103Y")</f>
        <v>MI4103Y</v>
      </c>
      <c r="C3948" s="186" t="str">
        <f>IFERROR(__xludf.DUMMYFUNCTION("""COMPUTED_VALUE"""),"PRATELEIRA RATTAN COM PALHINHA")</f>
        <v>PRATELEIRA RATTAN COM PALHINHA</v>
      </c>
      <c r="D3948" s="186" t="str">
        <f>IFERROR(__xludf.DUMMYFUNCTION("""COMPUTED_VALUE"""),"FALSO")</f>
        <v>FALSO</v>
      </c>
    </row>
    <row r="3949">
      <c r="B3949" s="186" t="str">
        <f>IFERROR(__xludf.DUMMYFUNCTION("""COMPUTED_VALUE"""),"MI4105Y")</f>
        <v>MI4105Y</v>
      </c>
      <c r="C3949" s="186" t="str">
        <f>IFERROR(__xludf.DUMMYFUNCTION("""COMPUTED_VALUE"""),"PRATELEIRA RATTAN")</f>
        <v>PRATELEIRA RATTAN</v>
      </c>
      <c r="D3949" s="186" t="str">
        <f>IFERROR(__xludf.DUMMYFUNCTION("""COMPUTED_VALUE"""),"FALSO")</f>
        <v>FALSO</v>
      </c>
    </row>
    <row r="3950">
      <c r="B3950" s="186" t="str">
        <f>IFERROR(__xludf.DUMMYFUNCTION("""COMPUTED_VALUE"""),"MI4104Y")</f>
        <v>MI4104Y</v>
      </c>
      <c r="C3950" s="186" t="str">
        <f>IFERROR(__xludf.DUMMYFUNCTION("""COMPUTED_VALUE"""),"PRATELEIRA RATTAN PÉTALAS")</f>
        <v>PRATELEIRA RATTAN PÉTALAS</v>
      </c>
      <c r="D3950" s="186" t="str">
        <f>IFERROR(__xludf.DUMMYFUNCTION("""COMPUTED_VALUE"""),"FALSO")</f>
        <v>FALSO</v>
      </c>
    </row>
    <row r="3951">
      <c r="B3951" s="186" t="str">
        <f>IFERROR(__xludf.DUMMYFUNCTION("""COMPUTED_VALUE"""),"MI3846Y")</f>
        <v>MI3846Y</v>
      </c>
      <c r="C3951" s="186" t="str">
        <f>IFERROR(__xludf.DUMMYFUNCTION("""COMPUTED_VALUE"""),"PUFF CANELADO DE VELUDO PETRÓLEO")</f>
        <v>PUFF CANELADO DE VELUDO PETRÓLEO</v>
      </c>
      <c r="D3951" s="186" t="str">
        <f>IFERROR(__xludf.DUMMYFUNCTION("""COMPUTED_VALUE"""),"FALSO")</f>
        <v>FALSO</v>
      </c>
    </row>
    <row r="3952">
      <c r="B3952" s="186" t="str">
        <f>IFERROR(__xludf.DUMMYFUNCTION("""COMPUTED_VALUE"""),"MI3847Y")</f>
        <v>MI3847Y</v>
      </c>
      <c r="C3952" s="186" t="str">
        <f>IFERROR(__xludf.DUMMYFUNCTION("""COMPUTED_VALUE"""),"PUFF CANELADO DE VELUDO ROSE")</f>
        <v>PUFF CANELADO DE VELUDO ROSE</v>
      </c>
      <c r="D3952" s="186" t="str">
        <f>IFERROR(__xludf.DUMMYFUNCTION("""COMPUTED_VALUE"""),"FALSO")</f>
        <v>FALSO</v>
      </c>
    </row>
    <row r="3953">
      <c r="B3953" s="186" t="str">
        <f>IFERROR(__xludf.DUMMYFUNCTION("""COMPUTED_VALUE"""),"MI4036Y")</f>
        <v>MI4036Y</v>
      </c>
      <c r="C3953" s="186" t="str">
        <f>IFERROR(__xludf.DUMMYFUNCTION("""COMPUTED_VALUE"""),"Quadro com Textura Abstract")</f>
        <v>Quadro com Textura Abstract</v>
      </c>
      <c r="D3953" s="186" t="str">
        <f>IFERROR(__xludf.DUMMYFUNCTION("""COMPUTED_VALUE"""),"FALSO")</f>
        <v>FALSO</v>
      </c>
    </row>
    <row r="3954">
      <c r="B3954" s="186" t="str">
        <f>IFERROR(__xludf.DUMMYFUNCTION("""COMPUTED_VALUE"""),"MI4035Y")</f>
        <v>MI4035Y</v>
      </c>
      <c r="C3954" s="186" t="str">
        <f>IFERROR(__xludf.DUMMYFUNCTION("""COMPUTED_VALUE"""),"Quadro com Textura Arcos")</f>
        <v>Quadro com Textura Arcos</v>
      </c>
      <c r="D3954" s="186" t="str">
        <f>IFERROR(__xludf.DUMMYFUNCTION("""COMPUTED_VALUE"""),"FALSO")</f>
        <v>FALSO</v>
      </c>
    </row>
    <row r="3955">
      <c r="B3955" s="186" t="str">
        <f>IFERROR(__xludf.DUMMYFUNCTION("""COMPUTED_VALUE"""),"MI4034Y")</f>
        <v>MI4034Y</v>
      </c>
      <c r="C3955" s="186" t="str">
        <f>IFERROR(__xludf.DUMMYFUNCTION("""COMPUTED_VALUE"""),"Quadro com Textura Circles")</f>
        <v>Quadro com Textura Circles</v>
      </c>
      <c r="D3955" s="186" t="str">
        <f>IFERROR(__xludf.DUMMYFUNCTION("""COMPUTED_VALUE"""),"FALSO")</f>
        <v>FALSO</v>
      </c>
    </row>
    <row r="3956">
      <c r="B3956" s="186" t="str">
        <f>IFERROR(__xludf.DUMMYFUNCTION("""COMPUTED_VALUE"""),"MI4044Y")</f>
        <v>MI4044Y</v>
      </c>
      <c r="C3956" s="186" t="str">
        <f>IFERROR(__xludf.DUMMYFUNCTION("""COMPUTED_VALUE"""),"Regador de Vidro Petróleo com Alça Azul")</f>
        <v>Regador de Vidro Petróleo com Alça Azul</v>
      </c>
      <c r="D3956" s="186" t="str">
        <f>IFERROR(__xludf.DUMMYFUNCTION("""COMPUTED_VALUE"""),"FALSO")</f>
        <v>FALSO</v>
      </c>
    </row>
    <row r="3957">
      <c r="B3957" s="186" t="str">
        <f>IFERROR(__xludf.DUMMYFUNCTION("""COMPUTED_VALUE"""),"MI4045Y")</f>
        <v>MI4045Y</v>
      </c>
      <c r="C3957" s="186" t="str">
        <f>IFERROR(__xludf.DUMMYFUNCTION("""COMPUTED_VALUE"""),"Regador de Vidro Rosa com Alça Âmbar")</f>
        <v>Regador de Vidro Rosa com Alça Âmbar</v>
      </c>
      <c r="D3957" s="186" t="str">
        <f>IFERROR(__xludf.DUMMYFUNCTION("""COMPUTED_VALUE"""),"FALSO")</f>
        <v>FALSO</v>
      </c>
    </row>
    <row r="3958">
      <c r="B3958" s="186" t="str">
        <f>IFERROR(__xludf.DUMMYFUNCTION("""COMPUTED_VALUE"""),"MI4042Y")</f>
        <v>MI4042Y</v>
      </c>
      <c r="C3958" s="186" t="str">
        <f>IFERROR(__xludf.DUMMYFUNCTION("""COMPUTED_VALUE"""),"Regador de Vidro Transparente com Alça Petróleo")</f>
        <v>Regador de Vidro Transparente com Alça Petróleo</v>
      </c>
      <c r="D3958" s="186" t="str">
        <f>IFERROR(__xludf.DUMMYFUNCTION("""COMPUTED_VALUE"""),"FALSO")</f>
        <v>FALSO</v>
      </c>
    </row>
    <row r="3959">
      <c r="B3959" s="186" t="str">
        <f>IFERROR(__xludf.DUMMYFUNCTION("""COMPUTED_VALUE"""),"MI4043Y")</f>
        <v>MI4043Y</v>
      </c>
      <c r="C3959" s="186" t="str">
        <f>IFERROR(__xludf.DUMMYFUNCTION("""COMPUTED_VALUE"""),"Regador de Vidro Transparente com Alça Rosa")</f>
        <v>Regador de Vidro Transparente com Alça Rosa</v>
      </c>
      <c r="D3959" s="186" t="str">
        <f>IFERROR(__xludf.DUMMYFUNCTION("""COMPUTED_VALUE"""),"FALSO")</f>
        <v>FALSO</v>
      </c>
    </row>
    <row r="3960">
      <c r="B3960" s="186" t="str">
        <f>IFERROR(__xludf.DUMMYFUNCTION("""COMPUTED_VALUE"""),"MI3826Y")</f>
        <v>MI3826Y</v>
      </c>
      <c r="C3960" s="186" t="str">
        <f>IFERROR(__xludf.DUMMYFUNCTION("""COMPUTED_VALUE"""),"REGADOR DOURADO")</f>
        <v>REGADOR DOURADO</v>
      </c>
      <c r="D3960" s="186" t="str">
        <f>IFERROR(__xludf.DUMMYFUNCTION("""COMPUTED_VALUE"""),"FALSO")</f>
        <v>FALSO</v>
      </c>
    </row>
    <row r="3961">
      <c r="B3961" s="186" t="str">
        <f>IFERROR(__xludf.DUMMYFUNCTION("""COMPUTED_VALUE"""),"MI3827Y")</f>
        <v>MI3827Y</v>
      </c>
      <c r="C3961" s="186" t="str">
        <f>IFERROR(__xludf.DUMMYFUNCTION("""COMPUTED_VALUE"""),"REGADOR VERDE")</f>
        <v>REGADOR VERDE</v>
      </c>
      <c r="D3961" s="186" t="str">
        <f>IFERROR(__xludf.DUMMYFUNCTION("""COMPUTED_VALUE"""),"FALSO")</f>
        <v>FALSO</v>
      </c>
    </row>
    <row r="3962">
      <c r="B3962" s="186" t="str">
        <f>IFERROR(__xludf.DUMMYFUNCTION("""COMPUTED_VALUE"""),"MI3590Y")</f>
        <v>MI3590Y</v>
      </c>
      <c r="C3962" s="186" t="str">
        <f>IFERROR(__xludf.DUMMYFUNCTION("""COMPUTED_VALUE"""),"SAPATEIRA BAMBU")</f>
        <v>SAPATEIRA BAMBU</v>
      </c>
      <c r="D3962" s="186" t="str">
        <f>IFERROR(__xludf.DUMMYFUNCTION("""COMPUTED_VALUE"""),"FALSO")</f>
        <v>FALSO</v>
      </c>
    </row>
    <row r="3963">
      <c r="B3963" s="186" t="str">
        <f>IFERROR(__xludf.DUMMYFUNCTION("""COMPUTED_VALUE"""),"MI3589Y")</f>
        <v>MI3589Y</v>
      </c>
      <c r="C3963" s="186" t="str">
        <f>IFERROR(__xludf.DUMMYFUNCTION("""COMPUTED_VALUE"""),"SAPATEIRA BANCO BAMBU M")</f>
        <v>SAPATEIRA BANCO BAMBU M</v>
      </c>
      <c r="D3963" s="186" t="str">
        <f>IFERROR(__xludf.DUMMYFUNCTION("""COMPUTED_VALUE"""),"FALSO")</f>
        <v>FALSO</v>
      </c>
    </row>
    <row r="3964">
      <c r="B3964" s="186" t="str">
        <f>IFERROR(__xludf.DUMMYFUNCTION("""COMPUTED_VALUE"""),"MI3590Y")</f>
        <v>MI3590Y</v>
      </c>
      <c r="C3964" s="186" t="str">
        <f>IFERROR(__xludf.DUMMYFUNCTION("""COMPUTED_VALUE"""),"SAPATEIRA DE BAMBU")</f>
        <v>SAPATEIRA DE BAMBU</v>
      </c>
      <c r="D3964" s="186" t="str">
        <f>IFERROR(__xludf.DUMMYFUNCTION("""COMPUTED_VALUE"""),"FALSO")</f>
        <v>FALSO</v>
      </c>
    </row>
    <row r="3965">
      <c r="B3965" s="186" t="str">
        <f>IFERROR(__xludf.DUMMYFUNCTION("""COMPUTED_VALUE"""),"MI3858Y")</f>
        <v>MI3858Y</v>
      </c>
      <c r="C3965" s="186" t="str">
        <f>IFERROR(__xludf.DUMMYFUNCTION("""COMPUTED_VALUE"""),"VASO AUTOIRRIGÁVEL ALTO EM CERÂMICA ROSE")</f>
        <v>VASO AUTOIRRIGÁVEL ALTO EM CERÂMICA ROSE</v>
      </c>
      <c r="D3965" s="186" t="str">
        <f>IFERROR(__xludf.DUMMYFUNCTION("""COMPUTED_VALUE"""),"FALSO")</f>
        <v>FALSO</v>
      </c>
    </row>
    <row r="3966">
      <c r="B3966" s="186" t="str">
        <f>IFERROR(__xludf.DUMMYFUNCTION("""COMPUTED_VALUE"""),"MI3855Y")</f>
        <v>MI3855Y</v>
      </c>
      <c r="C3966" s="186" t="str">
        <f>IFERROR(__xludf.DUMMYFUNCTION("""COMPUTED_VALUE"""),"VASO AUTOIRRIGÁVEL EM CERÂMICA TERRACOTA")</f>
        <v>VASO AUTOIRRIGÁVEL EM CERÂMICA TERRACOTA</v>
      </c>
      <c r="D3966" s="186" t="str">
        <f>IFERROR(__xludf.DUMMYFUNCTION("""COMPUTED_VALUE"""),"FALSO")</f>
        <v>FALSO</v>
      </c>
    </row>
    <row r="3967">
      <c r="B3967" s="186" t="str">
        <f>IFERROR(__xludf.DUMMYFUNCTION("""COMPUTED_VALUE"""),"MI3856Y")</f>
        <v>MI3856Y</v>
      </c>
      <c r="C3967" s="186" t="str">
        <f>IFERROR(__xludf.DUMMYFUNCTION("""COMPUTED_VALUE"""),"VASO AUTOIRRIGÁVEL EM CERÂMICA VERDE")</f>
        <v>VASO AUTOIRRIGÁVEL EM CERÂMICA VERDE</v>
      </c>
      <c r="D3967" s="186" t="str">
        <f>IFERROR(__xludf.DUMMYFUNCTION("""COMPUTED_VALUE"""),"FALSO")</f>
        <v>FALSO</v>
      </c>
    </row>
    <row r="3968">
      <c r="B3968" s="186" t="str">
        <f>IFERROR(__xludf.DUMMYFUNCTION("""COMPUTED_VALUE"""),"MI3857Y")</f>
        <v>MI3857Y</v>
      </c>
      <c r="C3968" s="186" t="str">
        <f>IFERROR(__xludf.DUMMYFUNCTION("""COMPUTED_VALUE"""),"VASO AUTOIRRIGÁVEL ALTO EM CERÂMICA AZUL")</f>
        <v>VASO AUTOIRRIGÁVEL ALTO EM CERÂMICA AZUL</v>
      </c>
      <c r="D3968" s="186" t="str">
        <f>IFERROR(__xludf.DUMMYFUNCTION("""COMPUTED_VALUE"""),"FALSO")</f>
        <v>FALSO</v>
      </c>
    </row>
    <row r="3969">
      <c r="B3969" s="186" t="str">
        <f>IFERROR(__xludf.DUMMYFUNCTION("""COMPUTED_VALUE"""),"MI3852Y")</f>
        <v>MI3852Y</v>
      </c>
      <c r="C3969" s="186" t="str">
        <f>IFERROR(__xludf.DUMMYFUNCTION("""COMPUTED_VALUE"""),"MESA COM ALÇA CINZA")</f>
        <v>MESA COM ALÇA CINZA</v>
      </c>
      <c r="D3969" s="186" t="str">
        <f>IFERROR(__xludf.DUMMYFUNCTION("""COMPUTED_VALUE"""),"FALSO")</f>
        <v>FALSO</v>
      </c>
    </row>
    <row r="3970">
      <c r="B3970" s="186" t="str">
        <f>IFERROR(__xludf.DUMMYFUNCTION("""COMPUTED_VALUE"""),"MI3853Y")</f>
        <v>MI3853Y</v>
      </c>
      <c r="C3970" s="186" t="str">
        <f>IFERROR(__xludf.DUMMYFUNCTION("""COMPUTED_VALUE"""),"MESA COM ALÇA AZUL CLARO")</f>
        <v>MESA COM ALÇA AZUL CLARO</v>
      </c>
      <c r="D3970" s="186" t="str">
        <f>IFERROR(__xludf.DUMMYFUNCTION("""COMPUTED_VALUE"""),"FALSO")</f>
        <v>FALSO</v>
      </c>
    </row>
    <row r="3971">
      <c r="B3971" s="186" t="str">
        <f>IFERROR(__xludf.DUMMYFUNCTION("""COMPUTED_VALUE"""),"MI3933Y")</f>
        <v>MI3933Y</v>
      </c>
      <c r="C3971" s="186" t="str">
        <f>IFERROR(__xludf.DUMMYFUNCTION("""COMPUTED_VALUE"""),"LUMINÁRIA ABAJUR DE PALHA")</f>
        <v>LUMINÁRIA ABAJUR DE PALHA</v>
      </c>
      <c r="D3971" s="186" t="str">
        <f>IFERROR(__xludf.DUMMYFUNCTION("""COMPUTED_VALUE"""),"FALSO")</f>
        <v>FALSO</v>
      </c>
    </row>
    <row r="3972">
      <c r="B3972" s="186" t="str">
        <f>IFERROR(__xludf.DUMMYFUNCTION("""COMPUTED_VALUE"""),"MI3919Y")</f>
        <v>MI3919Y</v>
      </c>
      <c r="C3972" s="186" t="str">
        <f>IFERROR(__xludf.DUMMYFUNCTION("""COMPUTED_VALUE"""),"TAPETE BOHO ROSE 140 x 70 cm")</f>
        <v>TAPETE BOHO ROSE 140 x 70 cm</v>
      </c>
      <c r="D3972" s="186" t="str">
        <f>IFERROR(__xludf.DUMMYFUNCTION("""COMPUTED_VALUE"""),"FALSO")</f>
        <v>FALSO</v>
      </c>
    </row>
    <row r="3973">
      <c r="B3973" s="186" t="str">
        <f>IFERROR(__xludf.DUMMYFUNCTION("""COMPUTED_VALUE"""),"MI3970Y")</f>
        <v>MI3970Y</v>
      </c>
      <c r="C3973" s="186" t="str">
        <f>IFERROR(__xludf.DUMMYFUNCTION("""COMPUTED_VALUE"""),"TAPETE DE BANHEIRO SOL 50x70cm")</f>
        <v>TAPETE DE BANHEIRO SOL 50x70cm</v>
      </c>
      <c r="D3973" s="186" t="str">
        <f>IFERROR(__xludf.DUMMYFUNCTION("""COMPUTED_VALUE"""),"FALSO")</f>
        <v>FALSO</v>
      </c>
    </row>
    <row r="3974">
      <c r="B3974" s="186" t="str">
        <f>IFERROR(__xludf.DUMMYFUNCTION("""COMPUTED_VALUE"""),"MI3884Y")</f>
        <v>MI3884Y</v>
      </c>
      <c r="C3974" s="186" t="str">
        <f>IFERROR(__xludf.DUMMYFUNCTION("""COMPUTED_VALUE"""),"TAPETE DE PAREDE SUNSET")</f>
        <v>TAPETE DE PAREDE SUNSET</v>
      </c>
      <c r="D3974" s="186" t="str">
        <f>IFERROR(__xludf.DUMMYFUNCTION("""COMPUTED_VALUE"""),"FALSO")</f>
        <v>FALSO</v>
      </c>
    </row>
    <row r="3975">
      <c r="B3975" s="186" t="str">
        <f>IFERROR(__xludf.DUMMYFUNCTION("""COMPUTED_VALUE"""),"MI3918Y")</f>
        <v>MI3918Y</v>
      </c>
      <c r="C3975" s="186" t="str">
        <f>IFERROR(__xludf.DUMMYFUNCTION("""COMPUTED_VALUE"""),"TAPETE PARA SALA LISTRAS 150 x 200 CM")</f>
        <v>TAPETE PARA SALA LISTRAS 150 x 200 CM</v>
      </c>
      <c r="D3975" s="186" t="str">
        <f>IFERROR(__xludf.DUMMYFUNCTION("""COMPUTED_VALUE"""),"FALSO")</f>
        <v>FALSO</v>
      </c>
    </row>
    <row r="3976">
      <c r="B3976" s="186" t="str">
        <f>IFERROR(__xludf.DUMMYFUNCTION("""COMPUTED_VALUE"""),"MI3877Y")</f>
        <v>MI3877Y</v>
      </c>
      <c r="C3976" s="186" t="str">
        <f>IFERROR(__xludf.DUMMYFUNCTION("""COMPUTED_VALUE"""),"TAPETE PARA SALA CIRCULOS 200x250cm")</f>
        <v>TAPETE PARA SALA CIRCULOS 200x250cm</v>
      </c>
      <c r="D3976" s="186" t="str">
        <f>IFERROR(__xludf.DUMMYFUNCTION("""COMPUTED_VALUE"""),"FALSO")</f>
        <v>FALSO</v>
      </c>
    </row>
    <row r="3977">
      <c r="B3977" s="186" t="str">
        <f>IFERROR(__xludf.DUMMYFUNCTION("""COMPUTED_VALUE"""),"MI3878Y")</f>
        <v>MI3878Y</v>
      </c>
      <c r="C3977" s="186" t="str">
        <f>IFERROR(__xludf.DUMMYFUNCTION("""COMPUTED_VALUE"""),"TAPETE PARA SALA FLORES 150X200cm")</f>
        <v>TAPETE PARA SALA FLORES 150X200cm</v>
      </c>
      <c r="D3977" s="186" t="str">
        <f>IFERROR(__xludf.DUMMYFUNCTION("""COMPUTED_VALUE"""),"FALSO")</f>
        <v>FALSO</v>
      </c>
    </row>
    <row r="3978">
      <c r="B3978" s="186" t="str">
        <f>IFERROR(__xludf.DUMMYFUNCTION("""COMPUTED_VALUE"""),"MI3879Y")</f>
        <v>MI3879Y</v>
      </c>
      <c r="C3978" s="186" t="str">
        <f>IFERROR(__xludf.DUMMYFUNCTION("""COMPUTED_VALUE"""),"TAPETE PARA SALA SUNSET 150X220cm")</f>
        <v>TAPETE PARA SALA SUNSET 150X220cm</v>
      </c>
      <c r="D3978" s="186" t="str">
        <f>IFERROR(__xludf.DUMMYFUNCTION("""COMPUTED_VALUE"""),"FALSO")</f>
        <v>FALSO</v>
      </c>
    </row>
    <row r="3979">
      <c r="B3979" s="186" t="str">
        <f>IFERROR(__xludf.DUMMYFUNCTION("""COMPUTED_VALUE"""),"MI4046Y")</f>
        <v>MI4046Y</v>
      </c>
      <c r="C3979" s="186" t="str">
        <f>IFERROR(__xludf.DUMMYFUNCTION("""COMPUTED_VALUE"""),"Vaso Arcos Amarelo")</f>
        <v>Vaso Arcos Amarelo</v>
      </c>
      <c r="D3979" s="186" t="str">
        <f>IFERROR(__xludf.DUMMYFUNCTION("""COMPUTED_VALUE"""),"FALSO")</f>
        <v>FALSO</v>
      </c>
    </row>
    <row r="3980">
      <c r="B3980" s="186" t="str">
        <f>IFERROR(__xludf.DUMMYFUNCTION("""COMPUTED_VALUE"""),"MI4072Y")</f>
        <v>MI4072Y</v>
      </c>
      <c r="C3980" s="186" t="str">
        <f>IFERROR(__xludf.DUMMYFUNCTION("""COMPUTED_VALUE"""),"Vaso Arcos Amarelo G")</f>
        <v>Vaso Arcos Amarelo G</v>
      </c>
      <c r="D3980" s="186" t="str">
        <f>IFERROR(__xludf.DUMMYFUNCTION("""COMPUTED_VALUE"""),"FALSO")</f>
        <v>FALSO</v>
      </c>
    </row>
    <row r="3981">
      <c r="B3981" s="186" t="str">
        <f>IFERROR(__xludf.DUMMYFUNCTION("""COMPUTED_VALUE"""),"MI4074Y")</f>
        <v>MI4074Y</v>
      </c>
      <c r="C3981" s="186" t="str">
        <f>IFERROR(__xludf.DUMMYFUNCTION("""COMPUTED_VALUE"""),"Vaso Arcos Amarelo P")</f>
        <v>Vaso Arcos Amarelo P</v>
      </c>
      <c r="D3981" s="186" t="str">
        <f>IFERROR(__xludf.DUMMYFUNCTION("""COMPUTED_VALUE"""),"FALSO")</f>
        <v>FALSO</v>
      </c>
    </row>
    <row r="3982">
      <c r="B3982" s="186" t="str">
        <f>IFERROR(__xludf.DUMMYFUNCTION("""COMPUTED_VALUE"""),"MI4071Y")</f>
        <v>MI4071Y</v>
      </c>
      <c r="C3982" s="186" t="str">
        <f>IFERROR(__xludf.DUMMYFUNCTION("""COMPUTED_VALUE"""),"Vaso Arcos Off White G")</f>
        <v>Vaso Arcos Off White G</v>
      </c>
      <c r="D3982" s="186" t="str">
        <f>IFERROR(__xludf.DUMMYFUNCTION("""COMPUTED_VALUE"""),"FALSO")</f>
        <v>FALSO</v>
      </c>
    </row>
    <row r="3983">
      <c r="B3983" s="186" t="str">
        <f>IFERROR(__xludf.DUMMYFUNCTION("""COMPUTED_VALUE"""),"MI4073Y")</f>
        <v>MI4073Y</v>
      </c>
      <c r="C3983" s="186" t="str">
        <f>IFERROR(__xludf.DUMMYFUNCTION("""COMPUTED_VALUE"""),"Vaso Arcos Off White P")</f>
        <v>Vaso Arcos Off White P</v>
      </c>
      <c r="D3983" s="186" t="str">
        <f>IFERROR(__xludf.DUMMYFUNCTION("""COMPUTED_VALUE"""),"FALSO")</f>
        <v>FALSO</v>
      </c>
    </row>
    <row r="3984">
      <c r="B3984" s="186" t="str">
        <f>IFERROR(__xludf.DUMMYFUNCTION("""COMPUTED_VALUE"""),"MI3857Y")</f>
        <v>MI3857Y</v>
      </c>
      <c r="C3984" s="186" t="str">
        <f>IFERROR(__xludf.DUMMYFUNCTION("""COMPUTED_VALUE"""),"VASO AUTOIRRIGÁVEL ALTO EM CERÂMICA AZUL")</f>
        <v>VASO AUTOIRRIGÁVEL ALTO EM CERÂMICA AZUL</v>
      </c>
      <c r="D3984" s="186" t="str">
        <f>IFERROR(__xludf.DUMMYFUNCTION("""COMPUTED_VALUE"""),"FALSO")</f>
        <v>FALSO</v>
      </c>
    </row>
    <row r="3985">
      <c r="B3985" s="186" t="str">
        <f>IFERROR(__xludf.DUMMYFUNCTION("""COMPUTED_VALUE"""),"MI3858Y")</f>
        <v>MI3858Y</v>
      </c>
      <c r="C3985" s="186" t="str">
        <f>IFERROR(__xludf.DUMMYFUNCTION("""COMPUTED_VALUE"""),"VASO AUTOIRRIGÁVEL ALTO EM CERÂMICA ROSE")</f>
        <v>VASO AUTOIRRIGÁVEL ALTO EM CERÂMICA ROSE</v>
      </c>
      <c r="D3985" s="186" t="str">
        <f>IFERROR(__xludf.DUMMYFUNCTION("""COMPUTED_VALUE"""),"FALSO")</f>
        <v>FALSO</v>
      </c>
    </row>
    <row r="3986">
      <c r="B3986" s="186" t="str">
        <f>IFERROR(__xludf.DUMMYFUNCTION("""COMPUTED_VALUE"""),"MI3855Y")</f>
        <v>MI3855Y</v>
      </c>
      <c r="C3986" s="186" t="str">
        <f>IFERROR(__xludf.DUMMYFUNCTION("""COMPUTED_VALUE"""),"VASO AUTOIRRIGÁVEL EM CERÂMICA TERRACOTA")</f>
        <v>VASO AUTOIRRIGÁVEL EM CERÂMICA TERRACOTA</v>
      </c>
      <c r="D3986" s="186" t="str">
        <f>IFERROR(__xludf.DUMMYFUNCTION("""COMPUTED_VALUE"""),"FALSO")</f>
        <v>FALSO</v>
      </c>
    </row>
    <row r="3987">
      <c r="B3987" s="186" t="str">
        <f>IFERROR(__xludf.DUMMYFUNCTION("""COMPUTED_VALUE"""),"MI3856Y")</f>
        <v>MI3856Y</v>
      </c>
      <c r="C3987" s="186" t="str">
        <f>IFERROR(__xludf.DUMMYFUNCTION("""COMPUTED_VALUE"""),"VASO AUTOIRRIGÁVEL EM CERÂMICA VERDE")</f>
        <v>VASO AUTOIRRIGÁVEL EM CERÂMICA VERDE</v>
      </c>
      <c r="D3987" s="186" t="str">
        <f>IFERROR(__xludf.DUMMYFUNCTION("""COMPUTED_VALUE"""),"FALSO")</f>
        <v>FALSO</v>
      </c>
    </row>
    <row r="3988">
      <c r="B3988" s="186" t="str">
        <f>IFERROR(__xludf.DUMMYFUNCTION("""COMPUTED_VALUE"""),"MI3324Y")</f>
        <v>MI3324Y</v>
      </c>
      <c r="C3988" s="186" t="str">
        <f>IFERROR(__xludf.DUMMYFUNCTION("""COMPUTED_VALUE"""),"VASO BUSTO BRANCO")</f>
        <v>VASO BUSTO BRANCO</v>
      </c>
      <c r="D3988" s="186" t="str">
        <f>IFERROR(__xludf.DUMMYFUNCTION("""COMPUTED_VALUE"""),"FALSO")</f>
        <v>FALSO</v>
      </c>
    </row>
    <row r="3989">
      <c r="B3989" s="186" t="str">
        <f>IFERROR(__xludf.DUMMYFUNCTION("""COMPUTED_VALUE"""),"MI3325Y")</f>
        <v>MI3325Y</v>
      </c>
      <c r="C3989" s="186" t="str">
        <f>IFERROR(__xludf.DUMMYFUNCTION("""COMPUTED_VALUE"""),"VASO BUSTO MORENO")</f>
        <v>VASO BUSTO MORENO</v>
      </c>
      <c r="D3989" s="186" t="str">
        <f>IFERROR(__xludf.DUMMYFUNCTION("""COMPUTED_VALUE"""),"FALSO")</f>
        <v>FALSO</v>
      </c>
    </row>
    <row r="3990">
      <c r="B3990" s="186" t="str">
        <f>IFERROR(__xludf.DUMMYFUNCTION("""COMPUTED_VALUE"""),"MI3326Y")</f>
        <v>MI3326Y</v>
      </c>
      <c r="C3990" s="186" t="str">
        <f>IFERROR(__xludf.DUMMYFUNCTION("""COMPUTED_VALUE"""),"VASO BUSTO PRETO")</f>
        <v>VASO BUSTO PRETO</v>
      </c>
      <c r="D3990" s="186" t="str">
        <f>IFERROR(__xludf.DUMMYFUNCTION("""COMPUTED_VALUE"""),"FALSO")</f>
        <v>FALSO</v>
      </c>
    </row>
    <row r="3991">
      <c r="B3991" s="186" t="str">
        <f>IFERROR(__xludf.DUMMYFUNCTION("""COMPUTED_VALUE"""),"MI4041Y")</f>
        <v>MI4041Y</v>
      </c>
      <c r="C3991" s="186" t="str">
        <f>IFERROR(__xludf.DUMMYFUNCTION("""COMPUTED_VALUE"""),"Vaso Concha Azul")</f>
        <v>Vaso Concha Azul</v>
      </c>
      <c r="D3991" s="186" t="str">
        <f>IFERROR(__xludf.DUMMYFUNCTION("""COMPUTED_VALUE"""),"FALSO")</f>
        <v>FALSO</v>
      </c>
    </row>
    <row r="3992">
      <c r="B3992" s="186" t="str">
        <f>IFERROR(__xludf.DUMMYFUNCTION("""COMPUTED_VALUE"""),"MI4040Y")</f>
        <v>MI4040Y</v>
      </c>
      <c r="C3992" s="186" t="str">
        <f>IFERROR(__xludf.DUMMYFUNCTION("""COMPUTED_VALUE"""),"Vaso Concha Transparente")</f>
        <v>Vaso Concha Transparente</v>
      </c>
      <c r="D3992" s="186" t="str">
        <f>IFERROR(__xludf.DUMMYFUNCTION("""COMPUTED_VALUE"""),"FALSO")</f>
        <v>FALSO</v>
      </c>
    </row>
    <row r="3993">
      <c r="B3993" s="186" t="str">
        <f>IFERROR(__xludf.DUMMYFUNCTION("""COMPUTED_VALUE"""),"MI4038Y")</f>
        <v>MI4038Y</v>
      </c>
      <c r="C3993" s="186" t="str">
        <f>IFERROR(__xludf.DUMMYFUNCTION("""COMPUTED_VALUE"""),"Vaso de Vidro Corpo Âmbar")</f>
        <v>Vaso de Vidro Corpo Âmbar</v>
      </c>
      <c r="D3993" s="186" t="str">
        <f>IFERROR(__xludf.DUMMYFUNCTION("""COMPUTED_VALUE"""),"FALSO")</f>
        <v>FALSO</v>
      </c>
    </row>
    <row r="3994">
      <c r="B3994" s="186" t="str">
        <f>IFERROR(__xludf.DUMMYFUNCTION("""COMPUTED_VALUE"""),"MI4039Y")</f>
        <v>MI4039Y</v>
      </c>
      <c r="C3994" s="186" t="str">
        <f>IFERROR(__xludf.DUMMYFUNCTION("""COMPUTED_VALUE"""),"Vaso de Vidro Corpo Ferrugem")</f>
        <v>Vaso de Vidro Corpo Ferrugem</v>
      </c>
      <c r="D3994" s="186" t="str">
        <f>IFERROR(__xludf.DUMMYFUNCTION("""COMPUTED_VALUE"""),"FALSO")</f>
        <v>FALSO</v>
      </c>
    </row>
    <row r="3995">
      <c r="B3995" s="186" t="str">
        <f>IFERROR(__xludf.DUMMYFUNCTION("""COMPUTED_VALUE"""),"MI4037Y")</f>
        <v>MI4037Y</v>
      </c>
      <c r="C3995" s="186" t="str">
        <f>IFERROR(__xludf.DUMMYFUNCTION("""COMPUTED_VALUE"""),"Vaso de Vidro Corpo Transparente")</f>
        <v>Vaso de Vidro Corpo Transparente</v>
      </c>
      <c r="D3995" s="186" t="str">
        <f>IFERROR(__xludf.DUMMYFUNCTION("""COMPUTED_VALUE"""),"FALSO")</f>
        <v>FALSO</v>
      </c>
    </row>
    <row r="3996">
      <c r="B3996" s="186" t="str">
        <f>IFERROR(__xludf.DUMMYFUNCTION("""COMPUTED_VALUE"""),"MI4093Y")</f>
        <v>MI4093Y</v>
      </c>
      <c r="C3996" s="186" t="str">
        <f>IFERROR(__xludf.DUMMYFUNCTION("""COMPUTED_VALUE"""),"Vaso Fosco Lilás M")</f>
        <v>Vaso Fosco Lilás M</v>
      </c>
      <c r="D3996" s="186" t="str">
        <f>IFERROR(__xludf.DUMMYFUNCTION("""COMPUTED_VALUE"""),"FALSO")</f>
        <v>FALSO</v>
      </c>
    </row>
    <row r="3997">
      <c r="B3997" s="186" t="str">
        <f>IFERROR(__xludf.DUMMYFUNCTION("""COMPUTED_VALUE"""),"MI4096Y")</f>
        <v>MI4096Y</v>
      </c>
      <c r="C3997" s="186" t="str">
        <f>IFERROR(__xludf.DUMMYFUNCTION("""COMPUTED_VALUE"""),"Vaso Fosco Lilás P")</f>
        <v>Vaso Fosco Lilás P</v>
      </c>
      <c r="D3997" s="186" t="str">
        <f>IFERROR(__xludf.DUMMYFUNCTION("""COMPUTED_VALUE"""),"FALSO")</f>
        <v>FALSO</v>
      </c>
    </row>
    <row r="3998">
      <c r="B3998" s="186" t="str">
        <f>IFERROR(__xludf.DUMMYFUNCTION("""COMPUTED_VALUE"""),"MI4091Y")</f>
        <v>MI4091Y</v>
      </c>
      <c r="C3998" s="186" t="str">
        <f>IFERROR(__xludf.DUMMYFUNCTION("""COMPUTED_VALUE"""),"Vaso Fosco Terracota M")</f>
        <v>Vaso Fosco Terracota M</v>
      </c>
      <c r="D3998" s="186" t="str">
        <f>IFERROR(__xludf.DUMMYFUNCTION("""COMPUTED_VALUE"""),"FALSO")</f>
        <v>FALSO</v>
      </c>
    </row>
    <row r="3999">
      <c r="B3999" s="186" t="str">
        <f>IFERROR(__xludf.DUMMYFUNCTION("""COMPUTED_VALUE"""),"MI4094Y")</f>
        <v>MI4094Y</v>
      </c>
      <c r="C3999" s="186" t="str">
        <f>IFERROR(__xludf.DUMMYFUNCTION("""COMPUTED_VALUE"""),"Vaso Fosco Terracota P")</f>
        <v>Vaso Fosco Terracota P</v>
      </c>
      <c r="D3999" s="186" t="str">
        <f>IFERROR(__xludf.DUMMYFUNCTION("""COMPUTED_VALUE"""),"FALSO")</f>
        <v>FALSO</v>
      </c>
    </row>
    <row r="4000">
      <c r="B4000" s="186" t="str">
        <f>IFERROR(__xludf.DUMMYFUNCTION("""COMPUTED_VALUE"""),"MI4092Y")</f>
        <v>MI4092Y</v>
      </c>
      <c r="C4000" s="186" t="str">
        <f>IFERROR(__xludf.DUMMYFUNCTION("""COMPUTED_VALUE"""),"Vaso Fosco Verde M")</f>
        <v>Vaso Fosco Verde M</v>
      </c>
      <c r="D4000" s="186" t="str">
        <f>IFERROR(__xludf.DUMMYFUNCTION("""COMPUTED_VALUE"""),"FALSO")</f>
        <v>FALSO</v>
      </c>
    </row>
    <row r="4001">
      <c r="B4001" s="186" t="str">
        <f>IFERROR(__xludf.DUMMYFUNCTION("""COMPUTED_VALUE"""),"MI4095Y")</f>
        <v>MI4095Y</v>
      </c>
      <c r="C4001" s="186" t="str">
        <f>IFERROR(__xludf.DUMMYFUNCTION("""COMPUTED_VALUE"""),"Vaso Fosco Verde P")</f>
        <v>Vaso Fosco Verde P</v>
      </c>
      <c r="D4001" s="186" t="str">
        <f>IFERROR(__xludf.DUMMYFUNCTION("""COMPUTED_VALUE"""),"FALSO")</f>
        <v>FALSO</v>
      </c>
    </row>
    <row r="4002">
      <c r="B4002" s="186" t="str">
        <f>IFERROR(__xludf.DUMMYFUNCTION("""COMPUTED_VALUE"""),"MI4075Y")</f>
        <v>MI4075Y</v>
      </c>
      <c r="C4002" s="186" t="str">
        <f>IFERROR(__xludf.DUMMYFUNCTION("""COMPUTED_VALUE"""),"Vaso Glaze Amarelo M")</f>
        <v>Vaso Glaze Amarelo M</v>
      </c>
      <c r="D4002" s="186" t="str">
        <f>IFERROR(__xludf.DUMMYFUNCTION("""COMPUTED_VALUE"""),"FALSO")</f>
        <v>FALSO</v>
      </c>
    </row>
    <row r="4003">
      <c r="B4003" s="186" t="str">
        <f>IFERROR(__xludf.DUMMYFUNCTION("""COMPUTED_VALUE"""),"MI4078Y")</f>
        <v>MI4078Y</v>
      </c>
      <c r="C4003" s="186" t="str">
        <f>IFERROR(__xludf.DUMMYFUNCTION("""COMPUTED_VALUE"""),"Vaso Glaze Amarelo P")</f>
        <v>Vaso Glaze Amarelo P</v>
      </c>
      <c r="D4003" s="186" t="str">
        <f>IFERROR(__xludf.DUMMYFUNCTION("""COMPUTED_VALUE"""),"FALSO")</f>
        <v>FALSO</v>
      </c>
    </row>
    <row r="4004">
      <c r="B4004" s="186" t="str">
        <f>IFERROR(__xludf.DUMMYFUNCTION("""COMPUTED_VALUE"""),"MI4077Y")</f>
        <v>MI4077Y</v>
      </c>
      <c r="C4004" s="186" t="str">
        <f>IFERROR(__xludf.DUMMYFUNCTION("""COMPUTED_VALUE"""),"Vaso Glaze Azul M")</f>
        <v>Vaso Glaze Azul M</v>
      </c>
      <c r="D4004" s="186" t="str">
        <f>IFERROR(__xludf.DUMMYFUNCTION("""COMPUTED_VALUE"""),"FALSO")</f>
        <v>FALSO</v>
      </c>
    </row>
    <row r="4005">
      <c r="B4005" s="186" t="str">
        <f>IFERROR(__xludf.DUMMYFUNCTION("""COMPUTED_VALUE"""),"MI4080Y")</f>
        <v>MI4080Y</v>
      </c>
      <c r="C4005" s="186" t="str">
        <f>IFERROR(__xludf.DUMMYFUNCTION("""COMPUTED_VALUE"""),"Vaso Glaze Azul P")</f>
        <v>Vaso Glaze Azul P</v>
      </c>
      <c r="D4005" s="186" t="str">
        <f>IFERROR(__xludf.DUMMYFUNCTION("""COMPUTED_VALUE"""),"FALSO")</f>
        <v>FALSO</v>
      </c>
    </row>
    <row r="4006">
      <c r="B4006" s="186" t="str">
        <f>IFERROR(__xludf.DUMMYFUNCTION("""COMPUTED_VALUE"""),"MI4076Y")</f>
        <v>MI4076Y</v>
      </c>
      <c r="C4006" s="186" t="str">
        <f>IFERROR(__xludf.DUMMYFUNCTION("""COMPUTED_VALUE"""),"Vaso Glaze Verde M")</f>
        <v>Vaso Glaze Verde M</v>
      </c>
      <c r="D4006" s="186" t="str">
        <f>IFERROR(__xludf.DUMMYFUNCTION("""COMPUTED_VALUE"""),"FALSO")</f>
        <v>FALSO</v>
      </c>
    </row>
    <row r="4007">
      <c r="B4007" s="186" t="str">
        <f>IFERROR(__xludf.DUMMYFUNCTION("""COMPUTED_VALUE"""),"MI4079Y")</f>
        <v>MI4079Y</v>
      </c>
      <c r="C4007" s="186" t="str">
        <f>IFERROR(__xludf.DUMMYFUNCTION("""COMPUTED_VALUE"""),"Vaso Glaze Verde P")</f>
        <v>Vaso Glaze Verde P</v>
      </c>
      <c r="D4007" s="186" t="str">
        <f>IFERROR(__xludf.DUMMYFUNCTION("""COMPUTED_VALUE"""),"FALSO")</f>
        <v>FALSO</v>
      </c>
    </row>
    <row r="4008">
      <c r="B4008" s="186" t="str">
        <f>IFERROR(__xludf.DUMMYFUNCTION("""COMPUTED_VALUE"""),"MI4081Y")</f>
        <v>MI4081Y</v>
      </c>
      <c r="C4008" s="186" t="str">
        <f>IFERROR(__xludf.DUMMYFUNCTION("""COMPUTED_VALUE"""),"Vaso Grid P Branco")</f>
        <v>Vaso Grid P Branco</v>
      </c>
      <c r="D4008" s="186" t="str">
        <f>IFERROR(__xludf.DUMMYFUNCTION("""COMPUTED_VALUE"""),"FALSO")</f>
        <v>FALSO</v>
      </c>
    </row>
    <row r="4009">
      <c r="B4009" s="186" t="str">
        <f>IFERROR(__xludf.DUMMYFUNCTION("""COMPUTED_VALUE"""),"MI4084Y")</f>
        <v>MI4084Y</v>
      </c>
      <c r="C4009" s="186" t="str">
        <f>IFERROR(__xludf.DUMMYFUNCTION("""COMPUTED_VALUE"""),"Vaso Grid Petróleo M")</f>
        <v>Vaso Grid Petróleo M</v>
      </c>
      <c r="D4009" s="186" t="str">
        <f>IFERROR(__xludf.DUMMYFUNCTION("""COMPUTED_VALUE"""),"FALSO")</f>
        <v>FALSO</v>
      </c>
    </row>
    <row r="4010">
      <c r="B4010" s="186" t="str">
        <f>IFERROR(__xludf.DUMMYFUNCTION("""COMPUTED_VALUE"""),"MI4083Y")</f>
        <v>MI4083Y</v>
      </c>
      <c r="C4010" s="186" t="str">
        <f>IFERROR(__xludf.DUMMYFUNCTION("""COMPUTED_VALUE"""),"Vaso Grid Preto M")</f>
        <v>Vaso Grid Preto M</v>
      </c>
      <c r="D4010" s="186" t="str">
        <f>IFERROR(__xludf.DUMMYFUNCTION("""COMPUTED_VALUE"""),"FALSO")</f>
        <v>FALSO</v>
      </c>
    </row>
    <row r="4011">
      <c r="B4011" s="186" t="str">
        <f>IFERROR(__xludf.DUMMYFUNCTION("""COMPUTED_VALUE"""),"MI4082Y")</f>
        <v>MI4082Y</v>
      </c>
      <c r="C4011" s="186" t="str">
        <f>IFERROR(__xludf.DUMMYFUNCTION("""COMPUTED_VALUE"""),"Vaso Grid P Terracota")</f>
        <v>Vaso Grid P Terracota</v>
      </c>
      <c r="D4011" s="186" t="str">
        <f>IFERROR(__xludf.DUMMYFUNCTION("""COMPUTED_VALUE"""),"FALSO")</f>
        <v>FALSO</v>
      </c>
    </row>
    <row r="4012">
      <c r="B4012" s="186" t="str">
        <f>IFERROR(__xludf.DUMMYFUNCTION("""COMPUTED_VALUE"""),"MI4087Y")</f>
        <v>MI4087Y</v>
      </c>
      <c r="C4012" s="186" t="str">
        <f>IFERROR(__xludf.DUMMYFUNCTION("""COMPUTED_VALUE"""),"Vaso Ladrilho Amarelo M")</f>
        <v>Vaso Ladrilho Amarelo M</v>
      </c>
      <c r="D4012" s="186" t="str">
        <f>IFERROR(__xludf.DUMMYFUNCTION("""COMPUTED_VALUE"""),"FALSO")</f>
        <v>FALSO</v>
      </c>
    </row>
    <row r="4013">
      <c r="B4013" s="186" t="str">
        <f>IFERROR(__xludf.DUMMYFUNCTION("""COMPUTED_VALUE"""),"MI4090Y")</f>
        <v>MI4090Y</v>
      </c>
      <c r="C4013" s="186" t="str">
        <f>IFERROR(__xludf.DUMMYFUNCTION("""COMPUTED_VALUE"""),"Vaso Ladrilho Amarelo P")</f>
        <v>Vaso Ladrilho Amarelo P</v>
      </c>
      <c r="D4013" s="186" t="str">
        <f>IFERROR(__xludf.DUMMYFUNCTION("""COMPUTED_VALUE"""),"FALSO")</f>
        <v>FALSO</v>
      </c>
    </row>
    <row r="4014">
      <c r="B4014" s="186" t="str">
        <f>IFERROR(__xludf.DUMMYFUNCTION("""COMPUTED_VALUE"""),"MI4085Y")</f>
        <v>MI4085Y</v>
      </c>
      <c r="C4014" s="186" t="str">
        <f>IFERROR(__xludf.DUMMYFUNCTION("""COMPUTED_VALUE"""),"Vaso Ladrilho Terracota M")</f>
        <v>Vaso Ladrilho Terracota M</v>
      </c>
      <c r="D4014" s="186" t="str">
        <f>IFERROR(__xludf.DUMMYFUNCTION("""COMPUTED_VALUE"""),"FALSO")</f>
        <v>FALSO</v>
      </c>
    </row>
    <row r="4015">
      <c r="B4015" s="186" t="str">
        <f>IFERROR(__xludf.DUMMYFUNCTION("""COMPUTED_VALUE"""),"MI4088Y")</f>
        <v>MI4088Y</v>
      </c>
      <c r="C4015" s="186" t="str">
        <f>IFERROR(__xludf.DUMMYFUNCTION("""COMPUTED_VALUE"""),"Vaso Ladrilho Terracota P")</f>
        <v>Vaso Ladrilho Terracota P</v>
      </c>
      <c r="D4015" s="186" t="str">
        <f>IFERROR(__xludf.DUMMYFUNCTION("""COMPUTED_VALUE"""),"FALSO")</f>
        <v>FALSO</v>
      </c>
    </row>
    <row r="4016">
      <c r="B4016" s="186" t="str">
        <f>IFERROR(__xludf.DUMMYFUNCTION("""COMPUTED_VALUE"""),"MI4086Y")</f>
        <v>MI4086Y</v>
      </c>
      <c r="C4016" s="186" t="str">
        <f>IFERROR(__xludf.DUMMYFUNCTION("""COMPUTED_VALUE"""),"Vaso Ladrilho Verde M")</f>
        <v>Vaso Ladrilho Verde M</v>
      </c>
      <c r="D4016" s="186" t="str">
        <f>IFERROR(__xludf.DUMMYFUNCTION("""COMPUTED_VALUE"""),"FALSO")</f>
        <v>FALSO</v>
      </c>
    </row>
    <row r="4017">
      <c r="B4017" s="186" t="str">
        <f>IFERROR(__xludf.DUMMYFUNCTION("""COMPUTED_VALUE"""),"MI4089Y")</f>
        <v>MI4089Y</v>
      </c>
      <c r="C4017" s="186" t="str">
        <f>IFERROR(__xludf.DUMMYFUNCTION("""COMPUTED_VALUE"""),"Vaso Ladrilho Verde P")</f>
        <v>Vaso Ladrilho Verde P</v>
      </c>
      <c r="D4017" s="186" t="str">
        <f>IFERROR(__xludf.DUMMYFUNCTION("""COMPUTED_VALUE"""),"FALSO")</f>
        <v>FALSO</v>
      </c>
    </row>
    <row r="4018">
      <c r="B4018" s="186" t="str">
        <f>IFERROR(__xludf.DUMMYFUNCTION("""COMPUTED_VALUE"""),"MI3626Y")</f>
        <v>MI3626Y</v>
      </c>
      <c r="C4018" s="186" t="str">
        <f>IFERROR(__xludf.DUMMYFUNCTION("""COMPUTED_VALUE"""),"VASO MEIA CAPSULA AZUL")</f>
        <v>VASO MEIA CAPSULA AZUL</v>
      </c>
      <c r="D4018" s="186" t="str">
        <f>IFERROR(__xludf.DUMMYFUNCTION("""COMPUTED_VALUE"""),"FALSO")</f>
        <v>FALSO</v>
      </c>
    </row>
    <row r="4019">
      <c r="B4019" s="186" t="str">
        <f>IFERROR(__xludf.DUMMYFUNCTION("""COMPUTED_VALUE"""),"MI4047Y")</f>
        <v>MI4047Y</v>
      </c>
      <c r="C4019" s="186" t="str">
        <f>IFERROR(__xludf.DUMMYFUNCTION("""COMPUTED_VALUE"""),"Vaso Ondulado Lilás")</f>
        <v>Vaso Ondulado Lilás</v>
      </c>
      <c r="D4019" s="186" t="str">
        <f>IFERROR(__xludf.DUMMYFUNCTION("""COMPUTED_VALUE"""),"FALSO")</f>
        <v>FALSO</v>
      </c>
    </row>
    <row r="4020">
      <c r="B4020" s="186" t="str">
        <f>IFERROR(__xludf.DUMMYFUNCTION("""COMPUTED_VALUE"""),"MI3196Y")</f>
        <v>MI3196Y</v>
      </c>
      <c r="C4020" s="186" t="str">
        <f>IFERROR(__xludf.DUMMYFUNCTION("""COMPUTED_VALUE"""),"VASO ROSTO BRANCO")</f>
        <v>VASO ROSTO BRANCO</v>
      </c>
      <c r="D4020" s="186" t="str">
        <f>IFERROR(__xludf.DUMMYFUNCTION("""COMPUTED_VALUE"""),"FALSO")</f>
        <v>FALSO</v>
      </c>
    </row>
    <row r="4021">
      <c r="B4021" s="186" t="str">
        <f>IFERROR(__xludf.DUMMYFUNCTION("""COMPUTED_VALUE"""),"MI3195Y")</f>
        <v>MI3195Y</v>
      </c>
      <c r="C4021" s="186" t="str">
        <f>IFERROR(__xludf.DUMMYFUNCTION("""COMPUTED_VALUE"""),"VASO ROSTO TERRACOTA")</f>
        <v>VASO ROSTO TERRACOTA</v>
      </c>
      <c r="D4021" s="186" t="str">
        <f>IFERROR(__xludf.DUMMYFUNCTION("""COMPUTED_VALUE"""),"FALSO")</f>
        <v>FALSO</v>
      </c>
    </row>
    <row r="4022">
      <c r="B4022" s="186" t="str">
        <f>IFERROR(__xludf.DUMMYFUNCTION("""COMPUTED_VALUE"""),"MI4099Y")</f>
        <v>MI4099Y</v>
      </c>
      <c r="C4022" s="186" t="str">
        <f>IFERROR(__xludf.DUMMYFUNCTION("""COMPUTED_VALUE"""),"Vaso Saturno Azul")</f>
        <v>Vaso Saturno Azul</v>
      </c>
      <c r="D4022" s="186" t="str">
        <f>IFERROR(__xludf.DUMMYFUNCTION("""COMPUTED_VALUE"""),"FALSO")</f>
        <v>FALSO</v>
      </c>
    </row>
    <row r="4023">
      <c r="B4023" s="186" t="str">
        <f>IFERROR(__xludf.DUMMYFUNCTION("""COMPUTED_VALUE"""),"MI4098Y")</f>
        <v>MI4098Y</v>
      </c>
      <c r="C4023" s="186" t="str">
        <f>IFERROR(__xludf.DUMMYFUNCTION("""COMPUTED_VALUE"""),"Vaso Saturno Cru")</f>
        <v>Vaso Saturno Cru</v>
      </c>
      <c r="D4023" s="186" t="str">
        <f>IFERROR(__xludf.DUMMYFUNCTION("""COMPUTED_VALUE"""),"FALSO")</f>
        <v>FALSO</v>
      </c>
    </row>
    <row r="4024">
      <c r="B4024" s="186" t="str">
        <f>IFERROR(__xludf.DUMMYFUNCTION("""COMPUTED_VALUE"""),"MI4097Y")</f>
        <v>MI4097Y</v>
      </c>
      <c r="C4024" s="186" t="str">
        <f>IFERROR(__xludf.DUMMYFUNCTION("""COMPUTED_VALUE"""),"Vaso Saturno Preto")</f>
        <v>Vaso Saturno Preto</v>
      </c>
      <c r="D4024" s="186" t="str">
        <f>IFERROR(__xludf.DUMMYFUNCTION("""COMPUTED_VALUE"""),"FALSO")</f>
        <v>FALSO</v>
      </c>
    </row>
    <row r="4025">
      <c r="B4025" s="186"/>
      <c r="C4025" s="186" t="str">
        <f>IFERROR(__xludf.DUMMYFUNCTION("""COMPUTED_VALUE"""),"NECESSAIRE POCKETS MESH PRETA CORACOES")</f>
        <v>NECESSAIRE POCKETS MESH PRETA CORACOES</v>
      </c>
      <c r="D4025" s="186" t="str">
        <f>IFERROR(__xludf.DUMMYFUNCTION("""COMPUTED_VALUE"""),"FALSO")</f>
        <v>FALSO</v>
      </c>
    </row>
    <row r="4026">
      <c r="B4026" s="186" t="str">
        <f>IFERROR(__xludf.DUMMYFUNCTION("""COMPUTED_VALUE"""),"MI3590Y")</f>
        <v>MI3590Y</v>
      </c>
      <c r="C4026" s="186" t="str">
        <f>IFERROR(__xludf.DUMMYFUNCTION("""COMPUTED_VALUE"""),"SAPATEIRA BAMBU")</f>
        <v>SAPATEIRA BAMBU</v>
      </c>
      <c r="D4026" s="186" t="str">
        <f>IFERROR(__xludf.DUMMYFUNCTION("""COMPUTED_VALUE"""),"FALSO")</f>
        <v>FALSO</v>
      </c>
    </row>
    <row r="4027">
      <c r="B4027" s="186" t="str">
        <f>IFERROR(__xludf.DUMMYFUNCTION("""COMPUTED_VALUE"""),"AC2166Y")</f>
        <v>AC2166Y</v>
      </c>
      <c r="C4027" s="186" t="str">
        <f>IFERROR(__xludf.DUMMYFUNCTION("""COMPUTED_VALUE"""),"AC BATERIA PARA PI5150Y")</f>
        <v>AC BATERIA PARA PI5150Y</v>
      </c>
      <c r="D4027" s="186" t="str">
        <f>IFERROR(__xludf.DUMMYFUNCTION("""COMPUTED_VALUE"""),"FALSO")</f>
        <v>FALSO</v>
      </c>
    </row>
    <row r="4028">
      <c r="B4028" s="186" t="str">
        <f>IFERROR(__xludf.DUMMYFUNCTION("""COMPUTED_VALUE"""),"AC2167Y")</f>
        <v>AC2167Y</v>
      </c>
      <c r="C4028" s="186" t="str">
        <f>IFERROR(__xludf.DUMMYFUNCTION("""COMPUTED_VALUE"""),"AC BATERIA PARA PI5151Y")</f>
        <v>AC BATERIA PARA PI5151Y</v>
      </c>
      <c r="D4028" s="186" t="str">
        <f>IFERROR(__xludf.DUMMYFUNCTION("""COMPUTED_VALUE"""),"FALSO")</f>
        <v>FALSO</v>
      </c>
    </row>
    <row r="4029">
      <c r="B4029" s="186" t="str">
        <f>IFERROR(__xludf.DUMMYFUNCTION("""COMPUTED_VALUE"""),"AC2174Y")</f>
        <v>AC2174Y</v>
      </c>
      <c r="C4029" s="186" t="str">
        <f>IFERROR(__xludf.DUMMYFUNCTION("""COMPUTED_VALUE"""),"AC PARA PI4981Y")</f>
        <v>AC PARA PI4981Y</v>
      </c>
      <c r="D4029" s="186" t="str">
        <f>IFERROR(__xludf.DUMMYFUNCTION("""COMPUTED_VALUE"""),"FALSO")</f>
        <v>FALSO</v>
      </c>
    </row>
    <row r="4030">
      <c r="B4030" s="186" t="str">
        <f>IFERROR(__xludf.DUMMYFUNCTION("""COMPUTED_VALUE"""),"AC2175Y")</f>
        <v>AC2175Y</v>
      </c>
      <c r="C4030" s="186" t="str">
        <f>IFERROR(__xludf.DUMMYFUNCTION("""COMPUTED_VALUE"""),"AC PARA PI5001Y")</f>
        <v>AC PARA PI5001Y</v>
      </c>
      <c r="D4030" s="186" t="str">
        <f>IFERROR(__xludf.DUMMYFUNCTION("""COMPUTED_VALUE"""),"FALSO")</f>
        <v>FALSO</v>
      </c>
    </row>
    <row r="4031">
      <c r="B4031" s="186" t="str">
        <f>IFERROR(__xludf.DUMMYFUNCTION("""COMPUTED_VALUE"""),"PI5995Y")</f>
        <v>PI5995Y</v>
      </c>
      <c r="C4031" s="186" t="str">
        <f>IFERROR(__xludf.DUMMYFUNCTION("""COMPUTED_VALUE"""),"BOLSA MOCHILA PRETA DETALHES DOURADO")</f>
        <v>BOLSA MOCHILA PRETA DETALHES DOURADO</v>
      </c>
      <c r="D4031" s="186" t="str">
        <f>IFERROR(__xludf.DUMMYFUNCTION("""COMPUTED_VALUE"""),"FALSO")</f>
        <v>FALSO</v>
      </c>
    </row>
    <row r="4032">
      <c r="B4032" s="186" t="str">
        <f>IFERROR(__xludf.DUMMYFUNCTION("""COMPUTED_VALUE"""),"PI5995Y")</f>
        <v>PI5995Y</v>
      </c>
      <c r="C4032" s="186" t="str">
        <f>IFERROR(__xludf.DUMMYFUNCTION("""COMPUTED_VALUE"""),"BOLSA MOCHILA PRETA DETALHES DOURADO")</f>
        <v>BOLSA MOCHILA PRETA DETALHES DOURADO</v>
      </c>
      <c r="D4032" s="186" t="str">
        <f>IFERROR(__xludf.DUMMYFUNCTION("""COMPUTED_VALUE"""),"FALSO")</f>
        <v>FALSO</v>
      </c>
    </row>
    <row r="4033">
      <c r="B4033" s="186" t="str">
        <f>IFERROR(__xludf.DUMMYFUNCTION("""COMPUTED_VALUE"""),"PI5995Y")</f>
        <v>PI5995Y</v>
      </c>
      <c r="C4033" s="186" t="str">
        <f>IFERROR(__xludf.DUMMYFUNCTION("""COMPUTED_VALUE"""),"BOLSA MOCHILA PRETA DETALHES DOURADO")</f>
        <v>BOLSA MOCHILA PRETA DETALHES DOURADO</v>
      </c>
      <c r="D4033" s="186" t="str">
        <f>IFERROR(__xludf.DUMMYFUNCTION("""COMPUTED_VALUE"""),"FALSO")</f>
        <v>FALSO</v>
      </c>
    </row>
    <row r="4034">
      <c r="B4034" s="186" t="str">
        <f>IFERROR(__xludf.DUMMYFUNCTION("""COMPUTED_VALUE"""),"PI7130Y")</f>
        <v>PI7130Y</v>
      </c>
      <c r="C4034" s="186" t="str">
        <f>IFERROR(__xludf.DUMMYFUNCTION("""COMPUTED_VALUE"""),"MOCHILA LAPTOP ROLE ESCRITO NAS ESTRELAS")</f>
        <v>MOCHILA LAPTOP ROLE ESCRITO NAS ESTRELAS</v>
      </c>
      <c r="D4034" s="186" t="str">
        <f>IFERROR(__xludf.DUMMYFUNCTION("""COMPUTED_VALUE"""),"FALSO")</f>
        <v>FALSO</v>
      </c>
    </row>
    <row r="4035">
      <c r="B4035" s="186" t="str">
        <f>IFERROR(__xludf.DUMMYFUNCTION("""COMPUTED_VALUE"""),"PI6878Y")</f>
        <v>PI6878Y</v>
      </c>
      <c r="C4035" s="186" t="str">
        <f>IFERROR(__xludf.DUMMYFUNCTION("""COMPUTED_VALUE"""),"MOCHILA LAPTOP BASICA PRETA")</f>
        <v>MOCHILA LAPTOP BASICA PRETA</v>
      </c>
      <c r="D4035" s="186" t="str">
        <f>IFERROR(__xludf.DUMMYFUNCTION("""COMPUTED_VALUE"""),"FALSO")</f>
        <v>FALSO</v>
      </c>
    </row>
    <row r="4036">
      <c r="B4036" s="186" t="str">
        <f>IFERROR(__xludf.DUMMYFUNCTION("""COMPUTED_VALUE"""),"PI7209Y")</f>
        <v>PI7209Y</v>
      </c>
      <c r="C4036" s="186" t="str">
        <f>IFERROR(__xludf.DUMMYFUNCTION("""COMPUTED_VALUE"""),"MOCHILA LAPTOP BASICA MARINHO")</f>
        <v>MOCHILA LAPTOP BASICA MARINHO</v>
      </c>
      <c r="D4036" s="186" t="str">
        <f>IFERROR(__xludf.DUMMYFUNCTION("""COMPUTED_VALUE"""),"FALSO")</f>
        <v>FALSO</v>
      </c>
    </row>
    <row r="4037">
      <c r="B4037" s="186" t="str">
        <f>IFERROR(__xludf.DUMMYFUNCTION("""COMPUTED_VALUE"""),"PI6879Y")</f>
        <v>PI6879Y</v>
      </c>
      <c r="C4037" s="186" t="str">
        <f>IFERROR(__xludf.DUMMYFUNCTION("""COMPUTED_VALUE"""),"MOCHILA LAPTOP ROLE LISTRAS PB")</f>
        <v>MOCHILA LAPTOP ROLE LISTRAS PB</v>
      </c>
      <c r="D4037" s="186" t="str">
        <f>IFERROR(__xludf.DUMMYFUNCTION("""COMPUTED_VALUE"""),"FALSO")</f>
        <v>FALSO</v>
      </c>
    </row>
    <row r="4038">
      <c r="B4038" s="186" t="str">
        <f>IFERROR(__xludf.DUMMYFUNCTION("""COMPUTED_VALUE"""),"PI6958Y")</f>
        <v>PI6958Y</v>
      </c>
      <c r="C4038" s="186" t="str">
        <f>IFERROR(__xludf.DUMMYFUNCTION("""COMPUTED_VALUE"""),"MOCHILA LAPTOP ROLE ONCINHA")</f>
        <v>MOCHILA LAPTOP ROLE ONCINHA</v>
      </c>
      <c r="D4038" s="186" t="str">
        <f>IFERROR(__xludf.DUMMYFUNCTION("""COMPUTED_VALUE"""),"FALSO")</f>
        <v>FALSO</v>
      </c>
    </row>
    <row r="4039">
      <c r="B4039" s="186" t="str">
        <f>IFERROR(__xludf.DUMMYFUNCTION("""COMPUTED_VALUE"""),"PI5583Y")</f>
        <v>PI5583Y</v>
      </c>
      <c r="C4039" s="186" t="str">
        <f>IFERROR(__xludf.DUMMYFUNCTION("""COMPUTED_VALUE"""),"MOCHILA SLIM PRETA DETALHES CARAMELO")</f>
        <v>MOCHILA SLIM PRETA DETALHES CARAMELO</v>
      </c>
      <c r="D4039" s="186" t="str">
        <f>IFERROR(__xludf.DUMMYFUNCTION("""COMPUTED_VALUE"""),"FALSO")</f>
        <v>FALSO</v>
      </c>
    </row>
    <row r="4040">
      <c r="B4040" s="186" t="str">
        <f>IFERROR(__xludf.DUMMYFUNCTION("""COMPUTED_VALUE"""),"PI6911Y")</f>
        <v>PI6911Y</v>
      </c>
      <c r="C4040" s="186" t="str">
        <f>IFERROR(__xludf.DUMMYFUNCTION("""COMPUTED_VALUE"""),"MOCHILA LAPTOP BOLSOS IMAGILAND")</f>
        <v>MOCHILA LAPTOP BOLSOS IMAGILAND</v>
      </c>
      <c r="D4040" s="186" t="str">
        <f>IFERROR(__xludf.DUMMYFUNCTION("""COMPUTED_VALUE"""),"FALSO")</f>
        <v>FALSO</v>
      </c>
    </row>
    <row r="4041">
      <c r="B4041" s="186" t="str">
        <f>IFERROR(__xludf.DUMMYFUNCTION("""COMPUTED_VALUE"""),"PI7401Y")</f>
        <v>PI7401Y</v>
      </c>
      <c r="C4041" s="186" t="str">
        <f>IFERROR(__xludf.DUMMYFUNCTION("""COMPUTED_VALUE"""),"MOCHILA LAPTOP BASICA CANVAS LISTRADA")</f>
        <v>MOCHILA LAPTOP BASICA CANVAS LISTRADA</v>
      </c>
      <c r="D4041" s="186" t="str">
        <f>IFERROR(__xludf.DUMMYFUNCTION("""COMPUTED_VALUE"""),"FALSO")</f>
        <v>FALSO</v>
      </c>
    </row>
    <row r="4042">
      <c r="B4042" s="186" t="str">
        <f>IFERROR(__xludf.DUMMYFUNCTION("""COMPUTED_VALUE"""),"PI6970Y")</f>
        <v>PI6970Y</v>
      </c>
      <c r="C4042" s="186" t="str">
        <f>IFERROR(__xludf.DUMMYFUNCTION("""COMPUTED_VALUE"""),"MOCHILA LAPTOP CANVAS CLARA E PRETA")</f>
        <v>MOCHILA LAPTOP CANVAS CLARA E PRETA</v>
      </c>
      <c r="D4042" s="186" t="str">
        <f>IFERROR(__xludf.DUMMYFUNCTION("""COMPUTED_VALUE"""),"FALSO")</f>
        <v>FALSO</v>
      </c>
    </row>
    <row r="4043">
      <c r="B4043" s="186" t="str">
        <f>IFERROR(__xludf.DUMMYFUNCTION("""COMPUTED_VALUE"""),"PI6396Y")</f>
        <v>PI6396Y</v>
      </c>
      <c r="C4043" s="186" t="str">
        <f>IFERROR(__xludf.DUMMYFUNCTION("""COMPUTED_VALUE"""),"MOCHILA CROSSBODY PRETA")</f>
        <v>MOCHILA CROSSBODY PRETA</v>
      </c>
      <c r="D4043" s="186" t="str">
        <f>IFERROR(__xludf.DUMMYFUNCTION("""COMPUTED_VALUE"""),"FALSO")</f>
        <v>FALSO</v>
      </c>
    </row>
    <row r="4044">
      <c r="B4044" s="186" t="str">
        <f>IFERROR(__xludf.DUMMYFUNCTION("""COMPUTED_VALUE"""),"PI5025Y")</f>
        <v>PI5025Y</v>
      </c>
      <c r="C4044" s="186" t="str">
        <f>IFERROR(__xludf.DUMMYFUNCTION("""COMPUTED_VALUE"""),"MOCHILA CUSTOM QUADRICULADO")</f>
        <v>MOCHILA CUSTOM QUADRICULADO</v>
      </c>
      <c r="D4044" s="186" t="str">
        <f>IFERROR(__xludf.DUMMYFUNCTION("""COMPUTED_VALUE"""),"FALSO")</f>
        <v>FALSO</v>
      </c>
    </row>
    <row r="4045">
      <c r="B4045" s="186" t="str">
        <f>IFERROR(__xludf.DUMMYFUNCTION("""COMPUTED_VALUE"""),"PI5034Y")</f>
        <v>PI5034Y</v>
      </c>
      <c r="C4045" s="186" t="str">
        <f>IFERROR(__xludf.DUMMYFUNCTION("""COMPUTED_VALUE"""),"MOCHILA DAILY CAPIVARA")</f>
        <v>MOCHILA DAILY CAPIVARA</v>
      </c>
      <c r="D4045" s="186" t="str">
        <f>IFERROR(__xludf.DUMMYFUNCTION("""COMPUTED_VALUE"""),"FALSO")</f>
        <v>FALSO</v>
      </c>
    </row>
    <row r="4046">
      <c r="B4046" s="186" t="str">
        <f>IFERROR(__xludf.DUMMYFUNCTION("""COMPUTED_VALUE"""),"PI5629Y")</f>
        <v>PI5629Y</v>
      </c>
      <c r="C4046" s="186" t="str">
        <f>IFERROR(__xludf.DUMMYFUNCTION("""COMPUTED_VALUE"""),"MOCHILA DAILY COLOR BLOCK DEIXA FLUIR")</f>
        <v>MOCHILA DAILY COLOR BLOCK DEIXA FLUIR</v>
      </c>
      <c r="D4046" s="186" t="str">
        <f>IFERROR(__xludf.DUMMYFUNCTION("""COMPUTED_VALUE"""),"FALSO")</f>
        <v>FALSO</v>
      </c>
    </row>
    <row r="4047">
      <c r="B4047" s="186" t="str">
        <f>IFERROR(__xludf.DUMMYFUNCTION("""COMPUTED_VALUE"""),"PI5612Y")</f>
        <v>PI5612Y</v>
      </c>
      <c r="C4047" s="186" t="str">
        <f>IFERROR(__xludf.DUMMYFUNCTION("""COMPUTED_VALUE"""),"MOCHILA DAILY Y2K JEANS POMPOM ROSA")</f>
        <v>MOCHILA DAILY Y2K JEANS POMPOM ROSA</v>
      </c>
      <c r="D4047" s="186" t="str">
        <f>IFERROR(__xludf.DUMMYFUNCTION("""COMPUTED_VALUE"""),"FALSO")</f>
        <v>FALSO</v>
      </c>
    </row>
    <row r="4048">
      <c r="B4048" s="186" t="str">
        <f>IFERROR(__xludf.DUMMYFUNCTION("""COMPUTED_VALUE"""),"PI6394Y")</f>
        <v>PI6394Y</v>
      </c>
      <c r="C4048" s="186" t="str">
        <f>IFERROR(__xludf.DUMMYFUNCTION("""COMPUTED_VALUE"""),"MOCHILA DAILY AZUL E NEON")</f>
        <v>MOCHILA DAILY AZUL E NEON</v>
      </c>
      <c r="D4048" s="186" t="str">
        <f>IFERROR(__xludf.DUMMYFUNCTION("""COMPUTED_VALUE"""),"FALSO")</f>
        <v>FALSO</v>
      </c>
    </row>
    <row r="4049">
      <c r="B4049" s="186" t="str">
        <f>IFERROR(__xludf.DUMMYFUNCTION("""COMPUTED_VALUE"""),"PI6850Y")</f>
        <v>PI6850Y</v>
      </c>
      <c r="C4049" s="186" t="str">
        <f>IFERROR(__xludf.DUMMYFUNCTION("""COMPUTED_VALUE"""),"MOCHILA LAPTOP VELUDO HP EDWIGES")</f>
        <v>MOCHILA LAPTOP VELUDO HP EDWIGES</v>
      </c>
      <c r="D4049" s="186" t="str">
        <f>IFERROR(__xludf.DUMMYFUNCTION("""COMPUTED_VALUE"""),"FALSO")</f>
        <v>FALSO</v>
      </c>
    </row>
    <row r="4050">
      <c r="B4050" s="186" t="str">
        <f>IFERROR(__xludf.DUMMYFUNCTION("""COMPUTED_VALUE"""),"PI6850Y")</f>
        <v>PI6850Y</v>
      </c>
      <c r="C4050" s="186" t="str">
        <f>IFERROR(__xludf.DUMMYFUNCTION("""COMPUTED_VALUE"""),"MOCHILA LAPTOP VELUDO HP EDWIGES")</f>
        <v>MOCHILA LAPTOP VELUDO HP EDWIGES</v>
      </c>
      <c r="D4050" s="186" t="str">
        <f>IFERROR(__xludf.DUMMYFUNCTION("""COMPUTED_VALUE"""),"FALSO")</f>
        <v>FALSO</v>
      </c>
    </row>
    <row r="4051">
      <c r="B4051" s="186" t="str">
        <f>IFERROR(__xludf.DUMMYFUNCTION("""COMPUTED_VALUE"""),"PI6968Y")</f>
        <v>PI6968Y</v>
      </c>
      <c r="C4051" s="186" t="str">
        <f>IFERROR(__xludf.DUMMYFUNCTION("""COMPUTED_VALUE"""),"MOCHILA LAPTOP TODO DIA PRETA")</f>
        <v>MOCHILA LAPTOP TODO DIA PRETA</v>
      </c>
      <c r="D4051" s="186" t="str">
        <f>IFERROR(__xludf.DUMMYFUNCTION("""COMPUTED_VALUE"""),"FALSO")</f>
        <v>FALSO</v>
      </c>
    </row>
    <row r="4052">
      <c r="B4052" s="186" t="str">
        <f>IFERROR(__xludf.DUMMYFUNCTION("""COMPUTED_VALUE"""),"PI7472Y")</f>
        <v>PI7472Y</v>
      </c>
      <c r="C4052" s="186" t="str">
        <f>IFERROR(__xludf.DUMMYFUNCTION("""COMPUTED_VALUE"""),"MOCHILA LAPTOP TODO DIA MARINHO E MARROM")</f>
        <v>MOCHILA LAPTOP TODO DIA MARINHO E MARROM</v>
      </c>
      <c r="D4052" s="186" t="str">
        <f>IFERROR(__xludf.DUMMYFUNCTION("""COMPUTED_VALUE"""),"FALSO")</f>
        <v>FALSO</v>
      </c>
    </row>
    <row r="4053">
      <c r="B4053" s="186" t="str">
        <f>IFERROR(__xludf.DUMMYFUNCTION("""COMPUTED_VALUE"""),"PI6969Y")</f>
        <v>PI6969Y</v>
      </c>
      <c r="C4053" s="186" t="str">
        <f>IFERROR(__xludf.DUMMYFUNCTION("""COMPUTED_VALUE"""),"MOCHILA LAPTOP TODO DIA CLARA")</f>
        <v>MOCHILA LAPTOP TODO DIA CLARA</v>
      </c>
      <c r="D4053" s="186" t="str">
        <f>IFERROR(__xludf.DUMMYFUNCTION("""COMPUTED_VALUE"""),"FALSO")</f>
        <v>FALSO</v>
      </c>
    </row>
    <row r="4054">
      <c r="B4054" s="186" t="str">
        <f>IFERROR(__xludf.DUMMYFUNCTION("""COMPUTED_VALUE"""),"PI6969Y")</f>
        <v>PI6969Y</v>
      </c>
      <c r="C4054" s="186" t="str">
        <f>IFERROR(__xludf.DUMMYFUNCTION("""COMPUTED_VALUE"""),"MOCHILA LAPTOP TODO DIA CLARA")</f>
        <v>MOCHILA LAPTOP TODO DIA CLARA</v>
      </c>
      <c r="D4054" s="186" t="str">
        <f>IFERROR(__xludf.DUMMYFUNCTION("""COMPUTED_VALUE"""),"FALSO")</f>
        <v>FALSO</v>
      </c>
    </row>
    <row r="4055">
      <c r="B4055" s="186" t="str">
        <f>IFERROR(__xludf.DUMMYFUNCTION("""COMPUTED_VALUE"""),"PI6969Y")</f>
        <v>PI6969Y</v>
      </c>
      <c r="C4055" s="186" t="str">
        <f>IFERROR(__xludf.DUMMYFUNCTION("""COMPUTED_VALUE"""),"MOCHILA LAPTOP TODO DIA CLARA")</f>
        <v>MOCHILA LAPTOP TODO DIA CLARA</v>
      </c>
      <c r="D4055" s="186" t="str">
        <f>IFERROR(__xludf.DUMMYFUNCTION("""COMPUTED_VALUE"""),"FALSO")</f>
        <v>FALSO</v>
      </c>
    </row>
    <row r="4056">
      <c r="B4056" s="186" t="str">
        <f>IFERROR(__xludf.DUMMYFUNCTION("""COMPUTED_VALUE"""),"PI6969Y")</f>
        <v>PI6969Y</v>
      </c>
      <c r="C4056" s="186" t="str">
        <f>IFERROR(__xludf.DUMMYFUNCTION("""COMPUTED_VALUE"""),"MOCHILA LAPTOP TODO DIA CLARA")</f>
        <v>MOCHILA LAPTOP TODO DIA CLARA</v>
      </c>
      <c r="D4056" s="186" t="str">
        <f>IFERROR(__xludf.DUMMYFUNCTION("""COMPUTED_VALUE"""),"FALSO")</f>
        <v>FALSO</v>
      </c>
    </row>
    <row r="4057">
      <c r="B4057" s="186" t="str">
        <f>IFERROR(__xludf.DUMMYFUNCTION("""COMPUTED_VALUE"""),"PI7210Y")</f>
        <v>PI7210Y</v>
      </c>
      <c r="C4057" s="186" t="str">
        <f>IFERROR(__xludf.DUMMYFUNCTION("""COMPUTED_VALUE"""),"MOCHILA LAPTOP TODO DIA MARINHO")</f>
        <v>MOCHILA LAPTOP TODO DIA MARINHO</v>
      </c>
      <c r="D4057" s="186" t="str">
        <f>IFERROR(__xludf.DUMMYFUNCTION("""COMPUTED_VALUE"""),"FALSO")</f>
        <v>FALSO</v>
      </c>
    </row>
    <row r="4058">
      <c r="B4058" s="186" t="str">
        <f>IFERROR(__xludf.DUMMYFUNCTION("""COMPUTED_VALUE"""),"PI7832Y")</f>
        <v>PI7832Y</v>
      </c>
      <c r="C4058" s="186" t="str">
        <f>IFERROR(__xludf.DUMMYFUNCTION("""COMPUTED_VALUE"""),"MOCHILA EXPANSIVEL VIAGEM PRETA")</f>
        <v>MOCHILA EXPANSIVEL VIAGEM PRETA</v>
      </c>
      <c r="D4058" s="186" t="str">
        <f>IFERROR(__xludf.DUMMYFUNCTION("""COMPUTED_VALUE"""),"FALSO")</f>
        <v>FALSO</v>
      </c>
    </row>
    <row r="4059">
      <c r="B4059" s="186" t="str">
        <f>IFERROR(__xludf.DUMMYFUNCTION("""COMPUTED_VALUE"""),"PI6637Y")</f>
        <v>PI6637Y</v>
      </c>
      <c r="C4059" s="186" t="str">
        <f>IFERROR(__xludf.DUMMYFUNCTION("""COMPUTED_VALUE"""),"MOCHILA LAPTOP POR ONDE FLOR")</f>
        <v>MOCHILA LAPTOP POR ONDE FLOR</v>
      </c>
      <c r="D4059" s="186" t="str">
        <f>IFERROR(__xludf.DUMMYFUNCTION("""COMPUTED_VALUE"""),"FALSO")</f>
        <v>FALSO</v>
      </c>
    </row>
    <row r="4060">
      <c r="B4060" s="186" t="str">
        <f>IFERROR(__xludf.DUMMYFUNCTION("""COMPUTED_VALUE"""),"PI7653Y")</f>
        <v>PI7653Y</v>
      </c>
      <c r="C4060" s="186" t="str">
        <f>IFERROR(__xludf.DUMMYFUNCTION("""COMPUTED_VALUE"""),"MOCHILA DOBRAVEL PRETA")</f>
        <v>MOCHILA DOBRAVEL PRETA</v>
      </c>
      <c r="D4060" s="186" t="str">
        <f>IFERROR(__xludf.DUMMYFUNCTION("""COMPUTED_VALUE"""),"FALSO")</f>
        <v>FALSO</v>
      </c>
    </row>
    <row r="4061">
      <c r="B4061" s="186"/>
      <c r="C4061" s="186"/>
      <c r="D4061" s="186"/>
    </row>
    <row r="4062">
      <c r="B4062" s="186" t="str">
        <f>IFERROR(__xludf.DUMMYFUNCTION("""COMPUTED_VALUE"""),"PI7656Y")</f>
        <v>PI7656Y</v>
      </c>
      <c r="C4062" s="186" t="str">
        <f>IFERROR(__xludf.DUMMYFUNCTION("""COMPUTED_VALUE"""),"MOCHILA DOBRAVEL VERDE CLARO")</f>
        <v>MOCHILA DOBRAVEL VERDE CLARO</v>
      </c>
      <c r="D4062" s="186" t="str">
        <f>IFERROR(__xludf.DUMMYFUNCTION("""COMPUTED_VALUE"""),"FALSO")</f>
        <v>FALSO</v>
      </c>
    </row>
    <row r="4063">
      <c r="B4063" s="186" t="str">
        <f>IFERROR(__xludf.DUMMYFUNCTION("""COMPUTED_VALUE"""),"PI7655Y")</f>
        <v>PI7655Y</v>
      </c>
      <c r="C4063" s="186" t="str">
        <f>IFERROR(__xludf.DUMMYFUNCTION("""COMPUTED_VALUE"""),"MOCHILA DOBRAVEL ROSA CLARA")</f>
        <v>MOCHILA DOBRAVEL ROSA CLARA</v>
      </c>
      <c r="D4063" s="186" t="str">
        <f>IFERROR(__xludf.DUMMYFUNCTION("""COMPUTED_VALUE"""),"FALSO")</f>
        <v>FALSO</v>
      </c>
    </row>
    <row r="4064">
      <c r="B4064" s="186" t="str">
        <f>IFERROR(__xludf.DUMMYFUNCTION("""COMPUTED_VALUE"""),"PI7654Y")</f>
        <v>PI7654Y</v>
      </c>
      <c r="C4064" s="186" t="str">
        <f>IFERROR(__xludf.DUMMYFUNCTION("""COMPUTED_VALUE"""),"MOCHILA DOBRAVEL CLARA")</f>
        <v>MOCHILA DOBRAVEL CLARA</v>
      </c>
      <c r="D4064" s="186" t="str">
        <f>IFERROR(__xludf.DUMMYFUNCTION("""COMPUTED_VALUE"""),"FALSO")</f>
        <v>FALSO</v>
      </c>
    </row>
    <row r="4065">
      <c r="B4065" s="186"/>
      <c r="C4065" s="186"/>
      <c r="D4065" s="186"/>
    </row>
    <row r="4066">
      <c r="B4066" s="186" t="str">
        <f>IFERROR(__xludf.DUMMYFUNCTION("""COMPUTED_VALUE"""),"PI5596Y")</f>
        <v>PI5596Y</v>
      </c>
      <c r="C4066" s="186" t="str">
        <f>IFERROR(__xludf.DUMMYFUNCTION("""COMPUTED_VALUE"""),"MOCHILA LAPTOP FRAME CREME E DOURADO")</f>
        <v>MOCHILA LAPTOP FRAME CREME E DOURADO</v>
      </c>
      <c r="D4066" s="186" t="str">
        <f>IFERROR(__xludf.DUMMYFUNCTION("""COMPUTED_VALUE"""),"FALSO")</f>
        <v>FALSO</v>
      </c>
    </row>
    <row r="4067">
      <c r="B4067" s="186" t="str">
        <f>IFERROR(__xludf.DUMMYFUNCTION("""COMPUTED_VALUE"""),"PI5596Y")</f>
        <v>PI5596Y</v>
      </c>
      <c r="C4067" s="186" t="str">
        <f>IFERROR(__xludf.DUMMYFUNCTION("""COMPUTED_VALUE"""),"MOCHILA LAPTOP FRAME CREME E DOURADO")</f>
        <v>MOCHILA LAPTOP FRAME CREME E DOURADO</v>
      </c>
      <c r="D4067" s="186" t="str">
        <f>IFERROR(__xludf.DUMMYFUNCTION("""COMPUTED_VALUE"""),"FALSO")</f>
        <v>FALSO</v>
      </c>
    </row>
    <row r="4068">
      <c r="B4068" s="186" t="str">
        <f>IFERROR(__xludf.DUMMYFUNCTION("""COMPUTED_VALUE"""),"PI5596Y")</f>
        <v>PI5596Y</v>
      </c>
      <c r="C4068" s="186" t="str">
        <f>IFERROR(__xludf.DUMMYFUNCTION("""COMPUTED_VALUE"""),"MOCHILA LAPTOP FRAME CREME E DOURADO")</f>
        <v>MOCHILA LAPTOP FRAME CREME E DOURADO</v>
      </c>
      <c r="D4068" s="186" t="str">
        <f>IFERROR(__xludf.DUMMYFUNCTION("""COMPUTED_VALUE"""),"FALSO")</f>
        <v>FALSO</v>
      </c>
    </row>
    <row r="4069">
      <c r="B4069" s="186" t="str">
        <f>IFERROR(__xludf.DUMMYFUNCTION("""COMPUTED_VALUE"""),"PI5596Y")</f>
        <v>PI5596Y</v>
      </c>
      <c r="C4069" s="186" t="str">
        <f>IFERROR(__xludf.DUMMYFUNCTION("""COMPUTED_VALUE"""),"MOCHILA LAPTOP FRAME CREME E DOURADO")</f>
        <v>MOCHILA LAPTOP FRAME CREME E DOURADO</v>
      </c>
      <c r="D4069" s="186" t="str">
        <f>IFERROR(__xludf.DUMMYFUNCTION("""COMPUTED_VALUE"""),"FALSO")</f>
        <v>FALSO</v>
      </c>
    </row>
    <row r="4070">
      <c r="B4070" s="186" t="str">
        <f>IFERROR(__xludf.DUMMYFUNCTION("""COMPUTED_VALUE"""),"PI4961Y")</f>
        <v>PI4961Y</v>
      </c>
      <c r="C4070" s="186" t="str">
        <f>IFERROR(__xludf.DUMMYFUNCTION("""COMPUTED_VALUE"""),"MOCHILA FRIENDS PERU")</f>
        <v>MOCHILA FRIENDS PERU</v>
      </c>
      <c r="D4070" s="186" t="str">
        <f>IFERROR(__xludf.DUMMYFUNCTION("""COMPUTED_VALUE"""),"FALSO")</f>
        <v>FALSO</v>
      </c>
    </row>
    <row r="4071">
      <c r="B4071" s="186" t="str">
        <f>IFERROR(__xludf.DUMMYFUNCTION("""COMPUTED_VALUE"""),"PI5950Y")</f>
        <v>PI5950Y</v>
      </c>
      <c r="C4071" s="186" t="str">
        <f>IFERROR(__xludf.DUMMYFUNCTION("""COMPUTED_VALUE"""),"MOCHILA LAPTOP GATO PRETO")</f>
        <v>MOCHILA LAPTOP GATO PRETO</v>
      </c>
      <c r="D4071" s="186" t="str">
        <f>IFERROR(__xludf.DUMMYFUNCTION("""COMPUTED_VALUE"""),"FALSO")</f>
        <v>FALSO</v>
      </c>
    </row>
    <row r="4072">
      <c r="B4072" s="186" t="str">
        <f>IFERROR(__xludf.DUMMYFUNCTION("""COMPUTED_VALUE"""),"PI5613Y")</f>
        <v>PI5613Y</v>
      </c>
      <c r="C4072" s="186" t="str">
        <f>IFERROR(__xludf.DUMMYFUNCTION("""COMPUTED_VALUE"""),"MOCHILA E BOLSA REMOVIVEL Y2K GLITTER")</f>
        <v>MOCHILA E BOLSA REMOVIVEL Y2K GLITTER</v>
      </c>
      <c r="D4072" s="186" t="str">
        <f>IFERROR(__xludf.DUMMYFUNCTION("""COMPUTED_VALUE"""),"FALSO")</f>
        <v>FALSO</v>
      </c>
    </row>
    <row r="4073">
      <c r="B4073" s="186" t="str">
        <f>IFERROR(__xludf.DUMMYFUNCTION("""COMPUTED_VALUE"""),"PI3797Y")</f>
        <v>PI3797Y</v>
      </c>
      <c r="C4073" s="186" t="str">
        <f>IFERROR(__xludf.DUMMYFUNCTION("""COMPUTED_VALUE"""),"MOCHILA LAPTOP HP EDWIGES")</f>
        <v>MOCHILA LAPTOP HP EDWIGES</v>
      </c>
      <c r="D4073" s="186" t="str">
        <f>IFERROR(__xludf.DUMMYFUNCTION("""COMPUTED_VALUE"""),"FALSO")</f>
        <v>FALSO</v>
      </c>
    </row>
    <row r="4074">
      <c r="B4074" s="186" t="str">
        <f>IFERROR(__xludf.DUMMYFUNCTION("""COMPUTED_VALUE"""),"PI3797Y")</f>
        <v>PI3797Y</v>
      </c>
      <c r="C4074" s="186" t="str">
        <f>IFERROR(__xludf.DUMMYFUNCTION("""COMPUTED_VALUE"""),"MOCHILA LAPTOP HP EDWIGES")</f>
        <v>MOCHILA LAPTOP HP EDWIGES</v>
      </c>
      <c r="D4074" s="186" t="str">
        <f>IFERROR(__xludf.DUMMYFUNCTION("""COMPUTED_VALUE"""),"FALSO")</f>
        <v>FALSO</v>
      </c>
    </row>
    <row r="4075">
      <c r="B4075" s="186" t="str">
        <f>IFERROR(__xludf.DUMMYFUNCTION("""COMPUTED_VALUE"""),"PI3797Y")</f>
        <v>PI3797Y</v>
      </c>
      <c r="C4075" s="186" t="str">
        <f>IFERROR(__xludf.DUMMYFUNCTION("""COMPUTED_VALUE"""),"MOCHILA LAPTOP HP EDWIGES")</f>
        <v>MOCHILA LAPTOP HP EDWIGES</v>
      </c>
      <c r="D4075" s="186" t="str">
        <f>IFERROR(__xludf.DUMMYFUNCTION("""COMPUTED_VALUE"""),"FALSO")</f>
        <v>FALSO</v>
      </c>
    </row>
    <row r="4076">
      <c r="B4076" s="186" t="str">
        <f>IFERROR(__xludf.DUMMYFUNCTION("""COMPUTED_VALUE"""),"PI7523Y")</f>
        <v>PI7523Y</v>
      </c>
      <c r="C4076" s="186" t="str">
        <f>IFERROR(__xludf.DUMMYFUNCTION("""COMPUTED_VALUE"""),"MOCHILA HP VELCRO PATCHES MARROM")</f>
        <v>MOCHILA HP VELCRO PATCHES MARROM</v>
      </c>
      <c r="D4076" s="186" t="str">
        <f>IFERROR(__xludf.DUMMYFUNCTION("""COMPUTED_VALUE"""),"FALSO")</f>
        <v>FALSO</v>
      </c>
    </row>
    <row r="4077">
      <c r="B4077" s="186" t="str">
        <f>IFERROR(__xludf.DUMMYFUNCTION("""COMPUTED_VALUE"""),"PI6133Y")</f>
        <v>PI6133Y</v>
      </c>
      <c r="C4077" s="186" t="str">
        <f>IFERROR(__xludf.DUMMYFUNCTION("""COMPUTED_VALUE"""),"MOCHILA HP VELCRO PATCHES DAS CASAS")</f>
        <v>MOCHILA HP VELCRO PATCHES DAS CASAS</v>
      </c>
      <c r="D4077" s="186" t="str">
        <f>IFERROR(__xludf.DUMMYFUNCTION("""COMPUTED_VALUE"""),"FALSO")</f>
        <v>FALSO</v>
      </c>
    </row>
    <row r="4078">
      <c r="B4078" s="186" t="str">
        <f>IFERROR(__xludf.DUMMYFUNCTION("""COMPUTED_VALUE"""),"PI6380Y")</f>
        <v>PI6380Y</v>
      </c>
      <c r="C4078" s="186" t="str">
        <f>IFERROR(__xludf.DUMMYFUNCTION("""COMPUTED_VALUE"""),"MOCHILA LAPTOP BASICA PRETA E CARAMELO")</f>
        <v>MOCHILA LAPTOP BASICA PRETA E CARAMELO</v>
      </c>
      <c r="D4078" s="186" t="str">
        <f>IFERROR(__xludf.DUMMYFUNCTION("""COMPUTED_VALUE"""),"FALSO")</f>
        <v>FALSO</v>
      </c>
    </row>
    <row r="4079">
      <c r="B4079" s="186" t="str">
        <f>IFERROR(__xludf.DUMMYFUNCTION("""COMPUTED_VALUE"""),"PI6381Y")</f>
        <v>PI6381Y</v>
      </c>
      <c r="C4079" s="186" t="str">
        <f>IFERROR(__xludf.DUMMYFUNCTION("""COMPUTED_VALUE"""),"MOCHILA LAPTOP BASICA MARINHO E CARAMELO")</f>
        <v>MOCHILA LAPTOP BASICA MARINHO E CARAMELO</v>
      </c>
      <c r="D4079" s="186" t="str">
        <f>IFERROR(__xludf.DUMMYFUNCTION("""COMPUTED_VALUE"""),"FALSO")</f>
        <v>FALSO</v>
      </c>
    </row>
    <row r="4080">
      <c r="B4080" s="186" t="str">
        <f>IFERROR(__xludf.DUMMYFUNCTION("""COMPUTED_VALUE"""),"PI5622Y")</f>
        <v>PI5622Y</v>
      </c>
      <c r="C4080" s="186" t="str">
        <f>IFERROR(__xludf.DUMMYFUNCTION("""COMPUTED_VALUE"""),"MOCHILA LAPTOP PRETA E HOLOGRAFICO")</f>
        <v>MOCHILA LAPTOP PRETA E HOLOGRAFICO</v>
      </c>
      <c r="D4080" s="186" t="str">
        <f>IFERROR(__xludf.DUMMYFUNCTION("""COMPUTED_VALUE"""),"FALSO")</f>
        <v>FALSO</v>
      </c>
    </row>
    <row r="4081">
      <c r="B4081" s="186" t="str">
        <f>IFERROR(__xludf.DUMMYFUNCTION("""COMPUTED_VALUE"""),"PI6661Y")</f>
        <v>PI6661Y</v>
      </c>
      <c r="C4081" s="186" t="str">
        <f>IFERROR(__xludf.DUMMYFUNCTION("""COMPUTED_VALUE"""),"MOCHILA LAPTOP CANVAS CARGO PRETA")</f>
        <v>MOCHILA LAPTOP CANVAS CARGO PRETA</v>
      </c>
      <c r="D4081" s="186" t="str">
        <f>IFERROR(__xludf.DUMMYFUNCTION("""COMPUTED_VALUE"""),"FALSO")</f>
        <v>FALSO</v>
      </c>
    </row>
    <row r="4082">
      <c r="B4082" s="186" t="str">
        <f>IFERROR(__xludf.DUMMYFUNCTION("""COMPUTED_VALUE"""),"PI5605Y")</f>
        <v>PI5605Y</v>
      </c>
      <c r="C4082" s="186" t="str">
        <f>IFERROR(__xludf.DUMMYFUNCTION("""COMPUTED_VALUE"""),"MOCHILA LAPTOP CARGO CANVAS OCRE")</f>
        <v>MOCHILA LAPTOP CARGO CANVAS OCRE</v>
      </c>
      <c r="D4082" s="186" t="str">
        <f>IFERROR(__xludf.DUMMYFUNCTION("""COMPUTED_VALUE"""),"FALSO")</f>
        <v>FALSO</v>
      </c>
    </row>
    <row r="4083">
      <c r="B4083" s="186" t="str">
        <f>IFERROR(__xludf.DUMMYFUNCTION("""COMPUTED_VALUE"""),"PI5602Y")</f>
        <v>PI5602Y</v>
      </c>
      <c r="C4083" s="186" t="str">
        <f>IFERROR(__xludf.DUMMYFUNCTION("""COMPUTED_VALUE"""),"MOCHILA LAPTOP COLOR BLOCK MARINHO")</f>
        <v>MOCHILA LAPTOP COLOR BLOCK MARINHO</v>
      </c>
      <c r="D4083" s="186" t="str">
        <f>IFERROR(__xludf.DUMMYFUNCTION("""COMPUTED_VALUE"""),"FALSO")</f>
        <v>FALSO</v>
      </c>
    </row>
    <row r="4084">
      <c r="B4084" s="186" t="str">
        <f>IFERROR(__xludf.DUMMYFUNCTION("""COMPUTED_VALUE"""),"PI5631Y")</f>
        <v>PI5631Y</v>
      </c>
      <c r="C4084" s="186" t="str">
        <f>IFERROR(__xludf.DUMMYFUNCTION("""COMPUTED_VALUE"""),"MOCHILA LAPTOP BORDADA DEIXA FLUIR")</f>
        <v>MOCHILA LAPTOP BORDADA DEIXA FLUIR</v>
      </c>
      <c r="D4084" s="186" t="str">
        <f>IFERROR(__xludf.DUMMYFUNCTION("""COMPUTED_VALUE"""),"FALSO")</f>
        <v>FALSO</v>
      </c>
    </row>
    <row r="4085">
      <c r="B4085" s="186" t="str">
        <f>IFERROR(__xludf.DUMMYFUNCTION("""COMPUTED_VALUE"""),"PI5584Y")</f>
        <v>PI5584Y</v>
      </c>
      <c r="C4085" s="186" t="str">
        <f>IFERROR(__xludf.DUMMYFUNCTION("""COMPUTED_VALUE"""),"MOCHILA LAPTOP TODO DIA PRETA E CARAMELO")</f>
        <v>MOCHILA LAPTOP TODO DIA PRETA E CARAMELO</v>
      </c>
      <c r="D4085" s="186" t="str">
        <f>IFERROR(__xludf.DUMMYFUNCTION("""COMPUTED_VALUE"""),"FALSO")</f>
        <v>FALSO</v>
      </c>
    </row>
    <row r="4086">
      <c r="B4086" s="186" t="str">
        <f>IFERROR(__xludf.DUMMYFUNCTION("""COMPUTED_VALUE"""),"PI5584Y")</f>
        <v>PI5584Y</v>
      </c>
      <c r="C4086" s="186" t="str">
        <f>IFERROR(__xludf.DUMMYFUNCTION("""COMPUTED_VALUE"""),"MOCHILA LAPTOP TODO DIA PRETA E CARAMELO")</f>
        <v>MOCHILA LAPTOP TODO DIA PRETA E CARAMELO</v>
      </c>
      <c r="D4086" s="186" t="str">
        <f>IFERROR(__xludf.DUMMYFUNCTION("""COMPUTED_VALUE"""),"FALSO")</f>
        <v>FALSO</v>
      </c>
    </row>
    <row r="4087">
      <c r="B4087" s="186" t="str">
        <f>IFERROR(__xludf.DUMMYFUNCTION("""COMPUTED_VALUE"""),"PI5587Y")</f>
        <v>PI5587Y</v>
      </c>
      <c r="C4087" s="186" t="str">
        <f>IFERROR(__xludf.DUMMYFUNCTION("""COMPUTED_VALUE"""),"MOCHILA LAPTOP TODO DIA BORDO E CARAMELO")</f>
        <v>MOCHILA LAPTOP TODO DIA BORDO E CARAMELO</v>
      </c>
      <c r="D4087" s="186" t="str">
        <f>IFERROR(__xludf.DUMMYFUNCTION("""COMPUTED_VALUE"""),"FALSO")</f>
        <v>FALSO</v>
      </c>
    </row>
    <row r="4088">
      <c r="B4088" s="186" t="str">
        <f>IFERROR(__xludf.DUMMYFUNCTION("""COMPUTED_VALUE"""),"PI5012Y")</f>
        <v>PI5012Y</v>
      </c>
      <c r="C4088" s="186" t="str">
        <f>IFERROR(__xludf.DUMMYFUNCTION("""COMPUTED_VALUE"""),"MOCHILA LAPTOP TODO DIA BORDO")</f>
        <v>MOCHILA LAPTOP TODO DIA BORDO</v>
      </c>
      <c r="D4088" s="186" t="str">
        <f>IFERROR(__xludf.DUMMYFUNCTION("""COMPUTED_VALUE"""),"FALSO")</f>
        <v>FALSO</v>
      </c>
    </row>
    <row r="4089">
      <c r="B4089" s="186" t="str">
        <f>IFERROR(__xludf.DUMMYFUNCTION("""COMPUTED_VALUE"""),"PI6382Y")</f>
        <v>PI6382Y</v>
      </c>
      <c r="C4089" s="186" t="str">
        <f>IFERROR(__xludf.DUMMYFUNCTION("""COMPUTED_VALUE"""),"MOCHILA LAPTOP TODO DIA MARINHO CARAMELO")</f>
        <v>MOCHILA LAPTOP TODO DIA MARINHO CARAMELO</v>
      </c>
      <c r="D4089" s="186" t="str">
        <f>IFERROR(__xludf.DUMMYFUNCTION("""COMPUTED_VALUE"""),"FALSO")</f>
        <v>FALSO</v>
      </c>
    </row>
    <row r="4090">
      <c r="B4090" s="186" t="str">
        <f>IFERROR(__xludf.DUMMYFUNCTION("""COMPUTED_VALUE"""),"PI6468Y")</f>
        <v>PI6468Y</v>
      </c>
      <c r="C4090" s="186" t="str">
        <f>IFERROR(__xludf.DUMMYFUNCTION("""COMPUTED_VALUE"""),"MOCHILA LAPTOP TODO DIA PRETO E CARAMELO")</f>
        <v>MOCHILA LAPTOP TODO DIA PRETO E CARAMELO</v>
      </c>
      <c r="D4090" s="186" t="str">
        <f>IFERROR(__xludf.DUMMYFUNCTION("""COMPUTED_VALUE"""),"FALSO")</f>
        <v>FALSO</v>
      </c>
    </row>
    <row r="4091">
      <c r="B4091" s="186" t="str">
        <f>IFERROR(__xludf.DUMMYFUNCTION("""COMPUTED_VALUE"""),"PI6469Y")</f>
        <v>PI6469Y</v>
      </c>
      <c r="C4091" s="186" t="str">
        <f>IFERROR(__xludf.DUMMYFUNCTION("""COMPUTED_VALUE"""),"MOCHILA LAPTOP TODO DIA BORDO E CARAMELO")</f>
        <v>MOCHILA LAPTOP TODO DIA BORDO E CARAMELO</v>
      </c>
      <c r="D4091" s="186" t="str">
        <f>IFERROR(__xludf.DUMMYFUNCTION("""COMPUTED_VALUE"""),"FALSO")</f>
        <v>FALSO</v>
      </c>
    </row>
    <row r="4092">
      <c r="B4092" s="186" t="str">
        <f>IFERROR(__xludf.DUMMYFUNCTION("""COMPUTED_VALUE"""),"PI6404Y")</f>
        <v>PI6404Y</v>
      </c>
      <c r="C4092" s="186" t="str">
        <f>IFERROR(__xludf.DUMMYFUNCTION("""COMPUTED_VALUE"""),"MOCHILA LAPTOP HP MAPA DO MAROTO")</f>
        <v>MOCHILA LAPTOP HP MAPA DO MAROTO</v>
      </c>
      <c r="D4092" s="186" t="str">
        <f>IFERROR(__xludf.DUMMYFUNCTION("""COMPUTED_VALUE"""),"FALSO")</f>
        <v>FALSO</v>
      </c>
    </row>
    <row r="4093">
      <c r="B4093" s="186" t="str">
        <f>IFERROR(__xludf.DUMMYFUNCTION("""COMPUTED_VALUE"""),"PI6404Y")</f>
        <v>PI6404Y</v>
      </c>
      <c r="C4093" s="186" t="str">
        <f>IFERROR(__xludf.DUMMYFUNCTION("""COMPUTED_VALUE"""),"MOCHILA LAPTOP HP MAPA DO MAROTO")</f>
        <v>MOCHILA LAPTOP HP MAPA DO MAROTO</v>
      </c>
      <c r="D4093" s="186" t="str">
        <f>IFERROR(__xludf.DUMMYFUNCTION("""COMPUTED_VALUE"""),"FALSO")</f>
        <v>FALSO</v>
      </c>
    </row>
    <row r="4094">
      <c r="B4094" s="186" t="str">
        <f>IFERROR(__xludf.DUMMYFUNCTION("""COMPUTED_VALUE"""),"PI6404Y")</f>
        <v>PI6404Y</v>
      </c>
      <c r="C4094" s="186" t="str">
        <f>IFERROR(__xludf.DUMMYFUNCTION("""COMPUTED_VALUE"""),"MOCHILA LAPTOP HP MAPA DO MAROTO")</f>
        <v>MOCHILA LAPTOP HP MAPA DO MAROTO</v>
      </c>
      <c r="D4094" s="186" t="str">
        <f>IFERROR(__xludf.DUMMYFUNCTION("""COMPUTED_VALUE"""),"FALSO")</f>
        <v>FALSO</v>
      </c>
    </row>
    <row r="4095">
      <c r="B4095" s="186" t="str">
        <f>IFERROR(__xludf.DUMMYFUNCTION("""COMPUTED_VALUE"""),"PI6404Y")</f>
        <v>PI6404Y</v>
      </c>
      <c r="C4095" s="186" t="str">
        <f>IFERROR(__xludf.DUMMYFUNCTION("""COMPUTED_VALUE"""),"MOCHILA LAPTOP HP MAPA DO MAROTO")</f>
        <v>MOCHILA LAPTOP HP MAPA DO MAROTO</v>
      </c>
      <c r="D4095" s="186" t="str">
        <f>IFERROR(__xludf.DUMMYFUNCTION("""COMPUTED_VALUE"""),"FALSO")</f>
        <v>FALSO</v>
      </c>
    </row>
    <row r="4096">
      <c r="B4096" s="186" t="str">
        <f>IFERROR(__xludf.DUMMYFUNCTION("""COMPUTED_VALUE"""),"PI6404Y")</f>
        <v>PI6404Y</v>
      </c>
      <c r="C4096" s="186" t="str">
        <f>IFERROR(__xludf.DUMMYFUNCTION("""COMPUTED_VALUE"""),"MOCHILA LAPTOP HP MAPA DO MAROTO")</f>
        <v>MOCHILA LAPTOP HP MAPA DO MAROTO</v>
      </c>
      <c r="D4096" s="186" t="str">
        <f>IFERROR(__xludf.DUMMYFUNCTION("""COMPUTED_VALUE"""),"FALSO")</f>
        <v>FALSO</v>
      </c>
    </row>
    <row r="4097">
      <c r="B4097" s="186" t="str">
        <f>IFERROR(__xludf.DUMMYFUNCTION("""COMPUTED_VALUE"""),"PI7407Y")</f>
        <v>PI7407Y</v>
      </c>
      <c r="C4097" s="186" t="str">
        <f>IFERROR(__xludf.DUMMYFUNCTION("""COMPUTED_VALUE"""),"MOCHILA LAPTOP ROSA E VERMELHA")</f>
        <v>MOCHILA LAPTOP ROSA E VERMELHA</v>
      </c>
      <c r="D4097" s="186" t="str">
        <f>IFERROR(__xludf.DUMMYFUNCTION("""COMPUTED_VALUE"""),"FALSO")</f>
        <v>FALSO</v>
      </c>
    </row>
    <row r="4098">
      <c r="B4098" s="186" t="str">
        <f>IFERROR(__xludf.DUMMYFUNCTION("""COMPUTED_VALUE"""),"PI6401Y")</f>
        <v>PI6401Y</v>
      </c>
      <c r="C4098" s="186" t="str">
        <f>IFERROR(__xludf.DUMMYFUNCTION("""COMPUTED_VALUE"""),"MOCHILA LAPTOP BOLSOS CLARA")</f>
        <v>MOCHILA LAPTOP BOLSOS CLARA</v>
      </c>
      <c r="D4098" s="186" t="str">
        <f>IFERROR(__xludf.DUMMYFUNCTION("""COMPUTED_VALUE"""),"FALSO")</f>
        <v>FALSO</v>
      </c>
    </row>
    <row r="4099">
      <c r="B4099" s="186" t="str">
        <f>IFERROR(__xludf.DUMMYFUNCTION("""COMPUTED_VALUE"""),"PI6401Y")</f>
        <v>PI6401Y</v>
      </c>
      <c r="C4099" s="186" t="str">
        <f>IFERROR(__xludf.DUMMYFUNCTION("""COMPUTED_VALUE"""),"MOCHILA LAPTOP BOLSOS CLARA")</f>
        <v>MOCHILA LAPTOP BOLSOS CLARA</v>
      </c>
      <c r="D4099" s="186" t="str">
        <f>IFERROR(__xludf.DUMMYFUNCTION("""COMPUTED_VALUE"""),"FALSO")</f>
        <v>FALSO</v>
      </c>
    </row>
    <row r="4100">
      <c r="B4100" s="186" t="str">
        <f>IFERROR(__xludf.DUMMYFUNCTION("""COMPUTED_VALUE"""),"PI6401Y")</f>
        <v>PI6401Y</v>
      </c>
      <c r="C4100" s="186" t="str">
        <f>IFERROR(__xludf.DUMMYFUNCTION("""COMPUTED_VALUE"""),"MOCHILA LAPTOP BOLSOS CLARA")</f>
        <v>MOCHILA LAPTOP BOLSOS CLARA</v>
      </c>
      <c r="D4100" s="186" t="str">
        <f>IFERROR(__xludf.DUMMYFUNCTION("""COMPUTED_VALUE"""),"FALSO")</f>
        <v>FALSO</v>
      </c>
    </row>
    <row r="4101">
      <c r="B4101" s="186" t="str">
        <f>IFERROR(__xludf.DUMMYFUNCTION("""COMPUTED_VALUE"""),"PI6401Y")</f>
        <v>PI6401Y</v>
      </c>
      <c r="C4101" s="186" t="str">
        <f>IFERROR(__xludf.DUMMYFUNCTION("""COMPUTED_VALUE"""),"MOCHILA LAPTOP BOLSOS CLARA")</f>
        <v>MOCHILA LAPTOP BOLSOS CLARA</v>
      </c>
      <c r="D4101" s="186" t="str">
        <f>IFERROR(__xludf.DUMMYFUNCTION("""COMPUTED_VALUE"""),"FALSO")</f>
        <v>FALSO</v>
      </c>
    </row>
    <row r="4102">
      <c r="B4102" s="186" t="str">
        <f>IFERROR(__xludf.DUMMYFUNCTION("""COMPUTED_VALUE"""),"PI6385Y")</f>
        <v>PI6385Y</v>
      </c>
      <c r="C4102" s="186" t="str">
        <f>IFERROR(__xludf.DUMMYFUNCTION("""COMPUTED_VALUE"""),"MOCHILA LAPTOP LISTRADA")</f>
        <v>MOCHILA LAPTOP LISTRADA</v>
      </c>
      <c r="D4102" s="186" t="str">
        <f>IFERROR(__xludf.DUMMYFUNCTION("""COMPUTED_VALUE"""),"FALSO")</f>
        <v>FALSO</v>
      </c>
    </row>
    <row r="4103">
      <c r="B4103" s="186" t="str">
        <f>IFERROR(__xludf.DUMMYFUNCTION("""COMPUTED_VALUE"""),"PI6643Y")</f>
        <v>PI6643Y</v>
      </c>
      <c r="C4103" s="186" t="str">
        <f>IFERROR(__xludf.DUMMYFUNCTION("""COMPUTED_VALUE"""),"MOCHILA LAPTOP EMBORRACHADA PRETO")</f>
        <v>MOCHILA LAPTOP EMBORRACHADA PRETO</v>
      </c>
      <c r="D4103" s="186" t="str">
        <f>IFERROR(__xludf.DUMMYFUNCTION("""COMPUTED_VALUE"""),"FALSO")</f>
        <v>FALSO</v>
      </c>
    </row>
    <row r="4104">
      <c r="B4104" s="186" t="str">
        <f>IFERROR(__xludf.DUMMYFUNCTION("""COMPUTED_VALUE"""),"PI5608Y")</f>
        <v>PI5608Y</v>
      </c>
      <c r="C4104" s="186" t="str">
        <f>IFERROR(__xludf.DUMMYFUNCTION("""COMPUTED_VALUE"""),"MOCHILA LAPTOP SPORT VAI MAS VOLTA")</f>
        <v>MOCHILA LAPTOP SPORT VAI MAS VOLTA</v>
      </c>
      <c r="D4104" s="186" t="str">
        <f>IFERROR(__xludf.DUMMYFUNCTION("""COMPUTED_VALUE"""),"FALSO")</f>
        <v>FALSO</v>
      </c>
    </row>
    <row r="4105">
      <c r="B4105" s="186" t="str">
        <f>IFERROR(__xludf.DUMMYFUNCTION("""COMPUTED_VALUE"""),"PI5609Y")</f>
        <v>PI5609Y</v>
      </c>
      <c r="C4105" s="186" t="str">
        <f>IFERROR(__xludf.DUMMYFUNCTION("""COMPUTED_VALUE"""),"MOCHILA LAPTOP SPORT CINZA")</f>
        <v>MOCHILA LAPTOP SPORT CINZA</v>
      </c>
      <c r="D4105" s="186" t="str">
        <f>IFERROR(__xludf.DUMMYFUNCTION("""COMPUTED_VALUE"""),"FALSO")</f>
        <v>FALSO</v>
      </c>
    </row>
    <row r="4106">
      <c r="B4106" s="186" t="str">
        <f>IFERROR(__xludf.DUMMYFUNCTION("""COMPUTED_VALUE"""),"PI5621Y")</f>
        <v>PI5621Y</v>
      </c>
      <c r="C4106" s="186" t="str">
        <f>IFERROR(__xludf.DUMMYFUNCTION("""COMPUTED_VALUE"""),"MOCHILA LAPTOP STRAP PRETA")</f>
        <v>MOCHILA LAPTOP STRAP PRETA</v>
      </c>
      <c r="D4106" s="186" t="str">
        <f>IFERROR(__xludf.DUMMYFUNCTION("""COMPUTED_VALUE"""),"FALSO")</f>
        <v>FALSO</v>
      </c>
    </row>
    <row r="4107">
      <c r="B4107" s="186" t="str">
        <f>IFERROR(__xludf.DUMMYFUNCTION("""COMPUTED_VALUE"""),"PI5604Y")</f>
        <v>PI5604Y</v>
      </c>
      <c r="C4107" s="186" t="str">
        <f>IFERROR(__xludf.DUMMYFUNCTION("""COMPUTED_VALUE"""),"MOCHILA LAPTOP STRAP CARAMELO E BORDO")</f>
        <v>MOCHILA LAPTOP STRAP CARAMELO E BORDO</v>
      </c>
      <c r="D4107" s="186" t="str">
        <f>IFERROR(__xludf.DUMMYFUNCTION("""COMPUTED_VALUE"""),"FALSO")</f>
        <v>FALSO</v>
      </c>
    </row>
    <row r="4108">
      <c r="B4108" s="186" t="str">
        <f>IFERROR(__xludf.DUMMYFUNCTION("""COMPUTED_VALUE"""),"PI6387Y")</f>
        <v>PI6387Y</v>
      </c>
      <c r="C4108" s="186" t="str">
        <f>IFERROR(__xludf.DUMMYFUNCTION("""COMPUTED_VALUE"""),"MOCHILA LAPTOP ALCAS CORACOES")</f>
        <v>MOCHILA LAPTOP ALCAS CORACOES</v>
      </c>
      <c r="D4108" s="186" t="str">
        <f>IFERROR(__xludf.DUMMYFUNCTION("""COMPUTED_VALUE"""),"FALSO")</f>
        <v>FALSO</v>
      </c>
    </row>
    <row r="4109">
      <c r="B4109" s="186" t="str">
        <f>IFERROR(__xludf.DUMMYFUNCTION("""COMPUTED_VALUE"""),"PI6390Y")</f>
        <v>PI6390Y</v>
      </c>
      <c r="C4109" s="186" t="str">
        <f>IFERROR(__xludf.DUMMYFUNCTION("""COMPUTED_VALUE"""),"MOCHILA LAPTOP ALCAS SEU TEMPO")</f>
        <v>MOCHILA LAPTOP ALCAS SEU TEMPO</v>
      </c>
      <c r="D4109" s="186" t="str">
        <f>IFERROR(__xludf.DUMMYFUNCTION("""COMPUTED_VALUE"""),"FALSO")</f>
        <v>FALSO</v>
      </c>
    </row>
    <row r="4110">
      <c r="B4110" s="186" t="str">
        <f>IFERROR(__xludf.DUMMYFUNCTION("""COMPUTED_VALUE"""),"PI6089Y")</f>
        <v>PI6089Y</v>
      </c>
      <c r="C4110" s="186" t="str">
        <f>IFERROR(__xludf.DUMMYFUNCTION("""COMPUTED_VALUE"""),"MOCHILA LAPTOP UTILITARIA PRETA METAIS")</f>
        <v>MOCHILA LAPTOP UTILITARIA PRETA METAIS</v>
      </c>
      <c r="D4110" s="186" t="str">
        <f>IFERROR(__xludf.DUMMYFUNCTION("""COMPUTED_VALUE"""),"FALSO")</f>
        <v>FALSO</v>
      </c>
    </row>
    <row r="4111">
      <c r="B4111" s="186" t="str">
        <f>IFERROR(__xludf.DUMMYFUNCTION("""COMPUTED_VALUE"""),"PI6089Y")</f>
        <v>PI6089Y</v>
      </c>
      <c r="C4111" s="186" t="str">
        <f>IFERROR(__xludf.DUMMYFUNCTION("""COMPUTED_VALUE"""),"MOCHILA LAPTOP UTILITARIA PRETA METAIS")</f>
        <v>MOCHILA LAPTOP UTILITARIA PRETA METAIS</v>
      </c>
      <c r="D4111" s="186" t="str">
        <f>IFERROR(__xludf.DUMMYFUNCTION("""COMPUTED_VALUE"""),"FALSO")</f>
        <v>FALSO</v>
      </c>
    </row>
    <row r="4112">
      <c r="B4112" s="186" t="str">
        <f>IFERROR(__xludf.DUMMYFUNCTION("""COMPUTED_VALUE"""),"PI6089Y")</f>
        <v>PI6089Y</v>
      </c>
      <c r="C4112" s="186" t="str">
        <f>IFERROR(__xludf.DUMMYFUNCTION("""COMPUTED_VALUE"""),"MOCHILA LAPTOP UTILITARIA PRETA METAIS")</f>
        <v>MOCHILA LAPTOP UTILITARIA PRETA METAIS</v>
      </c>
      <c r="D4112" s="186" t="str">
        <f>IFERROR(__xludf.DUMMYFUNCTION("""COMPUTED_VALUE"""),"FALSO")</f>
        <v>FALSO</v>
      </c>
    </row>
    <row r="4113">
      <c r="B4113" s="186" t="str">
        <f>IFERROR(__xludf.DUMMYFUNCTION("""COMPUTED_VALUE"""),"PI7592Y")</f>
        <v>PI7592Y</v>
      </c>
      <c r="C4113" s="186" t="str">
        <f>IFERROR(__xludf.DUMMYFUNCTION("""COMPUTED_VALUE"""),"MOCHILA LAPTOP COM ACESSORIO PRETA")</f>
        <v>MOCHILA LAPTOP COM ACESSORIO PRETA</v>
      </c>
      <c r="D4113" s="186" t="str">
        <f>IFERROR(__xludf.DUMMYFUNCTION("""COMPUTED_VALUE"""),"FALSO")</f>
        <v>FALSO</v>
      </c>
    </row>
    <row r="4114">
      <c r="B4114" s="186" t="str">
        <f>IFERROR(__xludf.DUMMYFUNCTION("""COMPUTED_VALUE"""),"PI7643Y")</f>
        <v>PI7643Y</v>
      </c>
      <c r="C4114" s="186" t="str">
        <f>IFERROR(__xludf.DUMMYFUNCTION("""COMPUTED_VALUE"""),"MOCHILA LAPTOP COM ACESSORIO VERDE")</f>
        <v>MOCHILA LAPTOP COM ACESSORIO VERDE</v>
      </c>
      <c r="D4114" s="186" t="str">
        <f>IFERROR(__xludf.DUMMYFUNCTION("""COMPUTED_VALUE"""),"FALSO")</f>
        <v>FALSO</v>
      </c>
    </row>
    <row r="4115">
      <c r="B4115" s="186"/>
      <c r="C4115" s="186"/>
      <c r="D4115" s="186"/>
    </row>
    <row r="4116">
      <c r="B4116" s="186" t="str">
        <f>IFERROR(__xludf.DUMMYFUNCTION("""COMPUTED_VALUE"""),"PI6397Y")</f>
        <v>PI6397Y</v>
      </c>
      <c r="C4116" s="186" t="str">
        <f>IFERROR(__xludf.DUMMYFUNCTION("""COMPUTED_VALUE"""),"MOCHILA E BOLSO TERMICO REMOVIVEL PRETA")</f>
        <v>MOCHILA E BOLSO TERMICO REMOVIVEL PRETA</v>
      </c>
      <c r="D4116" s="186" t="str">
        <f>IFERROR(__xludf.DUMMYFUNCTION("""COMPUTED_VALUE"""),"FALSO")</f>
        <v>FALSO</v>
      </c>
    </row>
    <row r="4117">
      <c r="B4117" s="186" t="str">
        <f>IFERROR(__xludf.DUMMYFUNCTION("""COMPUTED_VALUE"""),"PI6856Y")</f>
        <v>PI6856Y</v>
      </c>
      <c r="C4117" s="186" t="str">
        <f>IFERROR(__xludf.DUMMYFUNCTION("""COMPUTED_VALUE"""),"MOCHILA HP LUNA COM NECESSAIRE REMOVIVEL")</f>
        <v>MOCHILA HP LUNA COM NECESSAIRE REMOVIVEL</v>
      </c>
      <c r="D4117" s="186" t="str">
        <f>IFERROR(__xludf.DUMMYFUNCTION("""COMPUTED_VALUE"""),"FALSO")</f>
        <v>FALSO</v>
      </c>
    </row>
    <row r="4118">
      <c r="B4118" s="186" t="str">
        <f>IFERROR(__xludf.DUMMYFUNCTION("""COMPUTED_VALUE"""),"PI7282Y")</f>
        <v>PI7282Y</v>
      </c>
      <c r="C4118" s="186" t="str">
        <f>IFERROR(__xludf.DUMMYFUNCTION("""COMPUTED_VALUE"""),"MOCHILA MATERNIDADE COM TROCADOR")</f>
        <v>MOCHILA MATERNIDADE COM TROCADOR</v>
      </c>
      <c r="D4118" s="186" t="str">
        <f>IFERROR(__xludf.DUMMYFUNCTION("""COMPUTED_VALUE"""),"FALSO")</f>
        <v>FALSO</v>
      </c>
    </row>
    <row r="4119">
      <c r="B4119" s="186" t="str">
        <f>IFERROR(__xludf.DUMMYFUNCTION("""COMPUTED_VALUE"""),"PI6402Y")</f>
        <v>PI6402Y</v>
      </c>
      <c r="C4119" s="186" t="str">
        <f>IFERROR(__xludf.DUMMYFUNCTION("""COMPUTED_VALUE"""),"MOCHILA MATERNIDADE COM ACESSORIOS POA")</f>
        <v>MOCHILA MATERNIDADE COM ACESSORIOS POA</v>
      </c>
      <c r="D4119" s="186" t="str">
        <f>IFERROR(__xludf.DUMMYFUNCTION("""COMPUTED_VALUE"""),"FALSO")</f>
        <v>FALSO</v>
      </c>
    </row>
    <row r="4120">
      <c r="B4120" s="186" t="str">
        <f>IFERROR(__xludf.DUMMYFUNCTION("""COMPUTED_VALUE"""),"PI6942Y")</f>
        <v>PI6942Y</v>
      </c>
      <c r="C4120" s="186" t="str">
        <f>IFERROR(__xludf.DUMMYFUNCTION("""COMPUTED_VALUE"""),"MOCHILA LAPTOP ESTAMPA BEIJA FLOR")</f>
        <v>MOCHILA LAPTOP ESTAMPA BEIJA FLOR</v>
      </c>
      <c r="D4120" s="186" t="str">
        <f>IFERROR(__xludf.DUMMYFUNCTION("""COMPUTED_VALUE"""),"FALSO")</f>
        <v>FALSO</v>
      </c>
    </row>
    <row r="4121">
      <c r="B4121" s="186" t="str">
        <f>IFERROR(__xludf.DUMMYFUNCTION("""COMPUTED_VALUE"""),"PI6881Y")</f>
        <v>PI6881Y</v>
      </c>
      <c r="C4121" s="186" t="str">
        <f>IFERROR(__xludf.DUMMYFUNCTION("""COMPUTED_VALUE"""),"MOCHILA LAPTOP BOLSOS PRETO")</f>
        <v>MOCHILA LAPTOP BOLSOS PRETO</v>
      </c>
      <c r="D4121" s="186" t="str">
        <f>IFERROR(__xludf.DUMMYFUNCTION("""COMPUTED_VALUE"""),"FALSO")</f>
        <v>FALSO</v>
      </c>
    </row>
    <row r="4122">
      <c r="B4122" s="186" t="str">
        <f>IFERROR(__xludf.DUMMYFUNCTION("""COMPUTED_VALUE"""),"PI6881Y")</f>
        <v>PI6881Y</v>
      </c>
      <c r="C4122" s="186" t="str">
        <f>IFERROR(__xludf.DUMMYFUNCTION("""COMPUTED_VALUE"""),"MOCHILA LAPTOP BOLSOS PRETO")</f>
        <v>MOCHILA LAPTOP BOLSOS PRETO</v>
      </c>
      <c r="D4122" s="186" t="str">
        <f>IFERROR(__xludf.DUMMYFUNCTION("""COMPUTED_VALUE"""),"FALSO")</f>
        <v>FALSO</v>
      </c>
    </row>
    <row r="4123">
      <c r="B4123" s="186" t="str">
        <f>IFERROR(__xludf.DUMMYFUNCTION("""COMPUTED_VALUE"""),"PI6881Y")</f>
        <v>PI6881Y</v>
      </c>
      <c r="C4123" s="186" t="str">
        <f>IFERROR(__xludf.DUMMYFUNCTION("""COMPUTED_VALUE"""),"MOCHILA LAPTOP BOLSOS PRETO")</f>
        <v>MOCHILA LAPTOP BOLSOS PRETO</v>
      </c>
      <c r="D4123" s="186" t="str">
        <f>IFERROR(__xludf.DUMMYFUNCTION("""COMPUTED_VALUE"""),"FALSO")</f>
        <v>FALSO</v>
      </c>
    </row>
    <row r="4124">
      <c r="B4124" s="186" t="str">
        <f>IFERROR(__xludf.DUMMYFUNCTION("""COMPUTED_VALUE"""),"PI6881Y")</f>
        <v>PI6881Y</v>
      </c>
      <c r="C4124" s="186" t="str">
        <f>IFERROR(__xludf.DUMMYFUNCTION("""COMPUTED_VALUE"""),"MOCHILA LAPTOP BOLSOS PRETO")</f>
        <v>MOCHILA LAPTOP BOLSOS PRETO</v>
      </c>
      <c r="D4124" s="186" t="str">
        <f>IFERROR(__xludf.DUMMYFUNCTION("""COMPUTED_VALUE"""),"FALSO")</f>
        <v>FALSO</v>
      </c>
    </row>
    <row r="4125">
      <c r="B4125" s="186" t="str">
        <f>IFERROR(__xludf.DUMMYFUNCTION("""COMPUTED_VALUE"""),"PI6713Y")</f>
        <v>PI6713Y</v>
      </c>
      <c r="C4125" s="186" t="str">
        <f>IFERROR(__xludf.DUMMYFUNCTION("""COMPUTED_VALUE"""),"MOCHILA E BOLSO TERMICO REMOVIVEL VERDE")</f>
        <v>MOCHILA E BOLSO TERMICO REMOVIVEL VERDE</v>
      </c>
      <c r="D4125" s="186" t="str">
        <f>IFERROR(__xludf.DUMMYFUNCTION("""COMPUTED_VALUE"""),"FALSO")</f>
        <v>FALSO</v>
      </c>
    </row>
    <row r="4126">
      <c r="B4126" s="186" t="str">
        <f>IFERROR(__xludf.DUMMYFUNCTION("""COMPUTED_VALUE"""),"PI7481Y")</f>
        <v>PI7481Y</v>
      </c>
      <c r="C4126" s="186" t="str">
        <f>IFERROR(__xludf.DUMMYFUNCTION("""COMPUTED_VALUE"""),"MOCHILA LAPTOP BOLSOS AZUL MARINHO")</f>
        <v>MOCHILA LAPTOP BOLSOS AZUL MARINHO</v>
      </c>
      <c r="D4126" s="186" t="str">
        <f>IFERROR(__xludf.DUMMYFUNCTION("""COMPUTED_VALUE"""),"FALSO")</f>
        <v>FALSO</v>
      </c>
    </row>
    <row r="4127">
      <c r="B4127" s="186" t="str">
        <f>IFERROR(__xludf.DUMMYFUNCTION("""COMPUTED_VALUE"""),"PI6383Y")</f>
        <v>PI6383Y</v>
      </c>
      <c r="C4127" s="186" t="str">
        <f>IFERROR(__xludf.DUMMYFUNCTION("""COMPUTED_VALUE"""),"MOCHILA LAPTOP MATELASSE PRETA")</f>
        <v>MOCHILA LAPTOP MATELASSE PRETA</v>
      </c>
      <c r="D4127" s="186" t="str">
        <f>IFERROR(__xludf.DUMMYFUNCTION("""COMPUTED_VALUE"""),"FALSO")</f>
        <v>FALSO</v>
      </c>
    </row>
    <row r="4128">
      <c r="B4128" s="186" t="str">
        <f>IFERROR(__xludf.DUMMYFUNCTION("""COMPUTED_VALUE"""),"PI6963Y")</f>
        <v>PI6963Y</v>
      </c>
      <c r="C4128" s="186" t="str">
        <f>IFERROR(__xludf.DUMMYFUNCTION("""COMPUTED_VALUE"""),"MOCHILA LAPTOP ROLE CANELADA VERDINHA")</f>
        <v>MOCHILA LAPTOP ROLE CANELADA VERDINHA</v>
      </c>
      <c r="D4128" s="186" t="str">
        <f>IFERROR(__xludf.DUMMYFUNCTION("""COMPUTED_VALUE"""),"FALSO")</f>
        <v>FALSO</v>
      </c>
    </row>
    <row r="4129">
      <c r="B4129" s="186" t="str">
        <f>IFERROR(__xludf.DUMMYFUNCTION("""COMPUTED_VALUE"""),"PI6384Y")</f>
        <v>PI6384Y</v>
      </c>
      <c r="C4129" s="186" t="str">
        <f>IFERROR(__xludf.DUMMYFUNCTION("""COMPUTED_VALUE"""),"MOCHILA LAPTOP COTELE CORAL")</f>
        <v>MOCHILA LAPTOP COTELE CORAL</v>
      </c>
      <c r="D4129" s="186" t="str">
        <f>IFERROR(__xludf.DUMMYFUNCTION("""COMPUTED_VALUE"""),"FALSO")</f>
        <v>FALSO</v>
      </c>
    </row>
    <row r="4130">
      <c r="B4130" s="186" t="str">
        <f>IFERROR(__xludf.DUMMYFUNCTION("""COMPUTED_VALUE"""),"PI5595Y")</f>
        <v>PI5595Y</v>
      </c>
      <c r="C4130" s="186" t="str">
        <f>IFERROR(__xludf.DUMMYFUNCTION("""COMPUTED_VALUE"""),"MOCHILA ROLE POAS")</f>
        <v>MOCHILA ROLE POAS</v>
      </c>
      <c r="D4130" s="186" t="str">
        <f>IFERROR(__xludf.DUMMYFUNCTION("""COMPUTED_VALUE"""),"FALSO")</f>
        <v>FALSO</v>
      </c>
    </row>
    <row r="4131">
      <c r="B4131" s="186" t="str">
        <f>IFERROR(__xludf.DUMMYFUNCTION("""COMPUTED_VALUE"""),"PI6392Y")</f>
        <v>PI6392Y</v>
      </c>
      <c r="C4131" s="186" t="str">
        <f>IFERROR(__xludf.DUMMYFUNCTION("""COMPUTED_VALUE"""),"MOCHILA ROLE GALAXIA MARINHO")</f>
        <v>MOCHILA ROLE GALAXIA MARINHO</v>
      </c>
      <c r="D4131" s="186" t="str">
        <f>IFERROR(__xludf.DUMMYFUNCTION("""COMPUTED_VALUE"""),"FALSO")</f>
        <v>FALSO</v>
      </c>
    </row>
    <row r="4132">
      <c r="B4132" s="186" t="str">
        <f>IFERROR(__xludf.DUMMYFUNCTION("""COMPUTED_VALUE"""),"PI5630Y")</f>
        <v>PI5630Y</v>
      </c>
      <c r="C4132" s="186" t="str">
        <f>IFERROR(__xludf.DUMMYFUNCTION("""COMPUTED_VALUE"""),"MOCHILA ROLE ESTAMPA DEIXA FLUIR")</f>
        <v>MOCHILA ROLE ESTAMPA DEIXA FLUIR</v>
      </c>
      <c r="D4132" s="186" t="str">
        <f>IFERROR(__xludf.DUMMYFUNCTION("""COMPUTED_VALUE"""),"FALSO")</f>
        <v>FALSO</v>
      </c>
    </row>
    <row r="4133">
      <c r="B4133" s="186" t="str">
        <f>IFERROR(__xludf.DUMMYFUNCTION("""COMPUTED_VALUE"""),"PI5667Y")</f>
        <v>PI5667Y</v>
      </c>
      <c r="C4133" s="186" t="str">
        <f>IFERROR(__xludf.DUMMYFUNCTION("""COMPUTED_VALUE"""),"MOCHILA ROLE LISTRAS CANVAS")</f>
        <v>MOCHILA ROLE LISTRAS CANVAS</v>
      </c>
      <c r="D4133" s="186" t="str">
        <f>IFERROR(__xludf.DUMMYFUNCTION("""COMPUTED_VALUE"""),"FALSO")</f>
        <v>FALSO</v>
      </c>
    </row>
    <row r="4134">
      <c r="B4134" s="186" t="str">
        <f>IFERROR(__xludf.DUMMYFUNCTION("""COMPUTED_VALUE"""),"PI6883Y")</f>
        <v>PI6883Y</v>
      </c>
      <c r="C4134" s="186" t="str">
        <f>IFERROR(__xludf.DUMMYFUNCTION("""COMPUTED_VALUE"""),"MOCHILA EMBORRACHADA BOLSOS PRETO")</f>
        <v>MOCHILA EMBORRACHADA BOLSOS PRETO</v>
      </c>
      <c r="D4134" s="186" t="str">
        <f>IFERROR(__xludf.DUMMYFUNCTION("""COMPUTED_VALUE"""),"FALSO")</f>
        <v>FALSO</v>
      </c>
    </row>
    <row r="4135">
      <c r="B4135" s="186" t="str">
        <f>IFERROR(__xludf.DUMMYFUNCTION("""COMPUTED_VALUE"""),"PI6709Y")</f>
        <v>PI6709Y</v>
      </c>
      <c r="C4135" s="186" t="str">
        <f>IFERROR(__xludf.DUMMYFUNCTION("""COMPUTED_VALUE"""),"MOCHILA SHERPA CLARA")</f>
        <v>MOCHILA SHERPA CLARA</v>
      </c>
      <c r="D4135" s="186" t="str">
        <f>IFERROR(__xludf.DUMMYFUNCTION("""COMPUTED_VALUE"""),"FALSO")</f>
        <v>FALSO</v>
      </c>
    </row>
    <row r="4136">
      <c r="B4136" s="186" t="str">
        <f>IFERROR(__xludf.DUMMYFUNCTION("""COMPUTED_VALUE"""),"PI5611Y")</f>
        <v>PI5611Y</v>
      </c>
      <c r="C4136" s="186" t="str">
        <f>IFERROR(__xludf.DUMMYFUNCTION("""COMPUTED_VALUE"""),"MOCHILA SLIM Y2K JEANS")</f>
        <v>MOCHILA SLIM Y2K JEANS</v>
      </c>
      <c r="D4136" s="186" t="str">
        <f>IFERROR(__xludf.DUMMYFUNCTION("""COMPUTED_VALUE"""),"FALSO")</f>
        <v>FALSO</v>
      </c>
    </row>
    <row r="4137">
      <c r="B4137" s="186" t="str">
        <f>IFERROR(__xludf.DUMMYFUNCTION("""COMPUTED_VALUE"""),"PI5672Y")</f>
        <v>PI5672Y</v>
      </c>
      <c r="C4137" s="186" t="str">
        <f>IFERROR(__xludf.DUMMYFUNCTION("""COMPUTED_VALUE"""),"MOCHILA SOFT MINI AZUL")</f>
        <v>MOCHILA SOFT MINI AZUL</v>
      </c>
      <c r="D4137" s="186" t="str">
        <f>IFERROR(__xludf.DUMMYFUNCTION("""COMPUTED_VALUE"""),"FALSO")</f>
        <v>FALSO</v>
      </c>
    </row>
    <row r="4138">
      <c r="B4138" s="186" t="str">
        <f>IFERROR(__xludf.DUMMYFUNCTION("""COMPUTED_VALUE"""),"PI5668Y")</f>
        <v>PI5668Y</v>
      </c>
      <c r="C4138" s="186" t="str">
        <f>IFERROR(__xludf.DUMMYFUNCTION("""COMPUTED_VALUE"""),"MOCHILA STRAP MINI CANVAS AZUL")</f>
        <v>MOCHILA STRAP MINI CANVAS AZUL</v>
      </c>
      <c r="D4138" s="186" t="str">
        <f>IFERROR(__xludf.DUMMYFUNCTION("""COMPUTED_VALUE"""),"FALSO")</f>
        <v>FALSO</v>
      </c>
    </row>
    <row r="4139">
      <c r="B4139" s="186" t="str">
        <f>IFERROR(__xludf.DUMMYFUNCTION("""COMPUTED_VALUE"""),"PI7072Y")</f>
        <v>PI7072Y</v>
      </c>
      <c r="C4139" s="186" t="str">
        <f>IFERROR(__xludf.DUMMYFUNCTION("""COMPUTED_VALUE"""),"MOCHILA LAPTOP ALCAS GATINHOS")</f>
        <v>MOCHILA LAPTOP ALCAS GATINHOS</v>
      </c>
      <c r="D4139" s="186" t="str">
        <f>IFERROR(__xludf.DUMMYFUNCTION("""COMPUTED_VALUE"""),"FALSO")</f>
        <v>FALSO</v>
      </c>
    </row>
    <row r="4140">
      <c r="B4140" s="186" t="str">
        <f>IFERROR(__xludf.DUMMYFUNCTION("""COMPUTED_VALUE"""),"PI7471Y")</f>
        <v>PI7471Y</v>
      </c>
      <c r="C4140" s="186" t="str">
        <f>IFERROR(__xludf.DUMMYFUNCTION("""COMPUTED_VALUE"""),"MOCHILA E BOLSO TERMICO REMOVIVEL PRETA")</f>
        <v>MOCHILA E BOLSO TERMICO REMOVIVEL PRETA</v>
      </c>
      <c r="D4140" s="186" t="str">
        <f>IFERROR(__xludf.DUMMYFUNCTION("""COMPUTED_VALUE"""),"FALSO")</f>
        <v>FALSO</v>
      </c>
    </row>
    <row r="4141">
      <c r="B4141" s="186" t="str">
        <f>IFERROR(__xludf.DUMMYFUNCTION("""COMPUTED_VALUE"""),"PI5607Y")</f>
        <v>PI5607Y</v>
      </c>
      <c r="C4141" s="186" t="str">
        <f>IFERROR(__xludf.DUMMYFUNCTION("""COMPUTED_VALUE"""),"MOCHILA LAPTOP UTILITARIA CINZA")</f>
        <v>MOCHILA LAPTOP UTILITARIA CINZA</v>
      </c>
      <c r="D4141" s="186" t="str">
        <f>IFERROR(__xludf.DUMMYFUNCTION("""COMPUTED_VALUE"""),"FALSO")</f>
        <v>FALSO</v>
      </c>
    </row>
    <row r="4142">
      <c r="B4142" s="186" t="str">
        <f>IFERROR(__xludf.DUMMYFUNCTION("""COMPUTED_VALUE"""),"PI5150Y")</f>
        <v>PI5150Y</v>
      </c>
      <c r="C4142" s="186" t="str">
        <f>IFERROR(__xludf.DUMMYFUNCTION("""COMPUTED_VALUE"""),"MOCHILA COM LED STRANGER THINGS LUZES")</f>
        <v>MOCHILA COM LED STRANGER THINGS LUZES</v>
      </c>
      <c r="D4142" s="186" t="str">
        <f>IFERROR(__xludf.DUMMYFUNCTION("""COMPUTED_VALUE"""),"FALSO")</f>
        <v>FALSO</v>
      </c>
    </row>
    <row r="4143">
      <c r="B4143" s="186" t="str">
        <f>IFERROR(__xludf.DUMMYFUNCTION("""COMPUTED_VALUE"""),"PI4894Y")</f>
        <v>PI4894Y</v>
      </c>
      <c r="C4143" s="186" t="str">
        <f>IFERROR(__xludf.DUMMYFUNCTION("""COMPUTED_VALUE"""),"MOCHILA E BOLSA REMOVIVEL HP HOGWARTS")</f>
        <v>MOCHILA E BOLSA REMOVIVEL HP HOGWARTS</v>
      </c>
      <c r="D4143" s="186" t="str">
        <f>IFERROR(__xludf.DUMMYFUNCTION("""COMPUTED_VALUE"""),"FALSO")</f>
        <v>FALSO</v>
      </c>
    </row>
    <row r="4144">
      <c r="B4144" s="186" t="str">
        <f>IFERROR(__xludf.DUMMYFUNCTION("""COMPUTED_VALUE"""),"PI4894Y")</f>
        <v>PI4894Y</v>
      </c>
      <c r="C4144" s="186" t="str">
        <f>IFERROR(__xludf.DUMMYFUNCTION("""COMPUTED_VALUE"""),"MOCHILA E BOLSA REMOVIVEL HP HOGWARTS")</f>
        <v>MOCHILA E BOLSA REMOVIVEL HP HOGWARTS</v>
      </c>
      <c r="D4144" s="186" t="str">
        <f>IFERROR(__xludf.DUMMYFUNCTION("""COMPUTED_VALUE"""),"FALSO")</f>
        <v>FALSO</v>
      </c>
    </row>
    <row r="4145">
      <c r="B4145" s="186" t="str">
        <f>IFERROR(__xludf.DUMMYFUNCTION("""COMPUTED_VALUE"""),"PI4894Y")</f>
        <v>PI4894Y</v>
      </c>
      <c r="C4145" s="186" t="str">
        <f>IFERROR(__xludf.DUMMYFUNCTION("""COMPUTED_VALUE"""),"MOCHILA E BOLSA REMOVIVEL HP HOGWARTS")</f>
        <v>MOCHILA E BOLSA REMOVIVEL HP HOGWARTS</v>
      </c>
      <c r="D4145" s="186" t="str">
        <f>IFERROR(__xludf.DUMMYFUNCTION("""COMPUTED_VALUE"""),"FALSO")</f>
        <v>FALSO</v>
      </c>
    </row>
    <row r="4146">
      <c r="B4146" s="186" t="str">
        <f>IFERROR(__xludf.DUMMYFUNCTION("""COMPUTED_VALUE"""),"PI6391Y")</f>
        <v>PI6391Y</v>
      </c>
      <c r="C4146" s="186" t="str">
        <f>IFERROR(__xludf.DUMMYFUNCTION("""COMPUTED_VALUE"""),"MOCHILA COM BOLSA REMOVIVEL SEU TEMPO")</f>
        <v>MOCHILA COM BOLSA REMOVIVEL SEU TEMPO</v>
      </c>
      <c r="D4146" s="186" t="str">
        <f>IFERROR(__xludf.DUMMYFUNCTION("""COMPUTED_VALUE"""),"FALSO")</f>
        <v>FALSO</v>
      </c>
    </row>
    <row r="4147">
      <c r="B4147" s="186" t="str">
        <f>IFERROR(__xludf.DUMMYFUNCTION("""COMPUTED_VALUE"""),"PI6000Y")</f>
        <v>PI6000Y</v>
      </c>
      <c r="C4147" s="186" t="str">
        <f>IFERROR(__xludf.DUMMYFUNCTION("""COMPUTED_VALUE"""),"BOLSA 2 EM 1 COM BAG TERMICA BORDO")</f>
        <v>BOLSA 2 EM 1 COM BAG TERMICA BORDO</v>
      </c>
      <c r="D4147" s="186" t="str">
        <f>IFERROR(__xludf.DUMMYFUNCTION("""COMPUTED_VALUE"""),"FALSO")</f>
        <v>FALSO</v>
      </c>
    </row>
    <row r="4148">
      <c r="B4148" s="186" t="str">
        <f>IFERROR(__xludf.DUMMYFUNCTION("""COMPUTED_VALUE"""),"PI4979Y")</f>
        <v>PI4979Y</v>
      </c>
      <c r="C4148" s="186" t="str">
        <f>IFERROR(__xludf.DUMMYFUNCTION("""COMPUTED_VALUE"""),"CAPA PARA VIOLAO E BAG BEATLES SUBMARINO")</f>
        <v>CAPA PARA VIOLAO E BAG BEATLES SUBMARINO</v>
      </c>
      <c r="D4148" s="186" t="str">
        <f>IFERROR(__xludf.DUMMYFUNCTION("""COMPUTED_VALUE"""),"FALSO")</f>
        <v>FALSO</v>
      </c>
    </row>
    <row r="4149">
      <c r="B4149" s="186" t="str">
        <f>IFERROR(__xludf.DUMMYFUNCTION("""COMPUTED_VALUE"""),"PI6669Y")</f>
        <v>PI6669Y</v>
      </c>
      <c r="C4149" s="186" t="str">
        <f>IFERROR(__xludf.DUMMYFUNCTION("""COMPUTED_VALUE"""),"BOLSA MOCHILA ACADEMIA PRETA E LARANJA")</f>
        <v>BOLSA MOCHILA ACADEMIA PRETA E LARANJA</v>
      </c>
      <c r="D4149" s="186" t="str">
        <f>IFERROR(__xludf.DUMMYFUNCTION("""COMPUTED_VALUE"""),"FALSO")</f>
        <v>FALSO</v>
      </c>
    </row>
    <row r="4150">
      <c r="B4150" s="186" t="str">
        <f>IFERROR(__xludf.DUMMYFUNCTION("""COMPUTED_VALUE"""),"PI4105Y")</f>
        <v>PI4105Y</v>
      </c>
      <c r="C4150" s="186" t="str">
        <f>IFERROR(__xludf.DUMMYFUNCTION("""COMPUTED_VALUE"""),"BOLSA MOCHILA MATERNIDADE FRAME PRETA")</f>
        <v>BOLSA MOCHILA MATERNIDADE FRAME PRETA</v>
      </c>
      <c r="D4150" s="186" t="str">
        <f>IFERROR(__xludf.DUMMYFUNCTION("""COMPUTED_VALUE"""),"FALSO")</f>
        <v>FALSO</v>
      </c>
    </row>
    <row r="4151">
      <c r="B4151" s="186" t="str">
        <f>IFERROR(__xludf.DUMMYFUNCTION("""COMPUTED_VALUE"""),"PI4105Y")</f>
        <v>PI4105Y</v>
      </c>
      <c r="C4151" s="186" t="str">
        <f>IFERROR(__xludf.DUMMYFUNCTION("""COMPUTED_VALUE"""),"BOLSA MOCHILA MATERNIDADE FRAME PRETA")</f>
        <v>BOLSA MOCHILA MATERNIDADE FRAME PRETA</v>
      </c>
      <c r="D4151" s="186" t="str">
        <f>IFERROR(__xludf.DUMMYFUNCTION("""COMPUTED_VALUE"""),"FALSO")</f>
        <v>FALSO</v>
      </c>
    </row>
    <row r="4152">
      <c r="B4152" s="186" t="str">
        <f>IFERROR(__xludf.DUMMYFUNCTION("""COMPUTED_VALUE"""),"PI5023Y")</f>
        <v>PI5023Y</v>
      </c>
      <c r="C4152" s="186" t="str">
        <f>IFERROR(__xludf.DUMMYFUNCTION("""COMPUTED_VALUE"""),"BOLSA MOCHILA TRENDY CORACAO")</f>
        <v>BOLSA MOCHILA TRENDY CORACAO</v>
      </c>
      <c r="D4152" s="186" t="str">
        <f>IFERROR(__xludf.DUMMYFUNCTION("""COMPUTED_VALUE"""),"FALSO")</f>
        <v>FALSO</v>
      </c>
    </row>
    <row r="4153">
      <c r="B4153" s="186" t="str">
        <f>IFERROR(__xludf.DUMMYFUNCTION("""COMPUTED_VALUE"""),"PI6090Y")</f>
        <v>PI6090Y</v>
      </c>
      <c r="C4153" s="186" t="str">
        <f>IFERROR(__xludf.DUMMYFUNCTION("""COMPUTED_VALUE"""),"BOLSA MOCHILA UTILITARIA PRETA ALCAS")</f>
        <v>BOLSA MOCHILA UTILITARIA PRETA ALCAS</v>
      </c>
      <c r="D4153" s="186" t="str">
        <f>IFERROR(__xludf.DUMMYFUNCTION("""COMPUTED_VALUE"""),"FALSO")</f>
        <v>FALSO</v>
      </c>
    </row>
    <row r="4154">
      <c r="B4154" s="186" t="str">
        <f>IFERROR(__xludf.DUMMYFUNCTION("""COMPUTED_VALUE"""),"PI6891Y")</f>
        <v>PI6891Y</v>
      </c>
      <c r="C4154" s="186" t="str">
        <f>IFERROR(__xludf.DUMMYFUNCTION("""COMPUTED_VALUE"""),"BOLSA MOCHILA BOLSOS PRETA E DOURADA")</f>
        <v>BOLSA MOCHILA BOLSOS PRETA E DOURADA</v>
      </c>
      <c r="D4154" s="186" t="str">
        <f>IFERROR(__xludf.DUMMYFUNCTION("""COMPUTED_VALUE"""),"FALSO")</f>
        <v>FALSO</v>
      </c>
    </row>
    <row r="4155">
      <c r="B4155" s="186" t="str">
        <f>IFERROR(__xludf.DUMMYFUNCTION("""COMPUTED_VALUE"""),"PI6891Y")</f>
        <v>PI6891Y</v>
      </c>
      <c r="C4155" s="186" t="str">
        <f>IFERROR(__xludf.DUMMYFUNCTION("""COMPUTED_VALUE"""),"BOLSA MOCHILA BOLSOS PRETA E DOURADA")</f>
        <v>BOLSA MOCHILA BOLSOS PRETA E DOURADA</v>
      </c>
      <c r="D4155" s="186" t="str">
        <f>IFERROR(__xludf.DUMMYFUNCTION("""COMPUTED_VALUE"""),"FALSO")</f>
        <v>FALSO</v>
      </c>
    </row>
    <row r="4156">
      <c r="B4156" s="186" t="str">
        <f>IFERROR(__xludf.DUMMYFUNCTION("""COMPUTED_VALUE"""),"PI5623Y")</f>
        <v>PI5623Y</v>
      </c>
      <c r="C4156" s="186" t="str">
        <f>IFERROR(__xludf.DUMMYFUNCTION("""COMPUTED_VALUE"""),"BOLSA MIDI PRETA DETALHES HOLOGRAFICO")</f>
        <v>BOLSA MIDI PRETA DETALHES HOLOGRAFICO</v>
      </c>
      <c r="D4156" s="186" t="str">
        <f>IFERROR(__xludf.DUMMYFUNCTION("""COMPUTED_VALUE"""),"FALSO")</f>
        <v>FALSO</v>
      </c>
    </row>
    <row r="4157">
      <c r="B4157" s="186" t="str">
        <f>IFERROR(__xludf.DUMMYFUNCTION("""COMPUTED_VALUE"""),"PI6409Y")</f>
        <v>PI6409Y</v>
      </c>
      <c r="C4157" s="186" t="str">
        <f>IFERROR(__xludf.DUMMYFUNCTION("""COMPUTED_VALUE"""),"BOLSA BASICA PRETA COM DOURADO")</f>
        <v>BOLSA BASICA PRETA COM DOURADO</v>
      </c>
      <c r="D4157" s="186" t="str">
        <f>IFERROR(__xludf.DUMMYFUNCTION("""COMPUTED_VALUE"""),"FALSO")</f>
        <v>FALSO</v>
      </c>
    </row>
    <row r="4158">
      <c r="B4158" s="186" t="str">
        <f>IFERROR(__xludf.DUMMYFUNCTION("""COMPUTED_VALUE"""),"PI6416Y")</f>
        <v>PI6416Y</v>
      </c>
      <c r="C4158" s="186" t="str">
        <f>IFERROR(__xludf.DUMMYFUNCTION("""COMPUTED_VALUE"""),"BOLSA BASICA COM BOLSO TERMICO")</f>
        <v>BOLSA BASICA COM BOLSO TERMICO</v>
      </c>
      <c r="D4158" s="186" t="str">
        <f>IFERROR(__xludf.DUMMYFUNCTION("""COMPUTED_VALUE"""),"FALSO")</f>
        <v>FALSO</v>
      </c>
    </row>
    <row r="4159">
      <c r="B4159" s="186" t="str">
        <f>IFERROR(__xludf.DUMMYFUNCTION("""COMPUTED_VALUE"""),"PI6416Y")</f>
        <v>PI6416Y</v>
      </c>
      <c r="C4159" s="186" t="str">
        <f>IFERROR(__xludf.DUMMYFUNCTION("""COMPUTED_VALUE"""),"BOLSA BASICA COM BOLSO TERMICO")</f>
        <v>BOLSA BASICA COM BOLSO TERMICO</v>
      </c>
      <c r="D4159" s="186" t="str">
        <f>IFERROR(__xludf.DUMMYFUNCTION("""COMPUTED_VALUE"""),"FALSO")</f>
        <v>FALSO</v>
      </c>
    </row>
    <row r="4160">
      <c r="B4160" s="186" t="str">
        <f>IFERROR(__xludf.DUMMYFUNCTION("""COMPUTED_VALUE"""),"PI6416Y")</f>
        <v>PI6416Y</v>
      </c>
      <c r="C4160" s="186" t="str">
        <f>IFERROR(__xludf.DUMMYFUNCTION("""COMPUTED_VALUE"""),"BOLSA BASICA COM BOLSO TERMICO")</f>
        <v>BOLSA BASICA COM BOLSO TERMICO</v>
      </c>
      <c r="D4160" s="186" t="str">
        <f>IFERROR(__xludf.DUMMYFUNCTION("""COMPUTED_VALUE"""),"FALSO")</f>
        <v>FALSO</v>
      </c>
    </row>
    <row r="4161">
      <c r="B4161" s="186" t="str">
        <f>IFERROR(__xludf.DUMMYFUNCTION("""COMPUTED_VALUE"""),"PI6416Y")</f>
        <v>PI6416Y</v>
      </c>
      <c r="C4161" s="186" t="str">
        <f>IFERROR(__xludf.DUMMYFUNCTION("""COMPUTED_VALUE"""),"BOLSA BASICA COM BOLSO TERMICO")</f>
        <v>BOLSA BASICA COM BOLSO TERMICO</v>
      </c>
      <c r="D4161" s="186" t="str">
        <f>IFERROR(__xludf.DUMMYFUNCTION("""COMPUTED_VALUE"""),"FALSO")</f>
        <v>FALSO</v>
      </c>
    </row>
    <row r="4162">
      <c r="B4162" s="186" t="str">
        <f>IFERROR(__xludf.DUMMYFUNCTION("""COMPUTED_VALUE"""),"PI6416Y")</f>
        <v>PI6416Y</v>
      </c>
      <c r="C4162" s="186" t="str">
        <f>IFERROR(__xludf.DUMMYFUNCTION("""COMPUTED_VALUE"""),"BOLSA BASICA COM BOLSO TERMICO")</f>
        <v>BOLSA BASICA COM BOLSO TERMICO</v>
      </c>
      <c r="D4162" s="186" t="str">
        <f>IFERROR(__xludf.DUMMYFUNCTION("""COMPUTED_VALUE"""),"FALSO")</f>
        <v>FALSO</v>
      </c>
    </row>
    <row r="4163">
      <c r="B4163" s="186" t="str">
        <f>IFERROR(__xludf.DUMMYFUNCTION("""COMPUTED_VALUE"""),"PI6416Y")</f>
        <v>PI6416Y</v>
      </c>
      <c r="C4163" s="186" t="str">
        <f>IFERROR(__xludf.DUMMYFUNCTION("""COMPUTED_VALUE"""),"BOLSA BASICA COM BOLSO TERMICO")</f>
        <v>BOLSA BASICA COM BOLSO TERMICO</v>
      </c>
      <c r="D4163" s="186" t="str">
        <f>IFERROR(__xludf.DUMMYFUNCTION("""COMPUTED_VALUE"""),"FALSO")</f>
        <v>FALSO</v>
      </c>
    </row>
    <row r="4164">
      <c r="B4164" s="186" t="str">
        <f>IFERROR(__xludf.DUMMYFUNCTION("""COMPUTED_VALUE"""),"PI7395Y")</f>
        <v>PI7395Y</v>
      </c>
      <c r="C4164" s="186" t="str">
        <f>IFERROR(__xludf.DUMMYFUNCTION("""COMPUTED_VALUE"""),"BOLSA SHOPPING PRETA COM PU PRETO")</f>
        <v>BOLSA SHOPPING PRETA COM PU PRETO</v>
      </c>
      <c r="D4164" s="186" t="str">
        <f>IFERROR(__xludf.DUMMYFUNCTION("""COMPUTED_VALUE"""),"FALSO")</f>
        <v>FALSO</v>
      </c>
    </row>
    <row r="4165">
      <c r="B4165" s="186" t="str">
        <f>IFERROR(__xludf.DUMMYFUNCTION("""COMPUTED_VALUE"""),"PI7395Y")</f>
        <v>PI7395Y</v>
      </c>
      <c r="C4165" s="186" t="str">
        <f>IFERROR(__xludf.DUMMYFUNCTION("""COMPUTED_VALUE"""),"BOLSA SHOPPING PRETA COM PU PRETO")</f>
        <v>BOLSA SHOPPING PRETA COM PU PRETO</v>
      </c>
      <c r="D4165" s="186" t="str">
        <f>IFERROR(__xludf.DUMMYFUNCTION("""COMPUTED_VALUE"""),"FALSO")</f>
        <v>FALSO</v>
      </c>
    </row>
    <row r="4166">
      <c r="B4166" s="186" t="str">
        <f>IFERROR(__xludf.DUMMYFUNCTION("""COMPUTED_VALUE"""),"PI5591Y")</f>
        <v>PI5591Y</v>
      </c>
      <c r="C4166" s="186" t="str">
        <f>IFERROR(__xludf.DUMMYFUNCTION("""COMPUTED_VALUE"""),"BOLSA BOX CARAMELO")</f>
        <v>BOLSA BOX CARAMELO</v>
      </c>
      <c r="D4166" s="186" t="str">
        <f>IFERROR(__xludf.DUMMYFUNCTION("""COMPUTED_VALUE"""),"FALSO")</f>
        <v>FALSO</v>
      </c>
    </row>
    <row r="4167">
      <c r="B4167" s="186" t="str">
        <f>IFERROR(__xludf.DUMMYFUNCTION("""COMPUTED_VALUE"""),"PI5598Y")</f>
        <v>PI5598Y</v>
      </c>
      <c r="C4167" s="186" t="str">
        <f>IFERROR(__xludf.DUMMYFUNCTION("""COMPUTED_VALUE"""),"BOLSA BOX CREME DETALHES DOURADO")</f>
        <v>BOLSA BOX CREME DETALHES DOURADO</v>
      </c>
      <c r="D4167" s="186" t="str">
        <f>IFERROR(__xludf.DUMMYFUNCTION("""COMPUTED_VALUE"""),"FALSO")</f>
        <v>FALSO</v>
      </c>
    </row>
    <row r="4168">
      <c r="B4168" s="186" t="str">
        <f>IFERROR(__xludf.DUMMYFUNCTION("""COMPUTED_VALUE"""),"PI5598Y")</f>
        <v>PI5598Y</v>
      </c>
      <c r="C4168" s="186" t="str">
        <f>IFERROR(__xludf.DUMMYFUNCTION("""COMPUTED_VALUE"""),"BOLSA BOX CREME DETALHES DOURADO")</f>
        <v>BOLSA BOX CREME DETALHES DOURADO</v>
      </c>
      <c r="D4168" s="186" t="str">
        <f>IFERROR(__xludf.DUMMYFUNCTION("""COMPUTED_VALUE"""),"FALSO")</f>
        <v>FALSO</v>
      </c>
    </row>
    <row r="4169">
      <c r="B4169" s="186" t="str">
        <f>IFERROR(__xludf.DUMMYFUNCTION("""COMPUTED_VALUE"""),"PI6411Y")</f>
        <v>PI6411Y</v>
      </c>
      <c r="C4169" s="186" t="str">
        <f>IFERROR(__xludf.DUMMYFUNCTION("""COMPUTED_VALUE"""),"BOLSA BOX COM PORTA CARTOES CLARA")</f>
        <v>BOLSA BOX COM PORTA CARTOES CLARA</v>
      </c>
      <c r="D4169" s="186" t="str">
        <f>IFERROR(__xludf.DUMMYFUNCTION("""COMPUTED_VALUE"""),"FALSO")</f>
        <v>FALSO</v>
      </c>
    </row>
    <row r="4170">
      <c r="B4170" s="186" t="str">
        <f>IFERROR(__xludf.DUMMYFUNCTION("""COMPUTED_VALUE"""),"PI5588Y")</f>
        <v>PI5588Y</v>
      </c>
      <c r="C4170" s="186" t="str">
        <f>IFERROR(__xludf.DUMMYFUNCTION("""COMPUTED_VALUE"""),"BOLSA PRA TUDO BORDO E CARAMELO")</f>
        <v>BOLSA PRA TUDO BORDO E CARAMELO</v>
      </c>
      <c r="D4170" s="186" t="str">
        <f>IFERROR(__xludf.DUMMYFUNCTION("""COMPUTED_VALUE"""),"FALSO")</f>
        <v>FALSO</v>
      </c>
    </row>
    <row r="4171">
      <c r="B4171" s="186" t="str">
        <f>IFERROR(__xludf.DUMMYFUNCTION("""COMPUTED_VALUE"""),"PI6965Y")</f>
        <v>PI6965Y</v>
      </c>
      <c r="C4171" s="186" t="str">
        <f>IFERROR(__xludf.DUMMYFUNCTION("""COMPUTED_VALUE"""),"BOLSA CANVAS POA MARINHO")</f>
        <v>BOLSA CANVAS POA MARINHO</v>
      </c>
      <c r="D4171" s="186" t="str">
        <f>IFERROR(__xludf.DUMMYFUNCTION("""COMPUTED_VALUE"""),"FALSO")</f>
        <v>FALSO</v>
      </c>
    </row>
    <row r="4172">
      <c r="B4172" s="186" t="str">
        <f>IFERROR(__xludf.DUMMYFUNCTION("""COMPUTED_VALUE"""),"PI7402Y")</f>
        <v>PI7402Y</v>
      </c>
      <c r="C4172" s="186" t="str">
        <f>IFERROR(__xludf.DUMMYFUNCTION("""COMPUTED_VALUE"""),"BOLSA SHOPPING CANVAS LISTRADA COM PU")</f>
        <v>BOLSA SHOPPING CANVAS LISTRADA COM PU</v>
      </c>
      <c r="D4172" s="186" t="str">
        <f>IFERROR(__xludf.DUMMYFUNCTION("""COMPUTED_VALUE"""),"FALSO")</f>
        <v>FALSO</v>
      </c>
    </row>
    <row r="4173">
      <c r="B4173" s="186" t="str">
        <f>IFERROR(__xludf.DUMMYFUNCTION("""COMPUTED_VALUE"""),"PI6615Y")</f>
        <v>PI6615Y</v>
      </c>
      <c r="C4173" s="186" t="str">
        <f>IFERROR(__xludf.DUMMYFUNCTION("""COMPUTED_VALUE"""),"BOLSA CAROL RAQUETE PRETA E NEON")</f>
        <v>BOLSA CAROL RAQUETE PRETA E NEON</v>
      </c>
      <c r="D4173" s="186" t="str">
        <f>IFERROR(__xludf.DUMMYFUNCTION("""COMPUTED_VALUE"""),"FALSO")</f>
        <v>FALSO</v>
      </c>
    </row>
    <row r="4174">
      <c r="B4174" s="186" t="str">
        <f>IFERROR(__xludf.DUMMYFUNCTION("""COMPUTED_VALUE"""),"PI5996Y")</f>
        <v>PI5996Y</v>
      </c>
      <c r="C4174" s="186" t="str">
        <f>IFERROR(__xludf.DUMMYFUNCTION("""COMPUTED_VALUE"""),"BOLSA PORTA CELULAR MATELASSE CORACOES")</f>
        <v>BOLSA PORTA CELULAR MATELASSE CORACOES</v>
      </c>
      <c r="D4174" s="186" t="str">
        <f>IFERROR(__xludf.DUMMYFUNCTION("""COMPUTED_VALUE"""),"FALSO")</f>
        <v>FALSO</v>
      </c>
    </row>
    <row r="4175">
      <c r="B4175" s="186" t="str">
        <f>IFERROR(__xludf.DUMMYFUNCTION("""COMPUTED_VALUE"""),"PI5594Y")</f>
        <v>PI5594Y</v>
      </c>
      <c r="C4175" s="186" t="str">
        <f>IFERROR(__xludf.DUMMYFUNCTION("""COMPUTED_VALUE"""),"BOLSA CHARME PLUS PRETA")</f>
        <v>BOLSA CHARME PLUS PRETA</v>
      </c>
      <c r="D4175" s="186" t="str">
        <f>IFERROR(__xludf.DUMMYFUNCTION("""COMPUTED_VALUE"""),"FALSO")</f>
        <v>FALSO</v>
      </c>
    </row>
    <row r="4176">
      <c r="B4176" s="186" t="str">
        <f>IFERROR(__xludf.DUMMYFUNCTION("""COMPUTED_VALUE"""),"PI5650Y")</f>
        <v>PI5650Y</v>
      </c>
      <c r="C4176" s="186" t="str">
        <f>IFERROR(__xludf.DUMMYFUNCTION("""COMPUTED_VALUE"""),"BOLSA CITY BORDO")</f>
        <v>BOLSA CITY BORDO</v>
      </c>
      <c r="D4176" s="186" t="str">
        <f>IFERROR(__xludf.DUMMYFUNCTION("""COMPUTED_VALUE"""),"FALSO")</f>
        <v>FALSO</v>
      </c>
    </row>
    <row r="4177">
      <c r="B4177" s="186" t="str">
        <f>IFERROR(__xludf.DUMMYFUNCTION("""COMPUTED_VALUE"""),"PI7760Y")</f>
        <v>PI7760Y</v>
      </c>
      <c r="C4177" s="186" t="str">
        <f>IFERROR(__xludf.DUMMYFUNCTION("""COMPUTED_VALUE"""),"BOLSA COMFORT PRETA E DOURADA")</f>
        <v>BOLSA COMFORT PRETA E DOURADA</v>
      </c>
      <c r="D4177" s="186" t="str">
        <f>IFERROR(__xludf.DUMMYFUNCTION("""COMPUTED_VALUE"""),"FALSO")</f>
        <v>FALSO</v>
      </c>
    </row>
    <row r="4178">
      <c r="B4178" s="186" t="str">
        <f>IFERROR(__xludf.DUMMYFUNCTION("""COMPUTED_VALUE"""),"PI5592Y")</f>
        <v>PI5592Y</v>
      </c>
      <c r="C4178" s="186" t="str">
        <f>IFERROR(__xludf.DUMMYFUNCTION("""COMPUTED_VALUE"""),"BOLSA COMFORT DIA A DIA CARAMELO")</f>
        <v>BOLSA COMFORT DIA A DIA CARAMELO</v>
      </c>
      <c r="D4178" s="186" t="str">
        <f>IFERROR(__xludf.DUMMYFUNCTION("""COMPUTED_VALUE"""),"FALSO")</f>
        <v>FALSO</v>
      </c>
    </row>
    <row r="4179">
      <c r="B4179" s="186" t="str">
        <f>IFERROR(__xludf.DUMMYFUNCTION("""COMPUTED_VALUE"""),"PI6413Y")</f>
        <v>PI6413Y</v>
      </c>
      <c r="C4179" s="186" t="str">
        <f>IFERROR(__xludf.DUMMYFUNCTION("""COMPUTED_VALUE"""),"BOLSA COMFORT MARINHO E CARAMELO")</f>
        <v>BOLSA COMFORT MARINHO E CARAMELO</v>
      </c>
      <c r="D4179" s="186" t="str">
        <f>IFERROR(__xludf.DUMMYFUNCTION("""COMPUTED_VALUE"""),"FALSO")</f>
        <v>FALSO</v>
      </c>
    </row>
    <row r="4180">
      <c r="B4180" s="186" t="str">
        <f>IFERROR(__xludf.DUMMYFUNCTION("""COMPUTED_VALUE"""),"PI6530Y")</f>
        <v>PI6530Y</v>
      </c>
      <c r="C4180" s="186" t="str">
        <f>IFERROR(__xludf.DUMMYFUNCTION("""COMPUTED_VALUE"""),"BOLSA CROSSBODY PRETO ALCAS NEON")</f>
        <v>BOLSA CROSSBODY PRETO ALCAS NEON</v>
      </c>
      <c r="D4180" s="186" t="str">
        <f>IFERROR(__xludf.DUMMYFUNCTION("""COMPUTED_VALUE"""),"FALSO")</f>
        <v>FALSO</v>
      </c>
    </row>
    <row r="4181">
      <c r="B4181" s="186" t="str">
        <f>IFERROR(__xludf.DUMMYFUNCTION("""COMPUTED_VALUE"""),"PI7784Y")</f>
        <v>PI7784Y</v>
      </c>
      <c r="C4181" s="186" t="str">
        <f>IFERROR(__xludf.DUMMYFUNCTION("""COMPUTED_VALUE"""),"BOLSA MIDI COTELE MARROM")</f>
        <v>BOLSA MIDI COTELE MARROM</v>
      </c>
      <c r="D4181" s="186" t="str">
        <f>IFERROR(__xludf.DUMMYFUNCTION("""COMPUTED_VALUE"""),"FALSO")</f>
        <v>FALSO</v>
      </c>
    </row>
    <row r="4182">
      <c r="B4182" s="186" t="str">
        <f>IFERROR(__xludf.DUMMYFUNCTION("""COMPUTED_VALUE"""),"PI7860Y")</f>
        <v>PI7860Y</v>
      </c>
      <c r="C4182" s="186" t="str">
        <f>IFERROR(__xludf.DUMMYFUNCTION("""COMPUTED_VALUE"""),"BOLSA CROSSBODY COTELE VERDE")</f>
        <v>BOLSA CROSSBODY COTELE VERDE</v>
      </c>
      <c r="D4182" s="186" t="str">
        <f>IFERROR(__xludf.DUMMYFUNCTION("""COMPUTED_VALUE"""),"FALSO")</f>
        <v>FALSO</v>
      </c>
    </row>
    <row r="4183">
      <c r="B4183" s="186" t="str">
        <f>IFERROR(__xludf.DUMMYFUNCTION("""COMPUTED_VALUE"""),"PI7861Y")</f>
        <v>PI7861Y</v>
      </c>
      <c r="C4183" s="186" t="str">
        <f>IFERROR(__xludf.DUMMYFUNCTION("""COMPUTED_VALUE"""),"BOLSA CROSSBODY COTELE OFF WHITE")</f>
        <v>BOLSA CROSSBODY COTELE OFF WHITE</v>
      </c>
      <c r="D4183" s="186" t="str">
        <f>IFERROR(__xludf.DUMMYFUNCTION("""COMPUTED_VALUE"""),"FALSO")</f>
        <v>FALSO</v>
      </c>
    </row>
    <row r="4184">
      <c r="B4184" s="186" t="str">
        <f>IFERROR(__xludf.DUMMYFUNCTION("""COMPUTED_VALUE"""),"PI7394Y")</f>
        <v>PI7394Y</v>
      </c>
      <c r="C4184" s="186" t="str">
        <f>IFERROR(__xludf.DUMMYFUNCTION("""COMPUTED_VALUE"""),"BOLSA CROSSBODY BOX PRETA COM PU")</f>
        <v>BOLSA CROSSBODY BOX PRETA COM PU</v>
      </c>
      <c r="D4184" s="186" t="str">
        <f>IFERROR(__xludf.DUMMYFUNCTION("""COMPUTED_VALUE"""),"FALSO")</f>
        <v>FALSO</v>
      </c>
    </row>
    <row r="4185">
      <c r="B4185" s="186" t="str">
        <f>IFERROR(__xludf.DUMMYFUNCTION("""COMPUTED_VALUE"""),"PI7388Y")</f>
        <v>PI7388Y</v>
      </c>
      <c r="C4185" s="186" t="str">
        <f>IFERROR(__xludf.DUMMYFUNCTION("""COMPUTED_VALUE"""),"BOLSA CROSSBODY BOX CLARA COM PU DOURADO")</f>
        <v>BOLSA CROSSBODY BOX CLARA COM PU DOURADO</v>
      </c>
      <c r="D4185" s="186" t="str">
        <f>IFERROR(__xludf.DUMMYFUNCTION("""COMPUTED_VALUE"""),"FALSO")</f>
        <v>FALSO</v>
      </c>
    </row>
    <row r="4186">
      <c r="B4186" s="186" t="str">
        <f>IFERROR(__xludf.DUMMYFUNCTION("""COMPUTED_VALUE"""),"PI6710Y")</f>
        <v>PI6710Y</v>
      </c>
      <c r="C4186" s="186" t="str">
        <f>IFERROR(__xludf.DUMMYFUNCTION("""COMPUTED_VALUE"""),"BOLSA CROSSBODY SHERPA CLARA")</f>
        <v>BOLSA CROSSBODY SHERPA CLARA</v>
      </c>
      <c r="D4186" s="186" t="str">
        <f>IFERROR(__xludf.DUMMYFUNCTION("""COMPUTED_VALUE"""),"FALSO")</f>
        <v>FALSO</v>
      </c>
    </row>
    <row r="4187">
      <c r="B4187" s="186" t="str">
        <f>IFERROR(__xludf.DUMMYFUNCTION("""COMPUTED_VALUE"""),"PI7278Y")</f>
        <v>PI7278Y</v>
      </c>
      <c r="C4187" s="186" t="str">
        <f>IFERROR(__xludf.DUMMYFUNCTION("""COMPUTED_VALUE"""),"BOLSA TODO DIA PRETA")</f>
        <v>BOLSA TODO DIA PRETA</v>
      </c>
      <c r="D4187" s="186" t="str">
        <f>IFERROR(__xludf.DUMMYFUNCTION("""COMPUTED_VALUE"""),"FALSO")</f>
        <v>FALSO</v>
      </c>
    </row>
    <row r="4188">
      <c r="B4188" s="186" t="str">
        <f>IFERROR(__xludf.DUMMYFUNCTION("""COMPUTED_VALUE"""),"PI7283Y")</f>
        <v>PI7283Y</v>
      </c>
      <c r="C4188" s="186" t="str">
        <f>IFERROR(__xludf.DUMMYFUNCTION("""COMPUTED_VALUE"""),"BOLSA TODO DIA BORDO")</f>
        <v>BOLSA TODO DIA BORDO</v>
      </c>
      <c r="D4188" s="186" t="str">
        <f>IFERROR(__xludf.DUMMYFUNCTION("""COMPUTED_VALUE"""),"FALSO")</f>
        <v>FALSO</v>
      </c>
    </row>
    <row r="4189">
      <c r="B4189" s="186" t="str">
        <f>IFERROR(__xludf.DUMMYFUNCTION("""COMPUTED_VALUE"""),"PI7281Y")</f>
        <v>PI7281Y</v>
      </c>
      <c r="C4189" s="186" t="str">
        <f>IFERROR(__xludf.DUMMYFUNCTION("""COMPUTED_VALUE"""),"BOLSA TODO DIA CLARA")</f>
        <v>BOLSA TODO DIA CLARA</v>
      </c>
      <c r="D4189" s="186" t="str">
        <f>IFERROR(__xludf.DUMMYFUNCTION("""COMPUTED_VALUE"""),"FALSO")</f>
        <v>FALSO</v>
      </c>
    </row>
    <row r="4190">
      <c r="B4190" s="186" t="str">
        <f>IFERROR(__xludf.DUMMYFUNCTION("""COMPUTED_VALUE"""),"PI7370Y")</f>
        <v>PI7370Y</v>
      </c>
      <c r="C4190" s="186" t="str">
        <f>IFERROR(__xludf.DUMMYFUNCTION("""COMPUTED_VALUE"""),"BOLSA TODO DIA MARINHO")</f>
        <v>BOLSA TODO DIA MARINHO</v>
      </c>
      <c r="D4190" s="186" t="str">
        <f>IFERROR(__xludf.DUMMYFUNCTION("""COMPUTED_VALUE"""),"FALSO")</f>
        <v>FALSO</v>
      </c>
    </row>
    <row r="4191">
      <c r="B4191" s="186" t="str">
        <f>IFERROR(__xludf.DUMMYFUNCTION("""COMPUTED_VALUE"""),"PI5597Y")</f>
        <v>PI5597Y</v>
      </c>
      <c r="C4191" s="186" t="str">
        <f>IFERROR(__xludf.DUMMYFUNCTION("""COMPUTED_VALUE"""),"BOLSA DIA A DIA COM ORGANIZADOR PRETA")</f>
        <v>BOLSA DIA A DIA COM ORGANIZADOR PRETA</v>
      </c>
      <c r="D4191" s="186" t="str">
        <f>IFERROR(__xludf.DUMMYFUNCTION("""COMPUTED_VALUE"""),"FALSO")</f>
        <v>FALSO</v>
      </c>
    </row>
    <row r="4192">
      <c r="B4192" s="186" t="str">
        <f>IFERROR(__xludf.DUMMYFUNCTION("""COMPUTED_VALUE"""),"PI5585Y")</f>
        <v>PI5585Y</v>
      </c>
      <c r="C4192" s="186" t="str">
        <f>IFERROR(__xludf.DUMMYFUNCTION("""COMPUTED_VALUE"""),"BOLSA EXPANSIVEL PRETA DETALHES CARAMELO")</f>
        <v>BOLSA EXPANSIVEL PRETA DETALHES CARAMELO</v>
      </c>
      <c r="D4192" s="186" t="str">
        <f>IFERROR(__xludf.DUMMYFUNCTION("""COMPUTED_VALUE"""),"FALSO")</f>
        <v>FALSO</v>
      </c>
    </row>
    <row r="4193">
      <c r="B4193" s="186" t="str">
        <f>IFERROR(__xludf.DUMMYFUNCTION("""COMPUTED_VALUE"""),"PI5585Y")</f>
        <v>PI5585Y</v>
      </c>
      <c r="C4193" s="186" t="str">
        <f>IFERROR(__xludf.DUMMYFUNCTION("""COMPUTED_VALUE"""),"BOLSA EXPANSIVEL PRETA DETALHES CARAMELO")</f>
        <v>BOLSA EXPANSIVEL PRETA DETALHES CARAMELO</v>
      </c>
      <c r="D4193" s="186" t="str">
        <f>IFERROR(__xludf.DUMMYFUNCTION("""COMPUTED_VALUE"""),"FALSO")</f>
        <v>FALSO</v>
      </c>
    </row>
    <row r="4194">
      <c r="B4194" s="186" t="str">
        <f>IFERROR(__xludf.DUMMYFUNCTION("""COMPUTED_VALUE"""),"PI5848Y")</f>
        <v>PI5848Y</v>
      </c>
      <c r="C4194" s="186" t="str">
        <f>IFERROR(__xludf.DUMMYFUNCTION("""COMPUTED_VALUE"""),"BOLSA FIT PUFFER BORDO")</f>
        <v>BOLSA FIT PUFFER BORDO</v>
      </c>
      <c r="D4194" s="186" t="str">
        <f>IFERROR(__xludf.DUMMYFUNCTION("""COMPUTED_VALUE"""),"FALSO")</f>
        <v>FALSO</v>
      </c>
    </row>
    <row r="4195">
      <c r="B4195" s="186" t="str">
        <f>IFERROR(__xludf.DUMMYFUNCTION("""COMPUTED_VALUE"""),"PI6854Y")</f>
        <v>PI6854Y</v>
      </c>
      <c r="C4195" s="186" t="str">
        <f>IFERROR(__xludf.DUMMYFUNCTION("""COMPUTED_VALUE"""),"BOLSA CROSSBODY HP HOGWARTS PRETA")</f>
        <v>BOLSA CROSSBODY HP HOGWARTS PRETA</v>
      </c>
      <c r="D4195" s="186" t="str">
        <f>IFERROR(__xludf.DUMMYFUNCTION("""COMPUTED_VALUE"""),"FALSO")</f>
        <v>FALSO</v>
      </c>
    </row>
    <row r="4196">
      <c r="B4196" s="186" t="str">
        <f>IFERROR(__xludf.DUMMYFUNCTION("""COMPUTED_VALUE"""),"PI6415Y")</f>
        <v>PI6415Y</v>
      </c>
      <c r="C4196" s="186" t="str">
        <f>IFERROR(__xludf.DUMMYFUNCTION("""COMPUTED_VALUE"""),"BAG HP BRASAO")</f>
        <v>BAG HP BRASAO</v>
      </c>
      <c r="D4196" s="186" t="str">
        <f>IFERROR(__xludf.DUMMYFUNCTION("""COMPUTED_VALUE"""),"FALSO")</f>
        <v>FALSO</v>
      </c>
    </row>
    <row r="4197">
      <c r="B4197" s="186" t="str">
        <f>IFERROR(__xludf.DUMMYFUNCTION("""COMPUTED_VALUE"""),"PI5641Y")</f>
        <v>PI5641Y</v>
      </c>
      <c r="C4197" s="186" t="str">
        <f>IFERROR(__xludf.DUMMYFUNCTION("""COMPUTED_VALUE"""),"BOLSA HP RELIQUIAS")</f>
        <v>BOLSA HP RELIQUIAS</v>
      </c>
      <c r="D4197" s="186" t="str">
        <f>IFERROR(__xludf.DUMMYFUNCTION("""COMPUTED_VALUE"""),"FALSO")</f>
        <v>FALSO</v>
      </c>
    </row>
    <row r="4198">
      <c r="B4198" s="186" t="str">
        <f>IFERROR(__xludf.DUMMYFUNCTION("""COMPUTED_VALUE"""),"PI4801Y")</f>
        <v>PI4801Y</v>
      </c>
      <c r="C4198" s="186" t="str">
        <f>IFERROR(__xludf.DUMMYFUNCTION("""COMPUTED_VALUE"""),"BOLSA HP BRASAO DE HOGWARTS")</f>
        <v>BOLSA HP BRASAO DE HOGWARTS</v>
      </c>
      <c r="D4198" s="186" t="str">
        <f>IFERROR(__xludf.DUMMYFUNCTION("""COMPUTED_VALUE"""),"FALSO")</f>
        <v>FALSO</v>
      </c>
    </row>
    <row r="4199">
      <c r="B4199" s="186" t="str">
        <f>IFERROR(__xludf.DUMMYFUNCTION("""COMPUTED_VALUE"""),"PI4801Y")</f>
        <v>PI4801Y</v>
      </c>
      <c r="C4199" s="186" t="str">
        <f>IFERROR(__xludf.DUMMYFUNCTION("""COMPUTED_VALUE"""),"BOLSA HP BRASAO DE HOGWARTS")</f>
        <v>BOLSA HP BRASAO DE HOGWARTS</v>
      </c>
      <c r="D4199" s="186" t="str">
        <f>IFERROR(__xludf.DUMMYFUNCTION("""COMPUTED_VALUE"""),"FALSO")</f>
        <v>FALSO</v>
      </c>
    </row>
    <row r="4200">
      <c r="B4200" s="186" t="str">
        <f>IFERROR(__xludf.DUMMYFUNCTION("""COMPUTED_VALUE"""),"PI4801Y")</f>
        <v>PI4801Y</v>
      </c>
      <c r="C4200" s="186" t="str">
        <f>IFERROR(__xludf.DUMMYFUNCTION("""COMPUTED_VALUE"""),"BOLSA HP BRASAO DE HOGWARTS")</f>
        <v>BOLSA HP BRASAO DE HOGWARTS</v>
      </c>
      <c r="D4200" s="186" t="str">
        <f>IFERROR(__xludf.DUMMYFUNCTION("""COMPUTED_VALUE"""),"FALSO")</f>
        <v>FALSO</v>
      </c>
    </row>
    <row r="4201">
      <c r="B4201" s="186" t="str">
        <f>IFERROR(__xludf.DUMMYFUNCTION("""COMPUTED_VALUE"""),"PI7669Y")</f>
        <v>PI7669Y</v>
      </c>
      <c r="C4201" s="186" t="str">
        <f>IFERROR(__xludf.DUMMYFUNCTION("""COMPUTED_VALUE"""),"BOLSA HP CARTA HOGWARTS")</f>
        <v>BOLSA HP CARTA HOGWARTS</v>
      </c>
      <c r="D4201" s="186" t="str">
        <f>IFERROR(__xludf.DUMMYFUNCTION("""COMPUTED_VALUE"""),"FALSO")</f>
        <v>FALSO</v>
      </c>
    </row>
    <row r="4202">
      <c r="B4202" s="186" t="str">
        <f>IFERROR(__xludf.DUMMYFUNCTION("""COMPUTED_VALUE"""),"PI7669Y")</f>
        <v>PI7669Y</v>
      </c>
      <c r="C4202" s="186" t="str">
        <f>IFERROR(__xludf.DUMMYFUNCTION("""COMPUTED_VALUE"""),"BOLSA HP CARTA HOGWARTS")</f>
        <v>BOLSA HP CARTA HOGWARTS</v>
      </c>
      <c r="D4202" s="186" t="str">
        <f>IFERROR(__xludf.DUMMYFUNCTION("""COMPUTED_VALUE"""),"FALSO")</f>
        <v>FALSO</v>
      </c>
    </row>
    <row r="4203">
      <c r="B4203" s="186" t="str">
        <f>IFERROR(__xludf.DUMMYFUNCTION("""COMPUTED_VALUE"""),"PI6137Y")</f>
        <v>PI6137Y</v>
      </c>
      <c r="C4203" s="186" t="str">
        <f>IFERROR(__xludf.DUMMYFUNCTION("""COMPUTED_VALUE"""),"BOLSA DOBRAVEL HP HONEY DUKES")</f>
        <v>BOLSA DOBRAVEL HP HONEY DUKES</v>
      </c>
      <c r="D4203" s="186" t="str">
        <f>IFERROR(__xludf.DUMMYFUNCTION("""COMPUTED_VALUE"""),"FALSO")</f>
        <v>FALSO</v>
      </c>
    </row>
    <row r="4204">
      <c r="B4204" s="186" t="str">
        <f>IFERROR(__xludf.DUMMYFUNCTION("""COMPUTED_VALUE"""),"PI7525Y")</f>
        <v>PI7525Y</v>
      </c>
      <c r="C4204" s="186" t="str">
        <f>IFERROR(__xludf.DUMMYFUNCTION("""COMPUTED_VALUE"""),"BOLSA HP CROSSBODY VARINHA")</f>
        <v>BOLSA HP CROSSBODY VARINHA</v>
      </c>
      <c r="D4204" s="186" t="str">
        <f>IFERROR(__xludf.DUMMYFUNCTION("""COMPUTED_VALUE"""),"FALSO")</f>
        <v>FALSO</v>
      </c>
    </row>
    <row r="4205">
      <c r="B4205" s="186" t="str">
        <f>IFERROR(__xludf.DUMMYFUNCTION("""COMPUTED_VALUE"""),"PI7389Y")</f>
        <v>PI7389Y</v>
      </c>
      <c r="C4205" s="186" t="str">
        <f>IFERROR(__xludf.DUMMYFUNCTION("""COMPUTED_VALUE"""),"BOLSA SHOPPING CLARA COM PU DOURADO")</f>
        <v>BOLSA SHOPPING CLARA COM PU DOURADO</v>
      </c>
      <c r="D4205" s="186" t="str">
        <f>IFERROR(__xludf.DUMMYFUNCTION("""COMPUTED_VALUE"""),"FALSO")</f>
        <v>FALSO</v>
      </c>
    </row>
    <row r="4206">
      <c r="B4206" s="186" t="str">
        <f>IFERROR(__xludf.DUMMYFUNCTION("""COMPUTED_VALUE"""),"PI7389Y")</f>
        <v>PI7389Y</v>
      </c>
      <c r="C4206" s="186" t="str">
        <f>IFERROR(__xludf.DUMMYFUNCTION("""COMPUTED_VALUE"""),"BOLSA SHOPPING CLARA COM PU DOURADO")</f>
        <v>BOLSA SHOPPING CLARA COM PU DOURADO</v>
      </c>
      <c r="D4206" s="186" t="str">
        <f>IFERROR(__xludf.DUMMYFUNCTION("""COMPUTED_VALUE"""),"FALSO")</f>
        <v>FALSO</v>
      </c>
    </row>
    <row r="4207">
      <c r="B4207" s="186" t="str">
        <f>IFERROR(__xludf.DUMMYFUNCTION("""COMPUTED_VALUE"""),"PI7587Y")</f>
        <v>PI7587Y</v>
      </c>
      <c r="C4207" s="186" t="str">
        <f>IFERROR(__xludf.DUMMYFUNCTION("""COMPUTED_VALUE"""),"BOLSA CLARA COM BOLSO TERMICO")</f>
        <v>BOLSA CLARA COM BOLSO TERMICO</v>
      </c>
      <c r="D4207" s="186" t="str">
        <f>IFERROR(__xludf.DUMMYFUNCTION("""COMPUTED_VALUE"""),"FALSO")</f>
        <v>FALSO</v>
      </c>
    </row>
    <row r="4208">
      <c r="B4208" s="186" t="str">
        <f>IFERROR(__xludf.DUMMYFUNCTION("""COMPUTED_VALUE"""),"PI5847Y")</f>
        <v>PI5847Y</v>
      </c>
      <c r="C4208" s="186" t="str">
        <f>IFERROR(__xludf.DUMMYFUNCTION("""COMPUTED_VALUE"""),"BOLSA MATERNIDADE FIVELAS PRETA")</f>
        <v>BOLSA MATERNIDADE FIVELAS PRETA</v>
      </c>
      <c r="D4208" s="186" t="str">
        <f>IFERROR(__xludf.DUMMYFUNCTION("""COMPUTED_VALUE"""),"FALSO")</f>
        <v>FALSO</v>
      </c>
    </row>
    <row r="4209">
      <c r="B4209" s="186" t="str">
        <f>IFERROR(__xludf.DUMMYFUNCTION("""COMPUTED_VALUE"""),"PI6892Y")</f>
        <v>PI6892Y</v>
      </c>
      <c r="C4209" s="186" t="str">
        <f>IFERROR(__xludf.DUMMYFUNCTION("""COMPUTED_VALUE"""),"BOLSA MIDI COTELE PRETA")</f>
        <v>BOLSA MIDI COTELE PRETA</v>
      </c>
      <c r="D4209" s="186" t="str">
        <f>IFERROR(__xludf.DUMMYFUNCTION("""COMPUTED_VALUE"""),"FALSO")</f>
        <v>FALSO</v>
      </c>
    </row>
    <row r="4210">
      <c r="B4210" s="186" t="str">
        <f>IFERROR(__xludf.DUMMYFUNCTION("""COMPUTED_VALUE"""),"PI6892Y")</f>
        <v>PI6892Y</v>
      </c>
      <c r="C4210" s="186" t="str">
        <f>IFERROR(__xludf.DUMMYFUNCTION("""COMPUTED_VALUE"""),"BOLSA MIDI COTELE PRETA")</f>
        <v>BOLSA MIDI COTELE PRETA</v>
      </c>
      <c r="D4210" s="186" t="str">
        <f>IFERROR(__xludf.DUMMYFUNCTION("""COMPUTED_VALUE"""),"FALSO")</f>
        <v>FALSO</v>
      </c>
    </row>
    <row r="4211">
      <c r="B4211" s="186" t="str">
        <f>IFERROR(__xludf.DUMMYFUNCTION("""COMPUTED_VALUE"""),"PI6641Y")</f>
        <v>PI6641Y</v>
      </c>
      <c r="C4211" s="186" t="str">
        <f>IFERROR(__xludf.DUMMYFUNCTION("""COMPUTED_VALUE"""),"BOLSA MIDI COTELE CLARA")</f>
        <v>BOLSA MIDI COTELE CLARA</v>
      </c>
      <c r="D4211" s="186" t="str">
        <f>IFERROR(__xludf.DUMMYFUNCTION("""COMPUTED_VALUE"""),"FALSO")</f>
        <v>FALSO</v>
      </c>
    </row>
    <row r="4212">
      <c r="B4212" s="186" t="str">
        <f>IFERROR(__xludf.DUMMYFUNCTION("""COMPUTED_VALUE"""),"PI6517Y")</f>
        <v>PI6517Y</v>
      </c>
      <c r="C4212" s="186" t="str">
        <f>IFERROR(__xludf.DUMMYFUNCTION("""COMPUTED_VALUE"""),"BOLSA MIDI TRANSVERSAL PRETA ALCAS LUREX")</f>
        <v>BOLSA MIDI TRANSVERSAL PRETA ALCAS LUREX</v>
      </c>
      <c r="D4212" s="186" t="str">
        <f>IFERROR(__xludf.DUMMYFUNCTION("""COMPUTED_VALUE"""),"FALSO")</f>
        <v>FALSO</v>
      </c>
    </row>
    <row r="4213">
      <c r="B4213" s="186" t="str">
        <f>IFERROR(__xludf.DUMMYFUNCTION("""COMPUTED_VALUE"""),"PI7409Y")</f>
        <v>PI7409Y</v>
      </c>
      <c r="C4213" s="186" t="str">
        <f>IFERROR(__xludf.DUMMYFUNCTION("""COMPUTED_VALUE"""),"BOLSA TOTE ROSA E VERMELHA")</f>
        <v>BOLSA TOTE ROSA E VERMELHA</v>
      </c>
      <c r="D4213" s="186" t="str">
        <f>IFERROR(__xludf.DUMMYFUNCTION("""COMPUTED_VALUE"""),"FALSO")</f>
        <v>FALSO</v>
      </c>
    </row>
    <row r="4214">
      <c r="B4214" s="186" t="str">
        <f>IFERROR(__xludf.DUMMYFUNCTION("""COMPUTED_VALUE"""),"PI5589Y")</f>
        <v>PI5589Y</v>
      </c>
      <c r="C4214" s="186" t="str">
        <f>IFERROR(__xludf.DUMMYFUNCTION("""COMPUTED_VALUE"""),"BOLSA POCKETS BORDO")</f>
        <v>BOLSA POCKETS BORDO</v>
      </c>
      <c r="D4214" s="186" t="str">
        <f>IFERROR(__xludf.DUMMYFUNCTION("""COMPUTED_VALUE"""),"FALSO")</f>
        <v>FALSO</v>
      </c>
    </row>
    <row r="4215">
      <c r="B4215" s="186" t="str">
        <f>IFERROR(__xludf.DUMMYFUNCTION("""COMPUTED_VALUE"""),"PI7759Y")</f>
        <v>PI7759Y</v>
      </c>
      <c r="C4215" s="186" t="str">
        <f>IFERROR(__xludf.DUMMYFUNCTION("""COMPUTED_VALUE"""),"BOLSA TOTE CROSSBODY PRETA")</f>
        <v>BOLSA TOTE CROSSBODY PRETA</v>
      </c>
      <c r="D4215" s="186" t="str">
        <f>IFERROR(__xludf.DUMMYFUNCTION("""COMPUTED_VALUE"""),"FALSO")</f>
        <v>FALSO</v>
      </c>
    </row>
    <row r="4216">
      <c r="B4216" s="186" t="str">
        <f>IFERROR(__xludf.DUMMYFUNCTION("""COMPUTED_VALUE"""),"PI7847Y")</f>
        <v>PI7847Y</v>
      </c>
      <c r="C4216" s="186" t="str">
        <f>IFERROR(__xludf.DUMMYFUNCTION("""COMPUTED_VALUE"""),"BOLSA ESTAMPADA CORACAO")</f>
        <v>BOLSA ESTAMPADA CORACAO</v>
      </c>
      <c r="D4216" s="186" t="str">
        <f>IFERROR(__xludf.DUMMYFUNCTION("""COMPUTED_VALUE"""),"FALSO")</f>
        <v>FALSO</v>
      </c>
    </row>
    <row r="4217">
      <c r="B4217" s="186" t="str">
        <f>IFERROR(__xludf.DUMMYFUNCTION("""COMPUTED_VALUE"""),"PI7667Y")</f>
        <v>PI7667Y</v>
      </c>
      <c r="C4217" s="186" t="str">
        <f>IFERROR(__xludf.DUMMYFUNCTION("""COMPUTED_VALUE"""),"BOLSA PUFFER PRETA")</f>
        <v>BOLSA PUFFER PRETA</v>
      </c>
      <c r="D4217" s="186" t="str">
        <f>IFERROR(__xludf.DUMMYFUNCTION("""COMPUTED_VALUE"""),"FALSO")</f>
        <v>FALSO</v>
      </c>
    </row>
    <row r="4218">
      <c r="B4218" s="186" t="str">
        <f>IFERROR(__xludf.DUMMYFUNCTION("""COMPUTED_VALUE"""),"PI7783Y")</f>
        <v>PI7783Y</v>
      </c>
      <c r="C4218" s="186"/>
      <c r="D4218" s="186" t="str">
        <f>IFERROR(__xludf.DUMMYFUNCTION("""COMPUTED_VALUE"""),"FALSO")</f>
        <v>FALSO</v>
      </c>
    </row>
    <row r="4219">
      <c r="B4219" s="186" t="str">
        <f>IFERROR(__xludf.DUMMYFUNCTION("""COMPUTED_VALUE"""),"PI7818Y")</f>
        <v>PI7818Y</v>
      </c>
      <c r="C4219" s="186"/>
      <c r="D4219" s="186" t="str">
        <f>IFERROR(__xludf.DUMMYFUNCTION("""COMPUTED_VALUE"""),"FALSO")</f>
        <v>FALSO</v>
      </c>
    </row>
    <row r="4220">
      <c r="B4220" s="186" t="str">
        <f>IFERROR(__xludf.DUMMYFUNCTION("""COMPUTED_VALUE"""),"PI7857Y")</f>
        <v>PI7857Y</v>
      </c>
      <c r="C4220" s="186" t="str">
        <f>IFERROR(__xludf.DUMMYFUNCTION("""COMPUTED_VALUE"""),"BOLSA PUFFER ALCAS PRETA")</f>
        <v>BOLSA PUFFER ALCAS PRETA</v>
      </c>
      <c r="D4220" s="186" t="str">
        <f>IFERROR(__xludf.DUMMYFUNCTION("""COMPUTED_VALUE"""),"FALSO")</f>
        <v>FALSO</v>
      </c>
    </row>
    <row r="4221">
      <c r="B4221" s="186" t="str">
        <f>IFERROR(__xludf.DUMMYFUNCTION("""COMPUTED_VALUE"""),"PI7859Y")</f>
        <v>PI7859Y</v>
      </c>
      <c r="C4221" s="186" t="str">
        <f>IFERROR(__xludf.DUMMYFUNCTION("""COMPUTED_VALUE"""),"BOLSA PUFFER ALCAS MARROM")</f>
        <v>BOLSA PUFFER ALCAS MARROM</v>
      </c>
      <c r="D4221" s="186" t="str">
        <f>IFERROR(__xludf.DUMMYFUNCTION("""COMPUTED_VALUE"""),"FALSO")</f>
        <v>FALSO</v>
      </c>
    </row>
    <row r="4222">
      <c r="B4222" s="186" t="str">
        <f>IFERROR(__xludf.DUMMYFUNCTION("""COMPUTED_VALUE"""),"PI7858Y")</f>
        <v>PI7858Y</v>
      </c>
      <c r="C4222" s="186" t="str">
        <f>IFERROR(__xludf.DUMMYFUNCTION("""COMPUTED_VALUE"""),"BOLSA PUFFER ALCAS VERDE ESCURA")</f>
        <v>BOLSA PUFFER ALCAS VERDE ESCURA</v>
      </c>
      <c r="D4222" s="186" t="str">
        <f>IFERROR(__xludf.DUMMYFUNCTION("""COMPUTED_VALUE"""),"FALSO")</f>
        <v>FALSO</v>
      </c>
    </row>
    <row r="4223">
      <c r="B4223" s="186" t="str">
        <f>IFERROR(__xludf.DUMMYFUNCTION("""COMPUTED_VALUE"""),"PI7869Y")</f>
        <v>PI7869Y</v>
      </c>
      <c r="C4223" s="186" t="str">
        <f>IFERROR(__xludf.DUMMYFUNCTION("""COMPUTED_VALUE"""),"BOLSA PUFFER M BEGE")</f>
        <v>BOLSA PUFFER M BEGE</v>
      </c>
      <c r="D4223" s="186" t="str">
        <f>IFERROR(__xludf.DUMMYFUNCTION("""COMPUTED_VALUE"""),"FALSO")</f>
        <v>FALSO</v>
      </c>
    </row>
    <row r="4224">
      <c r="B4224" s="186" t="str">
        <f>IFERROR(__xludf.DUMMYFUNCTION("""COMPUTED_VALUE"""),"PI7866Y")</f>
        <v>PI7866Y</v>
      </c>
      <c r="C4224" s="186" t="str">
        <f>IFERROR(__xludf.DUMMYFUNCTION("""COMPUTED_VALUE"""),"BOLSA PUFFER M PRETA")</f>
        <v>BOLSA PUFFER M PRETA</v>
      </c>
      <c r="D4224" s="186" t="str">
        <f>IFERROR(__xludf.DUMMYFUNCTION("""COMPUTED_VALUE"""),"FALSO")</f>
        <v>FALSO</v>
      </c>
    </row>
    <row r="4225">
      <c r="B4225" s="186" t="str">
        <f>IFERROR(__xludf.DUMMYFUNCTION("""COMPUTED_VALUE"""),"PI7868Y")</f>
        <v>PI7868Y</v>
      </c>
      <c r="C4225" s="186" t="str">
        <f>IFERROR(__xludf.DUMMYFUNCTION("""COMPUTED_VALUE"""),"BOLSA PUFFER M VERDE CLARA")</f>
        <v>BOLSA PUFFER M VERDE CLARA</v>
      </c>
      <c r="D4225" s="186" t="str">
        <f>IFERROR(__xludf.DUMMYFUNCTION("""COMPUTED_VALUE"""),"FALSO")</f>
        <v>FALSO</v>
      </c>
    </row>
    <row r="4226">
      <c r="B4226" s="186" t="str">
        <f>IFERROR(__xludf.DUMMYFUNCTION("""COMPUTED_VALUE"""),"PI7867Y")</f>
        <v>PI7867Y</v>
      </c>
      <c r="C4226" s="186" t="str">
        <f>IFERROR(__xludf.DUMMYFUNCTION("""COMPUTED_VALUE"""),"BOLSA PUFFER M ROSA")</f>
        <v>BOLSA PUFFER M ROSA</v>
      </c>
      <c r="D4226" s="186" t="str">
        <f>IFERROR(__xludf.DUMMYFUNCTION("""COMPUTED_VALUE"""),"FALSO")</f>
        <v>FALSO</v>
      </c>
    </row>
    <row r="4227">
      <c r="B4227" s="186" t="str">
        <f>IFERROR(__xludf.DUMMYFUNCTION("""COMPUTED_VALUE"""),"PI6521Y")</f>
        <v>PI6521Y</v>
      </c>
      <c r="C4227" s="186" t="str">
        <f>IFERROR(__xludf.DUMMYFUNCTION("""COMPUTED_VALUE"""),"BOLSA MATELASSE PRETA DETALHES NEON")</f>
        <v>BOLSA MATELASSE PRETA DETALHES NEON</v>
      </c>
      <c r="D4227" s="186" t="str">
        <f>IFERROR(__xludf.DUMMYFUNCTION("""COMPUTED_VALUE"""),"FALSO")</f>
        <v>FALSO</v>
      </c>
    </row>
    <row r="4228">
      <c r="B4228" s="186" t="str">
        <f>IFERROR(__xludf.DUMMYFUNCTION("""COMPUTED_VALUE"""),"PI7414Y")</f>
        <v>PI7414Y</v>
      </c>
      <c r="C4228" s="186" t="str">
        <f>IFERROR(__xludf.DUMMYFUNCTION("""COMPUTED_VALUE"""),"BOLSA TOTE MATELASSE PRETA")</f>
        <v>BOLSA TOTE MATELASSE PRETA</v>
      </c>
      <c r="D4228" s="186" t="str">
        <f>IFERROR(__xludf.DUMMYFUNCTION("""COMPUTED_VALUE"""),"FALSO")</f>
        <v>FALSO</v>
      </c>
    </row>
    <row r="4229">
      <c r="B4229" s="186" t="str">
        <f>IFERROR(__xludf.DUMMYFUNCTION("""COMPUTED_VALUE"""),"PI3819Y")</f>
        <v>PI3819Y</v>
      </c>
      <c r="C4229" s="186" t="str">
        <f>IFERROR(__xludf.DUMMYFUNCTION("""COMPUTED_VALUE"""),"BOLSA ESCOLA PRETA")</f>
        <v>BOLSA ESCOLA PRETA</v>
      </c>
      <c r="D4229" s="186" t="str">
        <f>IFERROR(__xludf.DUMMYFUNCTION("""COMPUTED_VALUE"""),"FALSO")</f>
        <v>FALSO</v>
      </c>
    </row>
    <row r="4230">
      <c r="B4230" s="186" t="str">
        <f>IFERROR(__xludf.DUMMYFUNCTION("""COMPUTED_VALUE"""),"PI6640Y")</f>
        <v>PI6640Y</v>
      </c>
      <c r="C4230" s="186" t="str">
        <f>IFERROR(__xludf.DUMMYFUNCTION("""COMPUTED_VALUE"""),"BOLSA MATELASSE PRETA COM DETALHES PINK")</f>
        <v>BOLSA MATELASSE PRETA COM DETALHES PINK</v>
      </c>
      <c r="D4230" s="186" t="str">
        <f>IFERROR(__xludf.DUMMYFUNCTION("""COMPUTED_VALUE"""),"FALSO")</f>
        <v>FALSO</v>
      </c>
    </row>
    <row r="4231">
      <c r="B4231" s="186" t="str">
        <f>IFERROR(__xludf.DUMMYFUNCTION("""COMPUTED_VALUE"""),"PI5632Y")</f>
        <v>PI5632Y</v>
      </c>
      <c r="C4231" s="186" t="str">
        <f>IFERROR(__xludf.DUMMYFUNCTION("""COMPUTED_VALUE"""),"BOLSA SOFT DEIXA FLUIR")</f>
        <v>BOLSA SOFT DEIXA FLUIR</v>
      </c>
      <c r="D4231" s="186" t="str">
        <f>IFERROR(__xludf.DUMMYFUNCTION("""COMPUTED_VALUE"""),"FALSO")</f>
        <v>FALSO</v>
      </c>
    </row>
    <row r="4232">
      <c r="B4232" s="186" t="str">
        <f>IFERROR(__xludf.DUMMYFUNCTION("""COMPUTED_VALUE"""),"PI5152Y")</f>
        <v>PI5152Y</v>
      </c>
      <c r="C4232" s="186" t="str">
        <f>IFERROR(__xludf.DUMMYFUNCTION("""COMPUTED_VALUE"""),"BOLSA STRANGER THINGS FITA")</f>
        <v>BOLSA STRANGER THINGS FITA</v>
      </c>
      <c r="D4232" s="186" t="str">
        <f>IFERROR(__xludf.DUMMYFUNCTION("""COMPUTED_VALUE"""),"FALSO")</f>
        <v>FALSO</v>
      </c>
    </row>
    <row r="4233">
      <c r="B4233" s="186" t="str">
        <f>IFERROR(__xludf.DUMMYFUNCTION("""COMPUTED_VALUE"""),"PI7670Y")</f>
        <v>PI7670Y</v>
      </c>
      <c r="C4233" s="186" t="str">
        <f>IFERROR(__xludf.DUMMYFUNCTION("""COMPUTED_VALUE"""),"BOLSA TOTE CANVAS OFF WHITE")</f>
        <v>BOLSA TOTE CANVAS OFF WHITE</v>
      </c>
      <c r="D4233" s="186" t="str">
        <f>IFERROR(__xludf.DUMMYFUNCTION("""COMPUTED_VALUE"""),"FALSO")</f>
        <v>FALSO</v>
      </c>
    </row>
    <row r="4234">
      <c r="B4234" s="186" t="str">
        <f>IFERROR(__xludf.DUMMYFUNCTION("""COMPUTED_VALUE"""),"PI6414Y")</f>
        <v>PI6414Y</v>
      </c>
      <c r="C4234" s="186" t="str">
        <f>IFERROR(__xludf.DUMMYFUNCTION("""COMPUTED_VALUE"""),"BOLSA TOTE COTELE CORAL")</f>
        <v>BOLSA TOTE COTELE CORAL</v>
      </c>
      <c r="D4234" s="186" t="str">
        <f>IFERROR(__xludf.DUMMYFUNCTION("""COMPUTED_VALUE"""),"FALSO")</f>
        <v>FALSO</v>
      </c>
    </row>
    <row r="4235">
      <c r="B4235" s="186" t="str">
        <f>IFERROR(__xludf.DUMMYFUNCTION("""COMPUTED_VALUE"""),"PI5669Y")</f>
        <v>PI5669Y</v>
      </c>
      <c r="C4235" s="186" t="str">
        <f>IFERROR(__xludf.DUMMYFUNCTION("""COMPUTED_VALUE"""),"BOLSA BAGUETE ALCA DUPLA PRETA COM ROSA")</f>
        <v>BOLSA BAGUETE ALCA DUPLA PRETA COM ROSA</v>
      </c>
      <c r="D4235" s="186" t="str">
        <f>IFERROR(__xludf.DUMMYFUNCTION("""COMPUTED_VALUE"""),"FALSO")</f>
        <v>FALSO</v>
      </c>
    </row>
    <row r="4236">
      <c r="B4236" s="186" t="str">
        <f>IFERROR(__xludf.DUMMYFUNCTION("""COMPUTED_VALUE"""),"PI5671Y")</f>
        <v>PI5671Y</v>
      </c>
      <c r="C4236" s="186" t="str">
        <f>IFERROR(__xludf.DUMMYFUNCTION("""COMPUTED_VALUE"""),"BOLSA BAGUETE COM NIQUELEIRA ROSA CLARO")</f>
        <v>BOLSA BAGUETE COM NIQUELEIRA ROSA CLARO</v>
      </c>
      <c r="D4236" s="186" t="str">
        <f>IFERROR(__xludf.DUMMYFUNCTION("""COMPUTED_VALUE"""),"FALSO")</f>
        <v>FALSO</v>
      </c>
    </row>
    <row r="4237">
      <c r="B4237" s="186" t="str">
        <f>IFERROR(__xludf.DUMMYFUNCTION("""COMPUTED_VALUE"""),"PI7865Y")</f>
        <v>PI7865Y</v>
      </c>
      <c r="C4237" s="186" t="str">
        <f>IFERROR(__xludf.DUMMYFUNCTION("""COMPUTED_VALUE"""),"BOLSA LISTRAS VERTICAIS PRETO")</f>
        <v>BOLSA LISTRAS VERTICAIS PRETO</v>
      </c>
      <c r="D4237" s="186" t="str">
        <f>IFERROR(__xludf.DUMMYFUNCTION("""COMPUTED_VALUE"""),"FALSO")</f>
        <v>FALSO</v>
      </c>
    </row>
    <row r="4238">
      <c r="B4238" s="186" t="str">
        <f>IFERROR(__xludf.DUMMYFUNCTION("""COMPUTED_VALUE"""),"PI7864Y")</f>
        <v>PI7864Y</v>
      </c>
      <c r="C4238" s="186" t="str">
        <f>IFERROR(__xludf.DUMMYFUNCTION("""COMPUTED_VALUE"""),"BOLSA LISTRAS VERTICAIS VERDE MILITAR")</f>
        <v>BOLSA LISTRAS VERTICAIS VERDE MILITAR</v>
      </c>
      <c r="D4238" s="186" t="str">
        <f>IFERROR(__xludf.DUMMYFUNCTION("""COMPUTED_VALUE"""),"FALSO")</f>
        <v>FALSO</v>
      </c>
    </row>
    <row r="4239">
      <c r="B4239" s="186" t="str">
        <f>IFERROR(__xludf.DUMMYFUNCTION("""COMPUTED_VALUE"""),"PI7862Y")</f>
        <v>PI7862Y</v>
      </c>
      <c r="C4239" s="186" t="str">
        <f>IFERROR(__xludf.DUMMYFUNCTION("""COMPUTED_VALUE"""),"BOLSA LISTRAS VERTICAIS LILAS")</f>
        <v>BOLSA LISTRAS VERTICAIS LILAS</v>
      </c>
      <c r="D4239" s="186" t="str">
        <f>IFERROR(__xludf.DUMMYFUNCTION("""COMPUTED_VALUE"""),"FALSO")</f>
        <v>FALSO</v>
      </c>
    </row>
    <row r="4240">
      <c r="B4240" s="186" t="str">
        <f>IFERROR(__xludf.DUMMYFUNCTION("""COMPUTED_VALUE"""),"PI7863Y")</f>
        <v>PI7863Y</v>
      </c>
      <c r="C4240" s="186" t="str">
        <f>IFERROR(__xludf.DUMMYFUNCTION("""COMPUTED_VALUE"""),"BOLSA LISTRAS VERTICAIS AMARELA CLARA")</f>
        <v>BOLSA LISTRAS VERTICAIS AMARELA CLARA</v>
      </c>
      <c r="D4240" s="186" t="str">
        <f>IFERROR(__xludf.DUMMYFUNCTION("""COMPUTED_VALUE"""),"FALSO")</f>
        <v>FALSO</v>
      </c>
    </row>
    <row r="4241">
      <c r="B4241" s="186" t="str">
        <f>IFERROR(__xludf.DUMMYFUNCTION("""COMPUTED_VALUE"""),"PI6406Y")</f>
        <v>PI6406Y</v>
      </c>
      <c r="C4241" s="186" t="str">
        <f>IFERROR(__xludf.DUMMYFUNCTION("""COMPUTED_VALUE"""),"BOLSA CARTEIRA PORTA CELULAR PRETA")</f>
        <v>BOLSA CARTEIRA PORTA CELULAR PRETA</v>
      </c>
      <c r="D4241" s="186" t="str">
        <f>IFERROR(__xludf.DUMMYFUNCTION("""COMPUTED_VALUE"""),"FALSO")</f>
        <v>FALSO</v>
      </c>
    </row>
    <row r="4242">
      <c r="B4242" s="186" t="str">
        <f>IFERROR(__xludf.DUMMYFUNCTION("""COMPUTED_VALUE"""),"PI6406Y")</f>
        <v>PI6406Y</v>
      </c>
      <c r="C4242" s="186" t="str">
        <f>IFERROR(__xludf.DUMMYFUNCTION("""COMPUTED_VALUE"""),"BOLSA CARTEIRA PORTA CELULAR PRETA")</f>
        <v>BOLSA CARTEIRA PORTA CELULAR PRETA</v>
      </c>
      <c r="D4242" s="186" t="str">
        <f>IFERROR(__xludf.DUMMYFUNCTION("""COMPUTED_VALUE"""),"FALSO")</f>
        <v>FALSO</v>
      </c>
    </row>
    <row r="4243">
      <c r="B4243" s="186" t="str">
        <f>IFERROR(__xludf.DUMMYFUNCTION("""COMPUTED_VALUE"""),"PI5015Y")</f>
        <v>PI5015Y</v>
      </c>
      <c r="C4243" s="186" t="str">
        <f>IFERROR(__xludf.DUMMYFUNCTION("""COMPUTED_VALUE"""),"BOLSA CARTEIRA PORTA CELULAR AZUL")</f>
        <v>BOLSA CARTEIRA PORTA CELULAR AZUL</v>
      </c>
      <c r="D4243" s="186" t="str">
        <f>IFERROR(__xludf.DUMMYFUNCTION("""COMPUTED_VALUE"""),"FALSO")</f>
        <v>FALSO</v>
      </c>
    </row>
    <row r="4244">
      <c r="B4244" s="186" t="str">
        <f>IFERROR(__xludf.DUMMYFUNCTION("""COMPUTED_VALUE"""),"PI6407Y")</f>
        <v>PI6407Y</v>
      </c>
      <c r="C4244" s="186" t="str">
        <f>IFERROR(__xludf.DUMMYFUNCTION("""COMPUTED_VALUE"""),"BOLSA CARTEIRA PORTA CELULAR VERMELHA")</f>
        <v>BOLSA CARTEIRA PORTA CELULAR VERMELHA</v>
      </c>
      <c r="D4244" s="186" t="str">
        <f>IFERROR(__xludf.DUMMYFUNCTION("""COMPUTED_VALUE"""),"FALSO")</f>
        <v>FALSO</v>
      </c>
    </row>
    <row r="4245">
      <c r="B4245" s="186" t="str">
        <f>IFERROR(__xludf.DUMMYFUNCTION("""COMPUTED_VALUE"""),"PI6855Y")</f>
        <v>PI6855Y</v>
      </c>
      <c r="C4245" s="186" t="str">
        <f>IFERROR(__xludf.DUMMYFUNCTION("""COMPUTED_VALUE"""),"BOLSA CARTEIRA PORTA CELULAR HP FEITICOS")</f>
        <v>BOLSA CARTEIRA PORTA CELULAR HP FEITICOS</v>
      </c>
      <c r="D4245" s="186" t="str">
        <f>IFERROR(__xludf.DUMMYFUNCTION("""COMPUTED_VALUE"""),"FALSO")</f>
        <v>FALSO</v>
      </c>
    </row>
    <row r="4246">
      <c r="B4246" s="186" t="str">
        <f>IFERROR(__xludf.DUMMYFUNCTION("""COMPUTED_VALUE"""),"PI7758Y")</f>
        <v>PI7758Y</v>
      </c>
      <c r="C4246" s="186" t="str">
        <f>IFERROR(__xludf.DUMMYFUNCTION("""COMPUTED_VALUE"""),"BOLSA BEM ESTAR MESH PRETA")</f>
        <v>BOLSA BEM ESTAR MESH PRETA</v>
      </c>
      <c r="D4246" s="186" t="str">
        <f>IFERROR(__xludf.DUMMYFUNCTION("""COMPUTED_VALUE"""),"FALSO")</f>
        <v>FALSO</v>
      </c>
    </row>
    <row r="4247">
      <c r="B4247" s="186" t="str">
        <f>IFERROR(__xludf.DUMMYFUNCTION("""COMPUTED_VALUE"""),"PI5673Y")</f>
        <v>PI5673Y</v>
      </c>
      <c r="C4247" s="186" t="str">
        <f>IFERROR(__xludf.DUMMYFUNCTION("""COMPUTED_VALUE"""),"BOLSA BEM ESTAR VERDE MILITAR")</f>
        <v>BOLSA BEM ESTAR VERDE MILITAR</v>
      </c>
      <c r="D4247" s="186" t="str">
        <f>IFERROR(__xludf.DUMMYFUNCTION("""COMPUTED_VALUE"""),"FALSO")</f>
        <v>FALSO</v>
      </c>
    </row>
    <row r="4248">
      <c r="B4248" s="186" t="str">
        <f>IFERROR(__xludf.DUMMYFUNCTION("""COMPUTED_VALUE"""),"PI7410Y")</f>
        <v>PI7410Y</v>
      </c>
      <c r="C4248" s="186" t="str">
        <f>IFERROR(__xludf.DUMMYFUNCTION("""COMPUTED_VALUE"""),"BOLSA BEM ESTAR ROSA E VERMELHA")</f>
        <v>BOLSA BEM ESTAR ROSA E VERMELHA</v>
      </c>
      <c r="D4248" s="186" t="str">
        <f>IFERROR(__xludf.DUMMYFUNCTION("""COMPUTED_VALUE"""),"FALSO")</f>
        <v>FALSO</v>
      </c>
    </row>
    <row r="4249">
      <c r="B4249" s="186" t="str">
        <f>IFERROR(__xludf.DUMMYFUNCTION("""COMPUTED_VALUE"""),"PI5011Y")</f>
        <v>PI5011Y</v>
      </c>
      <c r="C4249" s="186" t="str">
        <f>IFERROR(__xludf.DUMMYFUNCTION("""COMPUTED_VALUE"""),"BOLSA DIVISORIA TERMICA PRETA")</f>
        <v>BOLSA DIVISORIA TERMICA PRETA</v>
      </c>
      <c r="D4249" s="186" t="str">
        <f>IFERROR(__xludf.DUMMYFUNCTION("""COMPUTED_VALUE"""),"FALSO")</f>
        <v>FALSO</v>
      </c>
    </row>
    <row r="4250">
      <c r="B4250" s="186" t="str">
        <f>IFERROR(__xludf.DUMMYFUNCTION("""COMPUTED_VALUE"""),"PI5011Y")</f>
        <v>PI5011Y</v>
      </c>
      <c r="C4250" s="186" t="str">
        <f>IFERROR(__xludf.DUMMYFUNCTION("""COMPUTED_VALUE"""),"BOLSA DIVISORIA TERMICA PRETA")</f>
        <v>BOLSA DIVISORIA TERMICA PRETA</v>
      </c>
      <c r="D4250" s="186" t="str">
        <f>IFERROR(__xludf.DUMMYFUNCTION("""COMPUTED_VALUE"""),"FALSO")</f>
        <v>FALSO</v>
      </c>
    </row>
    <row r="4251">
      <c r="B4251" s="186" t="str">
        <f>IFERROR(__xludf.DUMMYFUNCTION("""COMPUTED_VALUE"""),"PI5011Y")</f>
        <v>PI5011Y</v>
      </c>
      <c r="C4251" s="186" t="str">
        <f>IFERROR(__xludf.DUMMYFUNCTION("""COMPUTED_VALUE"""),"BOLSA DIVISORIA TERMICA PRETA")</f>
        <v>BOLSA DIVISORIA TERMICA PRETA</v>
      </c>
      <c r="D4251" s="186" t="str">
        <f>IFERROR(__xludf.DUMMYFUNCTION("""COMPUTED_VALUE"""),"FALSO")</f>
        <v>FALSO</v>
      </c>
    </row>
    <row r="4252">
      <c r="B4252" s="186" t="str">
        <f>IFERROR(__xludf.DUMMYFUNCTION("""COMPUTED_VALUE"""),"PI5011Y")</f>
        <v>PI5011Y</v>
      </c>
      <c r="C4252" s="186" t="str">
        <f>IFERROR(__xludf.DUMMYFUNCTION("""COMPUTED_VALUE"""),"BOLSA DIVISORIA TERMICA PRETA")</f>
        <v>BOLSA DIVISORIA TERMICA PRETA</v>
      </c>
      <c r="D4252" s="186" t="str">
        <f>IFERROR(__xludf.DUMMYFUNCTION("""COMPUTED_VALUE"""),"FALSO")</f>
        <v>FALSO</v>
      </c>
    </row>
    <row r="4253">
      <c r="B4253" s="186" t="str">
        <f>IFERROR(__xludf.DUMMYFUNCTION("""COMPUTED_VALUE"""),"PI6420Y")</f>
        <v>PI6420Y</v>
      </c>
      <c r="C4253" s="186" t="str">
        <f>IFERROR(__xludf.DUMMYFUNCTION("""COMPUTED_VALUE"""),"BOLSA COM BOLSA DE NOTEBOOK REMOVIVEL")</f>
        <v>BOLSA COM BOLSA DE NOTEBOOK REMOVIVEL</v>
      </c>
      <c r="D4253" s="186" t="str">
        <f>IFERROR(__xludf.DUMMYFUNCTION("""COMPUTED_VALUE"""),"FALSO")</f>
        <v>FALSO</v>
      </c>
    </row>
    <row r="4254">
      <c r="B4254" s="186" t="str">
        <f>IFERROR(__xludf.DUMMYFUNCTION("""COMPUTED_VALUE"""),"PI6420Y")</f>
        <v>PI6420Y</v>
      </c>
      <c r="C4254" s="186" t="str">
        <f>IFERROR(__xludf.DUMMYFUNCTION("""COMPUTED_VALUE"""),"BOLSA COM BOLSA DE NOTEBOOK REMOVIVEL")</f>
        <v>BOLSA COM BOLSA DE NOTEBOOK REMOVIVEL</v>
      </c>
      <c r="D4254" s="186" t="str">
        <f>IFERROR(__xludf.DUMMYFUNCTION("""COMPUTED_VALUE"""),"FALSO")</f>
        <v>FALSO</v>
      </c>
    </row>
    <row r="4255">
      <c r="B4255" s="186" t="str">
        <f>IFERROR(__xludf.DUMMYFUNCTION("""COMPUTED_VALUE"""),"PI6420Y")</f>
        <v>PI6420Y</v>
      </c>
      <c r="C4255" s="186" t="str">
        <f>IFERROR(__xludf.DUMMYFUNCTION("""COMPUTED_VALUE"""),"BOLSA COM BOLSA DE NOTEBOOK REMOVIVEL")</f>
        <v>BOLSA COM BOLSA DE NOTEBOOK REMOVIVEL</v>
      </c>
      <c r="D4255" s="186" t="str">
        <f>IFERROR(__xludf.DUMMYFUNCTION("""COMPUTED_VALUE"""),"FALSO")</f>
        <v>FALSO</v>
      </c>
    </row>
    <row r="4256">
      <c r="B4256" s="186" t="str">
        <f>IFERROR(__xludf.DUMMYFUNCTION("""COMPUTED_VALUE"""),"PI6420Y")</f>
        <v>PI6420Y</v>
      </c>
      <c r="C4256" s="186" t="str">
        <f>IFERROR(__xludf.DUMMYFUNCTION("""COMPUTED_VALUE"""),"BOLSA COM BOLSA DE NOTEBOOK REMOVIVEL")</f>
        <v>BOLSA COM BOLSA DE NOTEBOOK REMOVIVEL</v>
      </c>
      <c r="D4256" s="186" t="str">
        <f>IFERROR(__xludf.DUMMYFUNCTION("""COMPUTED_VALUE"""),"FALSO")</f>
        <v>FALSO</v>
      </c>
    </row>
    <row r="4257">
      <c r="B4257" s="186" t="str">
        <f>IFERROR(__xludf.DUMMYFUNCTION("""COMPUTED_VALUE"""),"PI6753Y")</f>
        <v>PI6753Y</v>
      </c>
      <c r="C4257" s="186" t="str">
        <f>IFERROR(__xludf.DUMMYFUNCTION("""COMPUTED_VALUE"""),"BOLSA G PRETA MANDM")</f>
        <v>BOLSA G PRETA MANDM</v>
      </c>
      <c r="D4257" s="186" t="str">
        <f>IFERROR(__xludf.DUMMYFUNCTION("""COMPUTED_VALUE"""),"FALSO")</f>
        <v>FALSO</v>
      </c>
    </row>
    <row r="4258">
      <c r="B4258" s="186" t="str">
        <f>IFERROR(__xludf.DUMMYFUNCTION("""COMPUTED_VALUE"""),"PI6729Y")</f>
        <v>PI6729Y</v>
      </c>
      <c r="C4258" s="186" t="str">
        <f>IFERROR(__xludf.DUMMYFUNCTION("""COMPUTED_VALUE"""),"BOLSA M PRETA MANDM")</f>
        <v>BOLSA M PRETA MANDM</v>
      </c>
      <c r="D4258" s="186" t="str">
        <f>IFERROR(__xludf.DUMMYFUNCTION("""COMPUTED_VALUE"""),"FALSO")</f>
        <v>FALSO</v>
      </c>
    </row>
    <row r="4259">
      <c r="B4259" s="186" t="str">
        <f>IFERROR(__xludf.DUMMYFUNCTION("""COMPUTED_VALUE"""),"PI6728Y")</f>
        <v>PI6728Y</v>
      </c>
      <c r="C4259" s="186" t="str">
        <f>IFERROR(__xludf.DUMMYFUNCTION("""COMPUTED_VALUE"""),"BOLSA P PRETA MANDM")</f>
        <v>BOLSA P PRETA MANDM</v>
      </c>
      <c r="D4259" s="186" t="str">
        <f>IFERROR(__xludf.DUMMYFUNCTION("""COMPUTED_VALUE"""),"FALSO")</f>
        <v>FALSO</v>
      </c>
    </row>
    <row r="4260">
      <c r="B4260" s="186"/>
      <c r="C4260" s="186"/>
      <c r="D4260" s="186"/>
    </row>
    <row r="4261">
      <c r="B4261" s="186" t="str">
        <f>IFERROR(__xludf.DUMMYFUNCTION("""COMPUTED_VALUE"""),"PI6728Y")</f>
        <v>PI6728Y</v>
      </c>
      <c r="C4261" s="186" t="str">
        <f>IFERROR(__xludf.DUMMYFUNCTION("""COMPUTED_VALUE"""),"BOLSA P PRETA MANDM")</f>
        <v>BOLSA P PRETA MANDM</v>
      </c>
      <c r="D4261" s="186" t="str">
        <f>IFERROR(__xludf.DUMMYFUNCTION("""COMPUTED_VALUE"""),"FALSO")</f>
        <v>FALSO</v>
      </c>
    </row>
    <row r="4262">
      <c r="B4262" s="186" t="str">
        <f>IFERROR(__xludf.DUMMYFUNCTION("""COMPUTED_VALUE"""),"PI5994Y")</f>
        <v>PI5994Y</v>
      </c>
      <c r="C4262" s="186" t="str">
        <f>IFERROR(__xludf.DUMMYFUNCTION("""COMPUTED_VALUE"""),"BOLSA BUCKET PRETA CORACOES")</f>
        <v>BOLSA BUCKET PRETA CORACOES</v>
      </c>
      <c r="D4262" s="186" t="str">
        <f>IFERROR(__xludf.DUMMYFUNCTION("""COMPUTED_VALUE"""),"FALSO")</f>
        <v>FALSO</v>
      </c>
    </row>
    <row r="4263">
      <c r="B4263" s="186" t="str">
        <f>IFERROR(__xludf.DUMMYFUNCTION("""COMPUTED_VALUE"""),"PI6520Y")</f>
        <v>PI6520Y</v>
      </c>
      <c r="C4263" s="186" t="str">
        <f>IFERROR(__xludf.DUMMYFUNCTION("""COMPUTED_VALUE"""),"BOLSA CANVAS LISTRADA")</f>
        <v>BOLSA CANVAS LISTRADA</v>
      </c>
      <c r="D4263" s="186" t="str">
        <f>IFERROR(__xludf.DUMMYFUNCTION("""COMPUTED_VALUE"""),"FALSO")</f>
        <v>FALSO</v>
      </c>
    </row>
    <row r="4264">
      <c r="B4264" s="186" t="str">
        <f>IFERROR(__xludf.DUMMYFUNCTION("""COMPUTED_VALUE"""),"PI5421Y")</f>
        <v>PI5421Y</v>
      </c>
      <c r="C4264" s="186" t="str">
        <f>IFERROR(__xludf.DUMMYFUNCTION("""COMPUTED_VALUE"""),"CARTEIRA PARA CARTAO HP LUNA")</f>
        <v>CARTEIRA PARA CARTAO HP LUNA</v>
      </c>
      <c r="D4264" s="186" t="str">
        <f>IFERROR(__xludf.DUMMYFUNCTION("""COMPUTED_VALUE"""),"FALSO")</f>
        <v>FALSO</v>
      </c>
    </row>
    <row r="4265">
      <c r="B4265" s="186" t="str">
        <f>IFERROR(__xludf.DUMMYFUNCTION("""COMPUTED_VALUE"""),"PI5857Y")</f>
        <v>PI5857Y</v>
      </c>
      <c r="C4265" s="186" t="str">
        <f>IFERROR(__xludf.DUMMYFUNCTION("""COMPUTED_VALUE"""),"CARTEIRA PARA CARTAO MATELASSE ROSE")</f>
        <v>CARTEIRA PARA CARTAO MATELASSE ROSE</v>
      </c>
      <c r="D4265" s="186" t="str">
        <f>IFERROR(__xludf.DUMMYFUNCTION("""COMPUTED_VALUE"""),"FALSO")</f>
        <v>FALSO</v>
      </c>
    </row>
    <row r="4266">
      <c r="B4266" s="186" t="str">
        <f>IFERROR(__xludf.DUMMYFUNCTION("""COMPUTED_VALUE"""),"PI5153Y")</f>
        <v>PI5153Y</v>
      </c>
      <c r="C4266" s="186" t="str">
        <f>IFERROR(__xludf.DUMMYFUNCTION("""COMPUTED_VALUE"""),"CARTEIRA PRA CARTAO STRANGER THINGS FITA")</f>
        <v>CARTEIRA PRA CARTAO STRANGER THINGS FITA</v>
      </c>
      <c r="D4266" s="186" t="str">
        <f>IFERROR(__xludf.DUMMYFUNCTION("""COMPUTED_VALUE"""),"FALSO")</f>
        <v>FALSO</v>
      </c>
    </row>
    <row r="4267">
      <c r="B4267" s="186" t="str">
        <f>IFERROR(__xludf.DUMMYFUNCTION("""COMPUTED_VALUE"""),"PI4706Y")</f>
        <v>PI4706Y</v>
      </c>
      <c r="C4267" s="186" t="str">
        <f>IFERROR(__xludf.DUMMYFUNCTION("""COMPUTED_VALUE"""),"BOLSA COMFORT DETALHES CARAMELO")</f>
        <v>BOLSA COMFORT DETALHES CARAMELO</v>
      </c>
      <c r="D4267" s="186" t="str">
        <f>IFERROR(__xludf.DUMMYFUNCTION("""COMPUTED_VALUE"""),"FALSO")</f>
        <v>FALSO</v>
      </c>
    </row>
    <row r="4268">
      <c r="B4268" s="186" t="str">
        <f>IFERROR(__xludf.DUMMYFUNCTION("""COMPUTED_VALUE"""),"PI5932Y")</f>
        <v>PI5932Y</v>
      </c>
      <c r="C4268" s="186" t="str">
        <f>IFERROR(__xludf.DUMMYFUNCTION("""COMPUTED_VALUE"""),"BOLSA SACO ALGODAO CRU")</f>
        <v>BOLSA SACO ALGODAO CRU</v>
      </c>
      <c r="D4268" s="186" t="str">
        <f>IFERROR(__xludf.DUMMYFUNCTION("""COMPUTED_VALUE"""),"FALSO")</f>
        <v>FALSO</v>
      </c>
    </row>
    <row r="4269">
      <c r="B4269" s="186" t="str">
        <f>IFERROR(__xludf.DUMMYFUNCTION("""COMPUTED_VALUE"""),"PI5205Y")</f>
        <v>PI5205Y</v>
      </c>
      <c r="C4269" s="186" t="str">
        <f>IFERROR(__xludf.DUMMYFUNCTION("""COMPUTED_VALUE"""),"BOLSA MIDI TRANSVERSAL PRETA")</f>
        <v>BOLSA MIDI TRANSVERSAL PRETA</v>
      </c>
      <c r="D4269" s="186" t="str">
        <f>IFERROR(__xludf.DUMMYFUNCTION("""COMPUTED_VALUE"""),"FALSO")</f>
        <v>FALSO</v>
      </c>
    </row>
    <row r="4270">
      <c r="B4270" s="186" t="str">
        <f>IFERROR(__xludf.DUMMYFUNCTION("""COMPUTED_VALUE"""),"PI5205Y")</f>
        <v>PI5205Y</v>
      </c>
      <c r="C4270" s="186" t="str">
        <f>IFERROR(__xludf.DUMMYFUNCTION("""COMPUTED_VALUE"""),"BOLSA MIDI TRANSVERSAL PRETA")</f>
        <v>BOLSA MIDI TRANSVERSAL PRETA</v>
      </c>
      <c r="D4270" s="186" t="str">
        <f>IFERROR(__xludf.DUMMYFUNCTION("""COMPUTED_VALUE"""),"FALSO")</f>
        <v>FALSO</v>
      </c>
    </row>
    <row r="4271">
      <c r="B4271" s="186" t="str">
        <f>IFERROR(__xludf.DUMMYFUNCTION("""COMPUTED_VALUE"""),"PI6466Y")</f>
        <v>PI6466Y</v>
      </c>
      <c r="C4271" s="186" t="str">
        <f>IFERROR(__xludf.DUMMYFUNCTION("""COMPUTED_VALUE"""),"BOLSA CROSSBODY MOSQUETAO PRETA")</f>
        <v>BOLSA CROSSBODY MOSQUETAO PRETA</v>
      </c>
      <c r="D4271" s="186" t="str">
        <f>IFERROR(__xludf.DUMMYFUNCTION("""COMPUTED_VALUE"""),"FALSO")</f>
        <v>FALSO</v>
      </c>
    </row>
    <row r="4272">
      <c r="B4272" s="186" t="str">
        <f>IFERROR(__xludf.DUMMYFUNCTION("""COMPUTED_VALUE"""),"PI6472Y")</f>
        <v>PI6472Y</v>
      </c>
      <c r="C4272" s="186" t="str">
        <f>IFERROR(__xludf.DUMMYFUNCTION("""COMPUTED_VALUE"""),"BOLSA ELISA SEU TEMPO")</f>
        <v>BOLSA ELISA SEU TEMPO</v>
      </c>
      <c r="D4272" s="186" t="str">
        <f>IFERROR(__xludf.DUMMYFUNCTION("""COMPUTED_VALUE"""),"FALSO")</f>
        <v>FALSO</v>
      </c>
    </row>
    <row r="4273">
      <c r="B4273" s="186" t="str">
        <f>IFERROR(__xludf.DUMMYFUNCTION("""COMPUTED_VALUE"""),"PI6755Y")</f>
        <v>PI6755Y</v>
      </c>
      <c r="C4273" s="186" t="str">
        <f>IFERROR(__xludf.DUMMYFUNCTION("""COMPUTED_VALUE"""),"BOLSA P VERDE MANDM")</f>
        <v>BOLSA P VERDE MANDM</v>
      </c>
      <c r="D4273" s="186" t="str">
        <f>IFERROR(__xludf.DUMMYFUNCTION("""COMPUTED_VALUE"""),"FALSO")</f>
        <v>FALSO</v>
      </c>
    </row>
    <row r="4274">
      <c r="B4274" s="186" t="str">
        <f>IFERROR(__xludf.DUMMYFUNCTION("""COMPUTED_VALUE"""),"PI6857Y")</f>
        <v>PI6857Y</v>
      </c>
      <c r="C4274" s="186" t="str">
        <f>IFERROR(__xludf.DUMMYFUNCTION("""COMPUTED_VALUE"""),"MOCHILA LAPTOP HP HOGWARTS")</f>
        <v>MOCHILA LAPTOP HP HOGWARTS</v>
      </c>
      <c r="D4274" s="186" t="str">
        <f>IFERROR(__xludf.DUMMYFUNCTION("""COMPUTED_VALUE"""),"FALSO")</f>
        <v>FALSO</v>
      </c>
    </row>
    <row r="4275">
      <c r="B4275" s="186" t="str">
        <f>IFERROR(__xludf.DUMMYFUNCTION("""COMPUTED_VALUE"""),"PI5220Y")</f>
        <v>PI5220Y</v>
      </c>
      <c r="C4275" s="186" t="str">
        <f>IFERROR(__xludf.DUMMYFUNCTION("""COMPUTED_VALUE"""),"MOCHILA LAPTOP BEATLES ALL YOU NEED")</f>
        <v>MOCHILA LAPTOP BEATLES ALL YOU NEED</v>
      </c>
      <c r="D4275" s="186" t="str">
        <f>IFERROR(__xludf.DUMMYFUNCTION("""COMPUTED_VALUE"""),"FALSO")</f>
        <v>FALSO</v>
      </c>
    </row>
    <row r="4276">
      <c r="B4276" s="186" t="str">
        <f>IFERROR(__xludf.DUMMYFUNCTION("""COMPUTED_VALUE"""),"PI4512Y")</f>
        <v>PI4512Y</v>
      </c>
      <c r="C4276" s="186" t="str">
        <f>IFERROR(__xludf.DUMMYFUNCTION("""COMPUTED_VALUE"""),"MOCHILA LAPTOP HP LUNA")</f>
        <v>MOCHILA LAPTOP HP LUNA</v>
      </c>
      <c r="D4276" s="186" t="str">
        <f>IFERROR(__xludf.DUMMYFUNCTION("""COMPUTED_VALUE"""),"FALSO")</f>
        <v>FALSO</v>
      </c>
    </row>
    <row r="4277">
      <c r="B4277" s="186" t="str">
        <f>IFERROR(__xludf.DUMMYFUNCTION("""COMPUTED_VALUE"""),"PI4512Y")</f>
        <v>PI4512Y</v>
      </c>
      <c r="C4277" s="186" t="str">
        <f>IFERROR(__xludf.DUMMYFUNCTION("""COMPUTED_VALUE"""),"MOCHILA LAPTOP HP LUNA")</f>
        <v>MOCHILA LAPTOP HP LUNA</v>
      </c>
      <c r="D4277" s="186" t="str">
        <f>IFERROR(__xludf.DUMMYFUNCTION("""COMPUTED_VALUE"""),"FALSO")</f>
        <v>FALSO</v>
      </c>
    </row>
    <row r="4278">
      <c r="B4278" s="186" t="str">
        <f>IFERROR(__xludf.DUMMYFUNCTION("""COMPUTED_VALUE"""),"PI4512Y")</f>
        <v>PI4512Y</v>
      </c>
      <c r="C4278" s="186" t="str">
        <f>IFERROR(__xludf.DUMMYFUNCTION("""COMPUTED_VALUE"""),"MOCHILA LAPTOP HP LUNA")</f>
        <v>MOCHILA LAPTOP HP LUNA</v>
      </c>
      <c r="D4278" s="186" t="str">
        <f>IFERROR(__xludf.DUMMYFUNCTION("""COMPUTED_VALUE"""),"FALSO")</f>
        <v>FALSO</v>
      </c>
    </row>
    <row r="4279">
      <c r="B4279" s="186" t="str">
        <f>IFERROR(__xludf.DUMMYFUNCTION("""COMPUTED_VALUE"""),"PI5020Y")</f>
        <v>PI5020Y</v>
      </c>
      <c r="C4279" s="186" t="str">
        <f>IFERROR(__xludf.DUMMYFUNCTION("""COMPUTED_VALUE"""),"MOCHILA LAPTOP SOL VAI")</f>
        <v>MOCHILA LAPTOP SOL VAI</v>
      </c>
      <c r="D4279" s="186" t="str">
        <f>IFERROR(__xludf.DUMMYFUNCTION("""COMPUTED_VALUE"""),"FALSO")</f>
        <v>FALSO</v>
      </c>
    </row>
    <row r="4280">
      <c r="B4280" s="186" t="str">
        <f>IFERROR(__xludf.DUMMYFUNCTION("""COMPUTED_VALUE"""),"PI7219Y")</f>
        <v>PI7219Y</v>
      </c>
      <c r="C4280" s="186" t="str">
        <f>IFERROR(__xludf.DUMMYFUNCTION("""COMPUTED_VALUE"""),"CAPA DE NOTEBOOK 15 EMBORRACHADA PRETA")</f>
        <v>CAPA DE NOTEBOOK 15 EMBORRACHADA PRETA</v>
      </c>
      <c r="D4280" s="186" t="str">
        <f>IFERROR(__xludf.DUMMYFUNCTION("""COMPUTED_VALUE"""),"FALSO")</f>
        <v>FALSO</v>
      </c>
    </row>
    <row r="4281">
      <c r="B4281" s="186" t="str">
        <f>IFERROR(__xludf.DUMMYFUNCTION("""COMPUTED_VALUE"""),"PI7488Y")</f>
        <v>PI7488Y</v>
      </c>
      <c r="C4281" s="186" t="str">
        <f>IFERROR(__xludf.DUMMYFUNCTION("""COMPUTED_VALUE"""),"CAPA DE NOTEBOOK ALÇA 15 POL PRETA")</f>
        <v>CAPA DE NOTEBOOK ALÇA 15 POL PRETA</v>
      </c>
      <c r="D4281" s="186" t="str">
        <f>IFERROR(__xludf.DUMMYFUNCTION("""COMPUTED_VALUE"""),"FALSO")</f>
        <v>FALSO</v>
      </c>
    </row>
    <row r="4282">
      <c r="B4282" s="186" t="str">
        <f>IFERROR(__xludf.DUMMYFUNCTION("""COMPUTED_VALUE"""),"PI7113Y")</f>
        <v>PI7113Y</v>
      </c>
      <c r="C4282" s="186" t="str">
        <f>IFERROR(__xludf.DUMMYFUNCTION("""COMPUTED_VALUE"""),"CAPA DE NOTEBOOK 15 MATELASSE ALCA CLARA")</f>
        <v>CAPA DE NOTEBOOK 15 MATELASSE ALCA CLARA</v>
      </c>
      <c r="D4282" s="186" t="str">
        <f>IFERROR(__xludf.DUMMYFUNCTION("""COMPUTED_VALUE"""),"FALSO")</f>
        <v>FALSO</v>
      </c>
    </row>
    <row r="4283">
      <c r="B4283" s="186" t="str">
        <f>IFERROR(__xludf.DUMMYFUNCTION("""COMPUTED_VALUE"""),"PI7113Y")</f>
        <v>PI7113Y</v>
      </c>
      <c r="C4283" s="186" t="str">
        <f>IFERROR(__xludf.DUMMYFUNCTION("""COMPUTED_VALUE"""),"CAPA DE NOTEBOOK 15 MATELASSE ALCA CLARA")</f>
        <v>CAPA DE NOTEBOOK 15 MATELASSE ALCA CLARA</v>
      </c>
      <c r="D4283" s="186" t="str">
        <f>IFERROR(__xludf.DUMMYFUNCTION("""COMPUTED_VALUE"""),"INMETRO SCHOOL ARTICLES SYSTEM 5 - ORDINANCE 481")</f>
        <v>INMETRO SCHOOL ARTICLES SYSTEM 5 - ORDINANCE 481</v>
      </c>
    </row>
    <row r="4284">
      <c r="B4284" s="186" t="str">
        <f>IFERROR(__xludf.DUMMYFUNCTION("""COMPUTED_VALUE"""),"PI7398Y")</f>
        <v>PI7398Y</v>
      </c>
      <c r="C4284" s="186" t="str">
        <f>IFERROR(__xludf.DUMMYFUNCTION("""COMPUTED_VALUE"""),"CAPA DE NOTEBOOK 15 POLEG BOLSOS PRETA")</f>
        <v>CAPA DE NOTEBOOK 15 POLEG BOLSOS PRETA</v>
      </c>
      <c r="D4284" s="186" t="str">
        <f>IFERROR(__xludf.DUMMYFUNCTION("""COMPUTED_VALUE"""),"FALSO")</f>
        <v>FALSO</v>
      </c>
    </row>
    <row r="4285">
      <c r="B4285" s="186" t="str">
        <f>IFERROR(__xludf.DUMMYFUNCTION("""COMPUTED_VALUE"""),"PI7114Y")</f>
        <v>PI7114Y</v>
      </c>
      <c r="C4285" s="186" t="str">
        <f>IFERROR(__xludf.DUMMYFUNCTION("""COMPUTED_VALUE"""),"MALA DE VIAGEM ESTAMPA BEIJA FLOR")</f>
        <v>MALA DE VIAGEM ESTAMPA BEIJA FLOR</v>
      </c>
      <c r="D4285" s="186" t="str">
        <f>IFERROR(__xludf.DUMMYFUNCTION("""COMPUTED_VALUE"""),"FALSO")</f>
        <v>FALSO</v>
      </c>
    </row>
    <row r="4286">
      <c r="B4286" s="186" t="str">
        <f>IFERROR(__xludf.DUMMYFUNCTION("""COMPUTED_VALUE"""),"PI7400Y")</f>
        <v>PI7400Y</v>
      </c>
      <c r="C4286" s="186" t="str">
        <f>IFERROR(__xludf.DUMMYFUNCTION("""COMPUTED_VALUE"""),"MALA DE VIAGEM BOLSOS PRETA")</f>
        <v>MALA DE VIAGEM BOLSOS PRETA</v>
      </c>
      <c r="D4286" s="186" t="str">
        <f>IFERROR(__xludf.DUMMYFUNCTION("""COMPUTED_VALUE"""),"FALSO")</f>
        <v>FALSO</v>
      </c>
    </row>
    <row r="4287">
      <c r="B4287" s="186"/>
      <c r="C4287" s="186"/>
      <c r="D4287" s="186"/>
    </row>
    <row r="4288">
      <c r="B4288" s="186" t="str">
        <f>IFERROR(__xludf.DUMMYFUNCTION("""COMPUTED_VALUE"""),"PI7393Y")</f>
        <v>PI7393Y</v>
      </c>
      <c r="C4288" s="186" t="str">
        <f>IFERROR(__xludf.DUMMYFUNCTION("""COMPUTED_VALUE"""),"MALA DE VIAGEM BOLSOS CLARA E DOURADA")</f>
        <v>MALA DE VIAGEM BOLSOS CLARA E DOURADA</v>
      </c>
      <c r="D4288" s="186" t="str">
        <f>IFERROR(__xludf.DUMMYFUNCTION("""COMPUTED_VALUE"""),"FALSO")</f>
        <v>FALSO</v>
      </c>
    </row>
    <row r="4289">
      <c r="B4289" s="186"/>
      <c r="C4289" s="186"/>
      <c r="D4289" s="186"/>
    </row>
    <row r="4290">
      <c r="B4290" s="186" t="str">
        <f>IFERROR(__xludf.DUMMYFUNCTION("""COMPUTED_VALUE"""),"PI7990Y")</f>
        <v>PI7990Y</v>
      </c>
      <c r="C4290" s="186" t="str">
        <f>IFERROR(__xludf.DUMMYFUNCTION("""COMPUTED_VALUE"""),"MALA DE VIAGEM PRETA QUANDO AGORA")</f>
        <v>MALA DE VIAGEM PRETA QUANDO AGORA</v>
      </c>
      <c r="D4290" s="186" t="str">
        <f>IFERROR(__xludf.DUMMYFUNCTION("""COMPUTED_VALUE"""),"FALSO")</f>
        <v>FALSO</v>
      </c>
    </row>
    <row r="4291">
      <c r="B4291" s="186" t="str">
        <f>IFERROR(__xludf.DUMMYFUNCTION("""COMPUTED_VALUE"""),"PI6978Y")</f>
        <v>PI6978Y</v>
      </c>
      <c r="C4291" s="186" t="str">
        <f>IFERROR(__xludf.DUMMYFUNCTION("""COMPUTED_VALUE"""),"MALA DE VIAGEM PRETA COM ADESIVOS")</f>
        <v>MALA DE VIAGEM PRETA COM ADESIVOS</v>
      </c>
      <c r="D4291" s="186" t="str">
        <f>IFERROR(__xludf.DUMMYFUNCTION("""COMPUTED_VALUE"""),"FALSO")</f>
        <v>FALSO</v>
      </c>
    </row>
    <row r="4292">
      <c r="B4292" s="186" t="str">
        <f>IFERROR(__xludf.DUMMYFUNCTION("""COMPUTED_VALUE"""),"PI6668Y")</f>
        <v>PI6668Y</v>
      </c>
      <c r="C4292" s="186" t="str">
        <f>IFERROR(__xludf.DUMMYFUNCTION("""COMPUTED_VALUE"""),"MALA DE VIAGEM OFF WHITE COM ADESIVOS")</f>
        <v>MALA DE VIAGEM OFF WHITE COM ADESIVOS</v>
      </c>
      <c r="D4292" s="186" t="str">
        <f>IFERROR(__xludf.DUMMYFUNCTION("""COMPUTED_VALUE"""),"FALSO")</f>
        <v>FALSO</v>
      </c>
    </row>
    <row r="4293">
      <c r="B4293" s="186" t="str">
        <f>IFERROR(__xludf.DUMMYFUNCTION("""COMPUTED_VALUE"""),"PI6668Y")</f>
        <v>PI6668Y</v>
      </c>
      <c r="C4293" s="186" t="str">
        <f>IFERROR(__xludf.DUMMYFUNCTION("""COMPUTED_VALUE"""),"MALA DE VIAGEM OFF WHITE COM ADESIVOS")</f>
        <v>MALA DE VIAGEM OFF WHITE COM ADESIVOS</v>
      </c>
      <c r="D4293" s="186" t="str">
        <f>IFERROR(__xludf.DUMMYFUNCTION("""COMPUTED_VALUE"""),"FALSO")</f>
        <v>FALSO</v>
      </c>
    </row>
    <row r="4294">
      <c r="B4294" s="186" t="str">
        <f>IFERROR(__xludf.DUMMYFUNCTION("""COMPUTED_VALUE"""),"PI5997Y")</f>
        <v>PI5997Y</v>
      </c>
      <c r="C4294" s="186" t="str">
        <f>IFERROR(__xludf.DUMMYFUNCTION("""COMPUTED_VALUE"""),"BOLSA BOX COLOR BLOCK VERMELHA")</f>
        <v>BOLSA BOX COLOR BLOCK VERMELHA</v>
      </c>
      <c r="D4294" s="186" t="str">
        <f>IFERROR(__xludf.DUMMYFUNCTION("""COMPUTED_VALUE"""),"FALSO")</f>
        <v>FALSO</v>
      </c>
    </row>
    <row r="4295">
      <c r="B4295" s="186" t="str">
        <f>IFERROR(__xludf.DUMMYFUNCTION("""COMPUTED_VALUE"""),"PI5026Y")</f>
        <v>PI5026Y</v>
      </c>
      <c r="C4295" s="186" t="str">
        <f>IFERROR(__xludf.DUMMYFUNCTION("""COMPUTED_VALUE"""),"MINI BAG CUSTOM PATCHES QUADRICULADO")</f>
        <v>MINI BAG CUSTOM PATCHES QUADRICULADO</v>
      </c>
      <c r="D4295" s="186" t="str">
        <f>IFERROR(__xludf.DUMMYFUNCTION("""COMPUTED_VALUE"""),"FALSO")</f>
        <v>FALSO</v>
      </c>
    </row>
    <row r="4296">
      <c r="B4296" s="186" t="str">
        <f>IFERROR(__xludf.DUMMYFUNCTION("""COMPUTED_VALUE"""),"PI5633Y")</f>
        <v>PI5633Y</v>
      </c>
      <c r="C4296" s="186" t="str">
        <f>IFERROR(__xludf.DUMMYFUNCTION("""COMPUTED_VALUE"""),"MINI BAG ESTAMPA DEIXA FLUIR")</f>
        <v>MINI BAG ESTAMPA DEIXA FLUIR</v>
      </c>
      <c r="D4296" s="186" t="str">
        <f>IFERROR(__xludf.DUMMYFUNCTION("""COMPUTED_VALUE"""),"FALSO")</f>
        <v>FALSO</v>
      </c>
    </row>
    <row r="4297">
      <c r="B4297" s="186" t="str">
        <f>IFERROR(__xludf.DUMMYFUNCTION("""COMPUTED_VALUE"""),"PI5849Y")</f>
        <v>PI5849Y</v>
      </c>
      <c r="C4297" s="186" t="str">
        <f>IFERROR(__xludf.DUMMYFUNCTION("""COMPUTED_VALUE"""),"BOLSA 2 EM 1 MODULAR BEGE")</f>
        <v>BOLSA 2 EM 1 MODULAR BEGE</v>
      </c>
      <c r="D4297" s="186" t="str">
        <f>IFERROR(__xludf.DUMMYFUNCTION("""COMPUTED_VALUE"""),"FALSO")</f>
        <v>FALSO</v>
      </c>
    </row>
    <row r="4298">
      <c r="B4298" s="186" t="str">
        <f>IFERROR(__xludf.DUMMYFUNCTION("""COMPUTED_VALUE"""),"PI6004Y")</f>
        <v>PI6004Y</v>
      </c>
      <c r="C4298" s="186" t="str">
        <f>IFERROR(__xludf.DUMMYFUNCTION("""COMPUTED_VALUE"""),"NECESSAIRE ANGLE PRETA COM DOURADO")</f>
        <v>NECESSAIRE ANGLE PRETA COM DOURADO</v>
      </c>
      <c r="D4298" s="186" t="str">
        <f>IFERROR(__xludf.DUMMYFUNCTION("""COMPUTED_VALUE"""),"FALSO")</f>
        <v>FALSO</v>
      </c>
    </row>
    <row r="4299">
      <c r="B4299" s="186"/>
      <c r="C4299" s="186"/>
      <c r="D4299" s="186"/>
    </row>
    <row r="4300">
      <c r="B4300" s="186" t="str">
        <f>IFERROR(__xludf.DUMMYFUNCTION("""COMPUTED_VALUE"""),"PI6004Y")</f>
        <v>PI6004Y</v>
      </c>
      <c r="C4300" s="186" t="str">
        <f>IFERROR(__xludf.DUMMYFUNCTION("""COMPUTED_VALUE"""),"NECESSAIRE ANGLE PRETA COM DOURADO")</f>
        <v>NECESSAIRE ANGLE PRETA COM DOURADO</v>
      </c>
      <c r="D4300" s="186" t="str">
        <f>IFERROR(__xludf.DUMMYFUNCTION("""COMPUTED_VALUE"""),"FALSO")</f>
        <v>FALSO</v>
      </c>
    </row>
    <row r="4301">
      <c r="B4301" s="186" t="str">
        <f>IFERROR(__xludf.DUMMYFUNCTION("""COMPUTED_VALUE"""),"PI7843Y")</f>
        <v>PI7843Y</v>
      </c>
      <c r="C4301" s="186" t="str">
        <f>IFERROR(__xludf.DUMMYFUNCTION("""COMPUTED_VALUE"""),"NECESSAIRE ANGLE BOLSO CORACAO")</f>
        <v>NECESSAIRE ANGLE BOLSO CORACAO</v>
      </c>
      <c r="D4301" s="186" t="str">
        <f>IFERROR(__xludf.DUMMYFUNCTION("""COMPUTED_VALUE"""),"FALSO")</f>
        <v>FALSO</v>
      </c>
    </row>
    <row r="4302">
      <c r="B4302" s="186" t="str">
        <f>IFERROR(__xludf.DUMMYFUNCTION("""COMPUTED_VALUE"""),"PI6094Y")</f>
        <v>PI6094Y</v>
      </c>
      <c r="C4302" s="186" t="str">
        <f>IFERROR(__xludf.DUMMYFUNCTION("""COMPUTED_VALUE"""),"NECESSAIRE BASICA MARROM")</f>
        <v>NECESSAIRE BASICA MARROM</v>
      </c>
      <c r="D4302" s="186" t="str">
        <f>IFERROR(__xludf.DUMMYFUNCTION("""COMPUTED_VALUE"""),"FALSO")</f>
        <v>FALSO</v>
      </c>
    </row>
    <row r="4303">
      <c r="B4303" s="186" t="str">
        <f>IFERROR(__xludf.DUMMYFUNCTION("""COMPUTED_VALUE"""),"PI7845Y")</f>
        <v>PI7845Y</v>
      </c>
      <c r="C4303" s="186" t="str">
        <f>IFERROR(__xludf.DUMMYFUNCTION("""COMPUTED_VALUE"""),"NECESSAIRE BASICA CORACAO")</f>
        <v>NECESSAIRE BASICA CORACAO</v>
      </c>
      <c r="D4303" s="186" t="str">
        <f>IFERROR(__xludf.DUMMYFUNCTION("""COMPUTED_VALUE"""),"FALSO")</f>
        <v>FALSO</v>
      </c>
    </row>
    <row r="4304">
      <c r="B4304" s="186" t="str">
        <f>IFERROR(__xludf.DUMMYFUNCTION("""COMPUTED_VALUE"""),"PI5610Y")</f>
        <v>PI5610Y</v>
      </c>
      <c r="C4304" s="186" t="str">
        <f>IFERROR(__xludf.DUMMYFUNCTION("""COMPUTED_VALUE"""),"NECESSAIRE SPORT CINZA")</f>
        <v>NECESSAIRE SPORT CINZA</v>
      </c>
      <c r="D4304" s="186" t="str">
        <f>IFERROR(__xludf.DUMMYFUNCTION("""COMPUTED_VALUE"""),"FALSO")</f>
        <v>FALSO</v>
      </c>
    </row>
    <row r="4305">
      <c r="B4305" s="186" t="str">
        <f>IFERROR(__xludf.DUMMYFUNCTION("""COMPUTED_VALUE"""),"PI7473Y")</f>
        <v>PI7473Y</v>
      </c>
      <c r="C4305" s="186" t="str">
        <f>IFERROR(__xludf.DUMMYFUNCTION("""COMPUTED_VALUE"""),"NECESSAIRE BASICA PRETA")</f>
        <v>NECESSAIRE BASICA PRETA</v>
      </c>
      <c r="D4305" s="186" t="str">
        <f>IFERROR(__xludf.DUMMYFUNCTION("""COMPUTED_VALUE"""),"FALSO")</f>
        <v>FALSO</v>
      </c>
    </row>
    <row r="4306">
      <c r="B4306" s="186" t="str">
        <f>IFERROR(__xludf.DUMMYFUNCTION("""COMPUTED_VALUE"""),"PI7623Y")</f>
        <v>PI7623Y</v>
      </c>
      <c r="C4306" s="186" t="str">
        <f>IFERROR(__xludf.DUMMYFUNCTION("""COMPUTED_VALUE"""),"NECESSAIRE BASICA LISTRAS VERDE CLARO")</f>
        <v>NECESSAIRE BASICA LISTRAS VERDE CLARO</v>
      </c>
      <c r="D4306" s="186" t="str">
        <f>IFERROR(__xludf.DUMMYFUNCTION("""COMPUTED_VALUE"""),"FALSO")</f>
        <v>FALSO</v>
      </c>
    </row>
    <row r="4307">
      <c r="B4307" s="186" t="str">
        <f>IFERROR(__xludf.DUMMYFUNCTION("""COMPUTED_VALUE"""),"PI7624Y")</f>
        <v>PI7624Y</v>
      </c>
      <c r="C4307" s="186" t="str">
        <f>IFERROR(__xludf.DUMMYFUNCTION("""COMPUTED_VALUE"""),"NECESSAIRE BASICA LISTRAS AZUL CLARA")</f>
        <v>NECESSAIRE BASICA LISTRAS AZUL CLARA</v>
      </c>
      <c r="D4307" s="186" t="str">
        <f>IFERROR(__xludf.DUMMYFUNCTION("""COMPUTED_VALUE"""),"FALSO")</f>
        <v>FALSO</v>
      </c>
    </row>
    <row r="4308">
      <c r="B4308" s="186" t="str">
        <f>IFERROR(__xludf.DUMMYFUNCTION("""COMPUTED_VALUE"""),"PI7604Y")</f>
        <v>PI7604Y</v>
      </c>
      <c r="C4308" s="186" t="str">
        <f>IFERROR(__xludf.DUMMYFUNCTION("""COMPUTED_VALUE"""),"NECESSAIRE BASICA LISTRAS ROSA CLARO")</f>
        <v>NECESSAIRE BASICA LISTRAS ROSA CLARO</v>
      </c>
      <c r="D4308" s="186" t="str">
        <f>IFERROR(__xludf.DUMMYFUNCTION("""COMPUTED_VALUE"""),"FALSO")</f>
        <v>FALSO</v>
      </c>
    </row>
    <row r="4309">
      <c r="B4309" s="186" t="str">
        <f>IFERROR(__xludf.DUMMYFUNCTION("""COMPUTED_VALUE"""),"PI6443Y")</f>
        <v>PI6443Y</v>
      </c>
      <c r="C4309" s="186" t="str">
        <f>IFERROR(__xludf.DUMMYFUNCTION("""COMPUTED_VALUE"""),"NECESSAIRE BOLSOS MATELASSE PRETA")</f>
        <v>NECESSAIRE BOLSOS MATELASSE PRETA</v>
      </c>
      <c r="D4309" s="186" t="str">
        <f>IFERROR(__xludf.DUMMYFUNCTION("""COMPUTED_VALUE"""),"FALSO")</f>
        <v>FALSO</v>
      </c>
    </row>
    <row r="4310">
      <c r="B4310" s="186" t="str">
        <f>IFERROR(__xludf.DUMMYFUNCTION("""COMPUTED_VALUE"""),"PI5958Y")</f>
        <v>PI5958Y</v>
      </c>
      <c r="C4310" s="186" t="str">
        <f>IFERROR(__xludf.DUMMYFUNCTION("""COMPUTED_VALUE"""),"NECESSAIRE GATO PRETO")</f>
        <v>NECESSAIRE GATO PRETO</v>
      </c>
      <c r="D4310" s="186" t="str">
        <f>IFERROR(__xludf.DUMMYFUNCTION("""COMPUTED_VALUE"""),"FALSO")</f>
        <v>FALSO</v>
      </c>
    </row>
    <row r="4311">
      <c r="B4311" s="186" t="str">
        <f>IFERROR(__xludf.DUMMYFUNCTION("""COMPUTED_VALUE"""),"PI5958Y")</f>
        <v>PI5958Y</v>
      </c>
      <c r="C4311" s="186" t="str">
        <f>IFERROR(__xludf.DUMMYFUNCTION("""COMPUTED_VALUE"""),"NECESSAIRE GATO PRETO")</f>
        <v>NECESSAIRE GATO PRETO</v>
      </c>
      <c r="D4311" s="186" t="str">
        <f>IFERROR(__xludf.DUMMYFUNCTION("""COMPUTED_VALUE"""),"FALSO")</f>
        <v>FALSO</v>
      </c>
    </row>
    <row r="4312">
      <c r="B4312" s="186" t="str">
        <f>IFERROR(__xludf.DUMMYFUNCTION("""COMPUTED_VALUE"""),"PI5628Y")</f>
        <v>PI5628Y</v>
      </c>
      <c r="C4312" s="186" t="str">
        <f>IFERROR(__xludf.DUMMYFUNCTION("""COMPUTED_VALUE"""),"NECESSAIRE PRETA HOLOGRAFICO")</f>
        <v>NECESSAIRE PRETA HOLOGRAFICO</v>
      </c>
      <c r="D4312" s="186" t="str">
        <f>IFERROR(__xludf.DUMMYFUNCTION("""COMPUTED_VALUE"""),"FALSO")</f>
        <v>FALSO</v>
      </c>
    </row>
    <row r="4313">
      <c r="B4313" s="186" t="str">
        <f>IFERROR(__xludf.DUMMYFUNCTION("""COMPUTED_VALUE"""),"PI6662Y")</f>
        <v>PI6662Y</v>
      </c>
      <c r="C4313" s="186" t="str">
        <f>IFERROR(__xludf.DUMMYFUNCTION("""COMPUTED_VALUE"""),"NECESSAIRE CANVAS VERDE E MARROM")</f>
        <v>NECESSAIRE CANVAS VERDE E MARROM</v>
      </c>
      <c r="D4313" s="186" t="str">
        <f>IFERROR(__xludf.DUMMYFUNCTION("""COMPUTED_VALUE"""),"FALSO")</f>
        <v>FALSO</v>
      </c>
    </row>
    <row r="4314">
      <c r="B4314" s="186" t="str">
        <f>IFERROR(__xludf.DUMMYFUNCTION("""COMPUTED_VALUE"""),"PI7821Y")</f>
        <v>PI7821Y</v>
      </c>
      <c r="C4314" s="186"/>
      <c r="D4314" s="186" t="str">
        <f>IFERROR(__xludf.DUMMYFUNCTION("""COMPUTED_VALUE"""),"FALSO")</f>
        <v>FALSO</v>
      </c>
    </row>
    <row r="4315">
      <c r="B4315" s="186" t="str">
        <f>IFERROR(__xludf.DUMMYFUNCTION("""COMPUTED_VALUE"""),"PI7404Y")</f>
        <v>PI7404Y</v>
      </c>
      <c r="C4315" s="186" t="str">
        <f>IFERROR(__xludf.DUMMYFUNCTION("""COMPUTED_VALUE"""),"NECESSAIRE MEDIA ALCA CANVAS LISTRADA")</f>
        <v>NECESSAIRE MEDIA ALCA CANVAS LISTRADA</v>
      </c>
      <c r="D4315" s="186" t="str">
        <f>IFERROR(__xludf.DUMMYFUNCTION("""COMPUTED_VALUE"""),"FALSO")</f>
        <v>FALSO</v>
      </c>
    </row>
    <row r="4316">
      <c r="B4316" s="186" t="str">
        <f>IFERROR(__xludf.DUMMYFUNCTION("""COMPUTED_VALUE"""),"PI7850Y")</f>
        <v>PI7850Y</v>
      </c>
      <c r="C4316" s="186" t="str">
        <f>IFERROR(__xludf.DUMMYFUNCTION("""COMPUTED_VALUE"""),"NECESSAIRE XADREZ VERDE G")</f>
        <v>NECESSAIRE XADREZ VERDE G</v>
      </c>
      <c r="D4316" s="186" t="str">
        <f>IFERROR(__xludf.DUMMYFUNCTION("""COMPUTED_VALUE"""),"FALSO")</f>
        <v>FALSO</v>
      </c>
    </row>
    <row r="4317">
      <c r="B4317" s="186" t="str">
        <f>IFERROR(__xludf.DUMMYFUNCTION("""COMPUTED_VALUE"""),"PI7849Y")</f>
        <v>PI7849Y</v>
      </c>
      <c r="C4317" s="186" t="str">
        <f>IFERROR(__xludf.DUMMYFUNCTION("""COMPUTED_VALUE"""),"NECESSAIRE XADREZ VERDE M")</f>
        <v>NECESSAIRE XADREZ VERDE M</v>
      </c>
      <c r="D4317" s="186" t="str">
        <f>IFERROR(__xludf.DUMMYFUNCTION("""COMPUTED_VALUE"""),"FALSO")</f>
        <v>FALSO</v>
      </c>
    </row>
    <row r="4318">
      <c r="B4318" s="186" t="str">
        <f>IFERROR(__xludf.DUMMYFUNCTION("""COMPUTED_VALUE"""),"PI7853Y")</f>
        <v>PI7853Y</v>
      </c>
      <c r="C4318" s="186" t="str">
        <f>IFERROR(__xludf.DUMMYFUNCTION("""COMPUTED_VALUE"""),"NECESSAIRE XADREZ LARANJA G")</f>
        <v>NECESSAIRE XADREZ LARANJA G</v>
      </c>
      <c r="D4318" s="186" t="str">
        <f>IFERROR(__xludf.DUMMYFUNCTION("""COMPUTED_VALUE"""),"FALSO")</f>
        <v>FALSO</v>
      </c>
    </row>
    <row r="4319">
      <c r="B4319" s="186" t="str">
        <f>IFERROR(__xludf.DUMMYFUNCTION("""COMPUTED_VALUE"""),"PI7852Y")</f>
        <v>PI7852Y</v>
      </c>
      <c r="C4319" s="186" t="str">
        <f>IFERROR(__xludf.DUMMYFUNCTION("""COMPUTED_VALUE"""),"NECESSAIRE XADREZ LARANJA M")</f>
        <v>NECESSAIRE XADREZ LARANJA M</v>
      </c>
      <c r="D4319" s="186" t="str">
        <f>IFERROR(__xludf.DUMMYFUNCTION("""COMPUTED_VALUE"""),"FALSO")</f>
        <v>FALSO</v>
      </c>
    </row>
    <row r="4320">
      <c r="B4320" s="186" t="str">
        <f>IFERROR(__xludf.DUMMYFUNCTION("""COMPUTED_VALUE"""),"PI7902Y")</f>
        <v>PI7902Y</v>
      </c>
      <c r="C4320" s="186" t="str">
        <f>IFERROR(__xludf.DUMMYFUNCTION("""COMPUTED_VALUE"""),"NECESSAIRE COPO DE CAFE")</f>
        <v>NECESSAIRE COPO DE CAFE</v>
      </c>
      <c r="D4320" s="186" t="str">
        <f>IFERROR(__xludf.DUMMYFUNCTION("""COMPUTED_VALUE"""),"FALSO")</f>
        <v>FALSO</v>
      </c>
    </row>
    <row r="4321">
      <c r="B4321" s="186" t="str">
        <f>IFERROR(__xludf.DUMMYFUNCTION("""COMPUTED_VALUE"""),"PI7856Y")</f>
        <v>PI7856Y</v>
      </c>
      <c r="C4321" s="186" t="str">
        <f>IFERROR(__xludf.DUMMYFUNCTION("""COMPUTED_VALUE"""),"NECESSAIRE POA E LISTRAS ALCA")</f>
        <v>NECESSAIRE POA E LISTRAS ALCA</v>
      </c>
      <c r="D4321" s="186" t="str">
        <f>IFERROR(__xludf.DUMMYFUNCTION("""COMPUTED_VALUE"""),"FALSO")</f>
        <v>FALSO</v>
      </c>
    </row>
    <row r="4322">
      <c r="B4322" s="186" t="str">
        <f>IFERROR(__xludf.DUMMYFUNCTION("""COMPUTED_VALUE"""),"PI7855Y")</f>
        <v>PI7855Y</v>
      </c>
      <c r="C4322" s="186" t="str">
        <f>IFERROR(__xludf.DUMMYFUNCTION("""COMPUTED_VALUE"""),"NECESSAIRE POA E LISTRAS M")</f>
        <v>NECESSAIRE POA E LISTRAS M</v>
      </c>
      <c r="D4322" s="186" t="str">
        <f>IFERROR(__xludf.DUMMYFUNCTION("""COMPUTED_VALUE"""),"FALSO")</f>
        <v>FALSO</v>
      </c>
    </row>
    <row r="4323">
      <c r="B4323" s="186" t="str">
        <f>IFERROR(__xludf.DUMMYFUNCTION("""COMPUTED_VALUE"""),"PI7279Y")</f>
        <v>PI7279Y</v>
      </c>
      <c r="C4323" s="186" t="str">
        <f>IFERROR(__xludf.DUMMYFUNCTION("""COMPUTED_VALUE"""),"NECESSAIRE TODO DIA PRETA")</f>
        <v>NECESSAIRE TODO DIA PRETA</v>
      </c>
      <c r="D4323" s="186" t="str">
        <f>IFERROR(__xludf.DUMMYFUNCTION("""COMPUTED_VALUE"""),"FALSO")</f>
        <v>FALSO</v>
      </c>
    </row>
    <row r="4324">
      <c r="B4324" s="186" t="str">
        <f>IFERROR(__xludf.DUMMYFUNCTION("""COMPUTED_VALUE"""),"PI7459Y")</f>
        <v>PI7459Y</v>
      </c>
      <c r="C4324" s="186" t="str">
        <f>IFERROR(__xludf.DUMMYFUNCTION("""COMPUTED_VALUE"""),"NECESSAIRE TODO DIA BORDO")</f>
        <v>NECESSAIRE TODO DIA BORDO</v>
      </c>
      <c r="D4324" s="186" t="str">
        <f>IFERROR(__xludf.DUMMYFUNCTION("""COMPUTED_VALUE"""),"FALSO")</f>
        <v>FALSO</v>
      </c>
    </row>
    <row r="4325">
      <c r="B4325" s="186" t="str">
        <f>IFERROR(__xludf.DUMMYFUNCTION("""COMPUTED_VALUE"""),"PI7458Y")</f>
        <v>PI7458Y</v>
      </c>
      <c r="C4325" s="186" t="str">
        <f>IFERROR(__xludf.DUMMYFUNCTION("""COMPUTED_VALUE"""),"NECESSAIRE TODO DIA CLARA")</f>
        <v>NECESSAIRE TODO DIA CLARA</v>
      </c>
      <c r="D4325" s="186" t="str">
        <f>IFERROR(__xludf.DUMMYFUNCTION("""COMPUTED_VALUE"""),"FALSO")</f>
        <v>FALSO</v>
      </c>
    </row>
    <row r="4326">
      <c r="B4326" s="186" t="str">
        <f>IFERROR(__xludf.DUMMYFUNCTION("""COMPUTED_VALUE"""),"PI7460Y")</f>
        <v>PI7460Y</v>
      </c>
      <c r="C4326" s="186" t="str">
        <f>IFERROR(__xludf.DUMMYFUNCTION("""COMPUTED_VALUE"""),"NECESSAIRE TODO DIA MARINHO")</f>
        <v>NECESSAIRE TODO DIA MARINHO</v>
      </c>
      <c r="D4326" s="186" t="str">
        <f>IFERROR(__xludf.DUMMYFUNCTION("""COMPUTED_VALUE"""),"FALSO")</f>
        <v>FALSO</v>
      </c>
    </row>
    <row r="4327">
      <c r="B4327" s="186" t="str">
        <f>IFERROR(__xludf.DUMMYFUNCTION("""COMPUTED_VALUE"""),"PI6639Y")</f>
        <v>PI6639Y</v>
      </c>
      <c r="C4327" s="186" t="str">
        <f>IFERROR(__xludf.DUMMYFUNCTION("""COMPUTED_VALUE"""),"NECESSAIRE POR ONDE FLOR")</f>
        <v>NECESSAIRE POR ONDE FLOR</v>
      </c>
      <c r="D4327" s="186" t="str">
        <f>IFERROR(__xludf.DUMMYFUNCTION("""COMPUTED_VALUE"""),"FALSO")</f>
        <v>FALSO</v>
      </c>
    </row>
    <row r="4328">
      <c r="B4328" s="186" t="str">
        <f>IFERROR(__xludf.DUMMYFUNCTION("""COMPUTED_VALUE"""),"PI5599Y")</f>
        <v>PI5599Y</v>
      </c>
      <c r="C4328" s="186" t="str">
        <f>IFERROR(__xludf.DUMMYFUNCTION("""COMPUTED_VALUE"""),"NECESSAIRE FRAME POAS")</f>
        <v>NECESSAIRE FRAME POAS</v>
      </c>
      <c r="D4328" s="186" t="str">
        <f>IFERROR(__xludf.DUMMYFUNCTION("""COMPUTED_VALUE"""),"FALSO")</f>
        <v>FALSO</v>
      </c>
    </row>
    <row r="4329">
      <c r="B4329" s="186" t="str">
        <f>IFERROR(__xludf.DUMMYFUNCTION("""COMPUTED_VALUE"""),"PI5599Y")</f>
        <v>PI5599Y</v>
      </c>
      <c r="C4329" s="186" t="str">
        <f>IFERROR(__xludf.DUMMYFUNCTION("""COMPUTED_VALUE"""),"NECESSAIRE FRAME POAS")</f>
        <v>NECESSAIRE FRAME POAS</v>
      </c>
      <c r="D4329" s="186" t="str">
        <f>IFERROR(__xludf.DUMMYFUNCTION("""COMPUTED_VALUE"""),"FALSO")</f>
        <v>FALSO</v>
      </c>
    </row>
    <row r="4330">
      <c r="B4330" s="186" t="str">
        <f>IFERROR(__xludf.DUMMYFUNCTION("""COMPUTED_VALUE"""),"PI6437Y")</f>
        <v>PI6437Y</v>
      </c>
      <c r="C4330" s="186" t="str">
        <f>IFERROR(__xludf.DUMMYFUNCTION("""COMPUTED_VALUE"""),"NECESSAIRE FRAME LISTRADA")</f>
        <v>NECESSAIRE FRAME LISTRADA</v>
      </c>
      <c r="D4330" s="186" t="str">
        <f>IFERROR(__xludf.DUMMYFUNCTION("""COMPUTED_VALUE"""),"FALSO")</f>
        <v>FALSO</v>
      </c>
    </row>
    <row r="4331">
      <c r="B4331" s="186" t="str">
        <f>IFERROR(__xludf.DUMMYFUNCTION("""COMPUTED_VALUE"""),"PI6960Y")</f>
        <v>PI6960Y</v>
      </c>
      <c r="C4331" s="186" t="str">
        <f>IFERROR(__xludf.DUMMYFUNCTION("""COMPUTED_VALUE"""),"NECESSAIRE FRAME CANELADA VERDE")</f>
        <v>NECESSAIRE FRAME CANELADA VERDE</v>
      </c>
      <c r="D4331" s="186" t="str">
        <f>IFERROR(__xludf.DUMMYFUNCTION("""COMPUTED_VALUE"""),"FALSO")</f>
        <v>FALSO</v>
      </c>
    </row>
    <row r="4332">
      <c r="B4332" s="186" t="str">
        <f>IFERROR(__xludf.DUMMYFUNCTION("""COMPUTED_VALUE"""),"PI7901Y")</f>
        <v>PI7901Y</v>
      </c>
      <c r="C4332" s="186" t="str">
        <f>IFERROR(__xludf.DUMMYFUNCTION("""COMPUTED_VALUE"""),"NECESSAIRE BATATA FRITA")</f>
        <v>NECESSAIRE BATATA FRITA</v>
      </c>
      <c r="D4332" s="186" t="str">
        <f>IFERROR(__xludf.DUMMYFUNCTION("""COMPUTED_VALUE"""),"FALSO")</f>
        <v>FALSO</v>
      </c>
    </row>
    <row r="4333">
      <c r="B4333" s="186" t="str">
        <f>IFERROR(__xludf.DUMMYFUNCTION("""COMPUTED_VALUE"""),"PI7846Y")</f>
        <v>PI7846Y</v>
      </c>
      <c r="C4333" s="186" t="str">
        <f>IFERROR(__xludf.DUMMYFUNCTION("""COMPUTED_VALUE"""),"NECESSAIRE BOLSO FRONTAL CORACAO")</f>
        <v>NECESSAIRE BOLSO FRONTAL CORACAO</v>
      </c>
      <c r="D4333" s="186" t="str">
        <f>IFERROR(__xludf.DUMMYFUNCTION("""COMPUTED_VALUE"""),"FALSO")</f>
        <v>FALSO</v>
      </c>
    </row>
    <row r="4334">
      <c r="B4334" s="186" t="str">
        <f>IFERROR(__xludf.DUMMYFUNCTION("""COMPUTED_VALUE"""),"PI6433Y")</f>
        <v>PI6433Y</v>
      </c>
      <c r="C4334" s="186" t="str">
        <f>IFERROR(__xludf.DUMMYFUNCTION("""COMPUTED_VALUE"""),"NECESSAIRE GLITTER ROSA")</f>
        <v>NECESSAIRE GLITTER ROSA</v>
      </c>
      <c r="D4334" s="186" t="str">
        <f>IFERROR(__xludf.DUMMYFUNCTION("""COMPUTED_VALUE"""),"FALSO")</f>
        <v>FALSO</v>
      </c>
    </row>
    <row r="4335">
      <c r="B4335" s="186" t="str">
        <f>IFERROR(__xludf.DUMMYFUNCTION("""COMPUTED_VALUE"""),"PI7842Y")</f>
        <v>PI7842Y</v>
      </c>
      <c r="C4335" s="186" t="str">
        <f>IFERROR(__xludf.DUMMYFUNCTION("""COMPUTED_VALUE"""),"NECESSAIRE ALCA CORACAO")</f>
        <v>NECESSAIRE ALCA CORACAO</v>
      </c>
      <c r="D4335" s="186" t="str">
        <f>IFERROR(__xludf.DUMMYFUNCTION("""COMPUTED_VALUE"""),"FALSO")</f>
        <v>FALSO</v>
      </c>
    </row>
    <row r="4336">
      <c r="B4336" s="186" t="str">
        <f>IFERROR(__xludf.DUMMYFUNCTION("""COMPUTED_VALUE"""),"PI6852Y")</f>
        <v>PI6852Y</v>
      </c>
      <c r="C4336" s="186" t="str">
        <f>IFERROR(__xludf.DUMMYFUNCTION("""COMPUTED_VALUE"""),"NECESSAIRE BOLSOS REMOVIVEIS HP MONSTROS")</f>
        <v>NECESSAIRE BOLSOS REMOVIVEIS HP MONSTROS</v>
      </c>
      <c r="D4336" s="186" t="str">
        <f>IFERROR(__xludf.DUMMYFUNCTION("""COMPUTED_VALUE"""),"FALSO")</f>
        <v>FALSO</v>
      </c>
    </row>
    <row r="4337">
      <c r="B4337" s="186" t="str">
        <f>IFERROR(__xludf.DUMMYFUNCTION("""COMPUTED_VALUE"""),"PI6852Y")</f>
        <v>PI6852Y</v>
      </c>
      <c r="C4337" s="186" t="str">
        <f>IFERROR(__xludf.DUMMYFUNCTION("""COMPUTED_VALUE"""),"NECESSAIRE BOLSOS REMOVIVEIS HP MONSTROS")</f>
        <v>NECESSAIRE BOLSOS REMOVIVEIS HP MONSTROS</v>
      </c>
      <c r="D4337" s="186" t="str">
        <f>IFERROR(__xludf.DUMMYFUNCTION("""COMPUTED_VALUE"""),"FALSO")</f>
        <v>FALSO</v>
      </c>
    </row>
    <row r="4338">
      <c r="B4338" s="186" t="str">
        <f>IFERROR(__xludf.DUMMYFUNCTION("""COMPUTED_VALUE"""),"PI6438Y")</f>
        <v>PI6438Y</v>
      </c>
      <c r="C4338" s="186" t="str">
        <f>IFERROR(__xludf.DUMMYFUNCTION("""COMPUTED_VALUE"""),"NECESSAIRE HP SAPO DE CHOCOLATE")</f>
        <v>NECESSAIRE HP SAPO DE CHOCOLATE</v>
      </c>
      <c r="D4338" s="186" t="str">
        <f>IFERROR(__xludf.DUMMYFUNCTION("""COMPUTED_VALUE"""),"FALSO")</f>
        <v>FALSO</v>
      </c>
    </row>
    <row r="4339">
      <c r="B4339" s="186" t="str">
        <f>IFERROR(__xludf.DUMMYFUNCTION("""COMPUTED_VALUE"""),"PI7748Y")</f>
        <v>PI7748Y</v>
      </c>
      <c r="C4339" s="186" t="str">
        <f>IFERROR(__xludf.DUMMYFUNCTION("""COMPUTED_VALUE"""),"NECESSAIRE HP EDWIGES")</f>
        <v>NECESSAIRE HP EDWIGES</v>
      </c>
      <c r="D4339" s="186" t="str">
        <f>IFERROR(__xludf.DUMMYFUNCTION("""COMPUTED_VALUE"""),"FALSO")</f>
        <v>FALSO</v>
      </c>
    </row>
    <row r="4340">
      <c r="B4340" s="186" t="str">
        <f>IFERROR(__xludf.DUMMYFUNCTION("""COMPUTED_VALUE"""),"PI7745Y")</f>
        <v>PI7745Y</v>
      </c>
      <c r="C4340" s="186" t="str">
        <f>IFERROR(__xludf.DUMMYFUNCTION("""COMPUTED_VALUE"""),"NECESSAIRE HP VELUDO GRIFINORIA")</f>
        <v>NECESSAIRE HP VELUDO GRIFINORIA</v>
      </c>
      <c r="D4340" s="186" t="str">
        <f>IFERROR(__xludf.DUMMYFUNCTION("""COMPUTED_VALUE"""),"FALSO")</f>
        <v>FALSO</v>
      </c>
    </row>
    <row r="4341">
      <c r="B4341" s="186" t="str">
        <f>IFERROR(__xludf.DUMMYFUNCTION("""COMPUTED_VALUE"""),"PI7769Y")</f>
        <v>PI7769Y</v>
      </c>
      <c r="C4341" s="186" t="str">
        <f>IFERROR(__xludf.DUMMYFUNCTION("""COMPUTED_VALUE"""),"NECESSAIRE HP VELVET LUFA LUFA")</f>
        <v>NECESSAIRE HP VELVET LUFA LUFA</v>
      </c>
      <c r="D4341" s="186" t="str">
        <f>IFERROR(__xludf.DUMMYFUNCTION("""COMPUTED_VALUE"""),"FALSO")</f>
        <v>FALSO</v>
      </c>
    </row>
    <row r="4342">
      <c r="B4342" s="186" t="str">
        <f>IFERROR(__xludf.DUMMYFUNCTION("""COMPUTED_VALUE"""),"PI7768Y")</f>
        <v>PI7768Y</v>
      </c>
      <c r="C4342" s="186" t="str">
        <f>IFERROR(__xludf.DUMMYFUNCTION("""COMPUTED_VALUE"""),"NECESSAIRE HP VELUDO CORVINAL")</f>
        <v>NECESSAIRE HP VELUDO CORVINAL</v>
      </c>
      <c r="D4342" s="186" t="str">
        <f>IFERROR(__xludf.DUMMYFUNCTION("""COMPUTED_VALUE"""),"FALSO")</f>
        <v>FALSO</v>
      </c>
    </row>
    <row r="4343">
      <c r="B4343" s="186" t="str">
        <f>IFERROR(__xludf.DUMMYFUNCTION("""COMPUTED_VALUE"""),"PI7767Y")</f>
        <v>PI7767Y</v>
      </c>
      <c r="C4343" s="186" t="str">
        <f>IFERROR(__xludf.DUMMYFUNCTION("""COMPUTED_VALUE"""),"NECESSAIRE HP VELUDO SONSERINA")</f>
        <v>NECESSAIRE HP VELUDO SONSERINA</v>
      </c>
      <c r="D4343" s="186" t="str">
        <f>IFERROR(__xludf.DUMMYFUNCTION("""COMPUTED_VALUE"""),"FALSO")</f>
        <v>FALSO</v>
      </c>
    </row>
    <row r="4344">
      <c r="B4344" s="186" t="str">
        <f>IFERROR(__xludf.DUMMYFUNCTION("""COMPUTED_VALUE"""),"PI7612Y")</f>
        <v>PI7612Y</v>
      </c>
      <c r="C4344" s="186" t="str">
        <f>IFERROR(__xludf.DUMMYFUNCTION("""COMPUTED_VALUE"""),"KIT NECESSAIRES POA")</f>
        <v>KIT NECESSAIRES POA</v>
      </c>
      <c r="D4344" s="186" t="str">
        <f>IFERROR(__xludf.DUMMYFUNCTION("""COMPUTED_VALUE"""),"FALSO")</f>
        <v>FALSO</v>
      </c>
    </row>
    <row r="4345">
      <c r="B4345" s="186" t="str">
        <f>IFERROR(__xludf.DUMMYFUNCTION("""COMPUTED_VALUE"""),"PI7844Y")</f>
        <v>PI7844Y</v>
      </c>
      <c r="C4345" s="186" t="str">
        <f>IFERROR(__xludf.DUMMYFUNCTION("""COMPUTED_VALUE"""),"NECESSAIRE KIT CORACAO")</f>
        <v>NECESSAIRE KIT CORACAO</v>
      </c>
      <c r="D4345" s="186" t="str">
        <f>IFERROR(__xludf.DUMMYFUNCTION("""COMPUTED_VALUE"""),"FALSO")</f>
        <v>FALSO</v>
      </c>
    </row>
    <row r="4346">
      <c r="B4346" s="186" t="str">
        <f>IFERROR(__xludf.DUMMYFUNCTION("""COMPUTED_VALUE"""),"PI6947Y")</f>
        <v>PI6947Y</v>
      </c>
      <c r="C4346" s="186" t="str">
        <f>IFERROR(__xludf.DUMMYFUNCTION("""COMPUTED_VALUE"""),"NECESSAIRE ALCA ONCINHA")</f>
        <v>NECESSAIRE ALCA ONCINHA</v>
      </c>
      <c r="D4346" s="186" t="str">
        <f>IFERROR(__xludf.DUMMYFUNCTION("""COMPUTED_VALUE"""),"FALSO")</f>
        <v>FALSO</v>
      </c>
    </row>
    <row r="4347">
      <c r="B4347" s="186" t="str">
        <f>IFERROR(__xludf.DUMMYFUNCTION("""COMPUTED_VALUE"""),"PI6006Y")</f>
        <v>PI6006Y</v>
      </c>
      <c r="C4347" s="186" t="str">
        <f>IFERROR(__xludf.DUMMYFUNCTION("""COMPUTED_VALUE"""),"NECESSAIRE POCKETS MESH PRETA CORACOES")</f>
        <v>NECESSAIRE POCKETS MESH PRETA CORACOES</v>
      </c>
      <c r="D4347" s="186" t="str">
        <f>IFERROR(__xludf.DUMMYFUNCTION("""COMPUTED_VALUE"""),"FALSO")</f>
        <v>FALSO</v>
      </c>
    </row>
    <row r="4348">
      <c r="B4348" s="186" t="str">
        <f>IFERROR(__xludf.DUMMYFUNCTION("""COMPUTED_VALUE"""),"PI6442Y")</f>
        <v>PI6442Y</v>
      </c>
      <c r="C4348" s="186" t="str">
        <f>IFERROR(__xludf.DUMMYFUNCTION("""COMPUTED_VALUE"""),"NECESSAIRE BOLSOS CORACOES")</f>
        <v>NECESSAIRE BOLSOS CORACOES</v>
      </c>
      <c r="D4348" s="186" t="str">
        <f>IFERROR(__xludf.DUMMYFUNCTION("""COMPUTED_VALUE"""),"FALSO")</f>
        <v>FALSO</v>
      </c>
    </row>
    <row r="4349">
      <c r="B4349" s="186" t="str">
        <f>IFERROR(__xludf.DUMMYFUNCTION("""COMPUTED_VALUE"""),"PI7396Y")</f>
        <v>PI7396Y</v>
      </c>
      <c r="C4349" s="186" t="str">
        <f>IFERROR(__xludf.DUMMYFUNCTION("""COMPUTED_VALUE"""),"NECESSAIRE BASICA PU PRETA")</f>
        <v>NECESSAIRE BASICA PU PRETA</v>
      </c>
      <c r="D4349" s="186" t="str">
        <f>IFERROR(__xludf.DUMMYFUNCTION("""COMPUTED_VALUE"""),"FALSO")</f>
        <v>FALSO</v>
      </c>
    </row>
    <row r="4350">
      <c r="B4350" s="186" t="str">
        <f>IFERROR(__xludf.DUMMYFUNCTION("""COMPUTED_VALUE"""),"PI7613Y")</f>
        <v>PI7613Y</v>
      </c>
      <c r="C4350" s="186" t="str">
        <f>IFERROR(__xludf.DUMMYFUNCTION("""COMPUTED_VALUE"""),"NECESSAIRE PUFFER PRETA")</f>
        <v>NECESSAIRE PUFFER PRETA</v>
      </c>
      <c r="D4350" s="186" t="str">
        <f>IFERROR(__xludf.DUMMYFUNCTION("""COMPUTED_VALUE"""),"FALSO")</f>
        <v>FALSO</v>
      </c>
    </row>
    <row r="4351">
      <c r="B4351" s="186" t="str">
        <f>IFERROR(__xludf.DUMMYFUNCTION("""COMPUTED_VALUE"""),"PI7646Y")</f>
        <v>PI7646Y</v>
      </c>
      <c r="C4351" s="186" t="str">
        <f>IFERROR(__xludf.DUMMYFUNCTION("""COMPUTED_VALUE"""),"NECESSAIRE PUFFER COM ALCA PRETA")</f>
        <v>NECESSAIRE PUFFER COM ALCA PRETA</v>
      </c>
      <c r="D4351" s="186" t="str">
        <f>IFERROR(__xludf.DUMMYFUNCTION("""COMPUTED_VALUE"""),"FALSO")</f>
        <v>FALSO</v>
      </c>
    </row>
    <row r="4352">
      <c r="B4352" s="186" t="str">
        <f>IFERROR(__xludf.DUMMYFUNCTION("""COMPUTED_VALUE"""),"PI7876Y")</f>
        <v>PI7876Y</v>
      </c>
      <c r="C4352" s="186" t="str">
        <f>IFERROR(__xludf.DUMMYFUNCTION("""COMPUTED_VALUE"""),"NECESSAIRE PUFFER VERDE CLARO")</f>
        <v>NECESSAIRE PUFFER VERDE CLARO</v>
      </c>
      <c r="D4352" s="186" t="str">
        <f>IFERROR(__xludf.DUMMYFUNCTION("""COMPUTED_VALUE"""),"FALSO")</f>
        <v>FALSO</v>
      </c>
    </row>
    <row r="4353">
      <c r="B4353" s="186" t="str">
        <f>IFERROR(__xludf.DUMMYFUNCTION("""COMPUTED_VALUE"""),"PI7875Y")</f>
        <v>PI7875Y</v>
      </c>
      <c r="C4353" s="186" t="str">
        <f>IFERROR(__xludf.DUMMYFUNCTION("""COMPUTED_VALUE"""),"NECESSAIRE PUFFER ROSA CLARO")</f>
        <v>NECESSAIRE PUFFER ROSA CLARO</v>
      </c>
      <c r="D4353" s="186" t="str">
        <f>IFERROR(__xludf.DUMMYFUNCTION("""COMPUTED_VALUE"""),"FALSO")</f>
        <v>FALSO</v>
      </c>
    </row>
    <row r="4354">
      <c r="B4354" s="186" t="str">
        <f>IFERROR(__xludf.DUMMYFUNCTION("""COMPUTED_VALUE"""),"PI7877Y")</f>
        <v>PI7877Y</v>
      </c>
      <c r="C4354" s="186" t="str">
        <f>IFERROR(__xludf.DUMMYFUNCTION("""COMPUTED_VALUE"""),"NECESSAIRE PUFFER LILAS")</f>
        <v>NECESSAIRE PUFFER LILAS</v>
      </c>
      <c r="D4354" s="186" t="str">
        <f>IFERROR(__xludf.DUMMYFUNCTION("""COMPUTED_VALUE"""),"FALSO")</f>
        <v>FALSO</v>
      </c>
    </row>
    <row r="4355">
      <c r="B4355" s="186" t="str">
        <f>IFERROR(__xludf.DUMMYFUNCTION("""COMPUTED_VALUE"""),"PI6546Y")</f>
        <v>PI6546Y</v>
      </c>
      <c r="C4355" s="186" t="str">
        <f>IFERROR(__xludf.DUMMYFUNCTION("""COMPUTED_VALUE"""),"NECESSAIRE PUFFER NEON VERDE")</f>
        <v>NECESSAIRE PUFFER NEON VERDE</v>
      </c>
      <c r="D4355" s="186" t="str">
        <f>IFERROR(__xludf.DUMMYFUNCTION("""COMPUTED_VALUE"""),"FALSO")</f>
        <v>FALSO</v>
      </c>
    </row>
    <row r="4356">
      <c r="B4356" s="186" t="str">
        <f>IFERROR(__xludf.DUMMYFUNCTION("""COMPUTED_VALUE"""),"PI6545Y")</f>
        <v>PI6545Y</v>
      </c>
      <c r="C4356" s="186" t="str">
        <f>IFERROR(__xludf.DUMMYFUNCTION("""COMPUTED_VALUE"""),"NECESSAIRE PUFFER NEON LARANJA")</f>
        <v>NECESSAIRE PUFFER NEON LARANJA</v>
      </c>
      <c r="D4356" s="186" t="str">
        <f>IFERROR(__xludf.DUMMYFUNCTION("""COMPUTED_VALUE"""),"FALSO")</f>
        <v>FALSO</v>
      </c>
    </row>
    <row r="4357">
      <c r="B4357" s="186" t="str">
        <f>IFERROR(__xludf.DUMMYFUNCTION("""COMPUTED_VALUE"""),"PI7874Y")</f>
        <v>PI7874Y</v>
      </c>
      <c r="C4357" s="186" t="str">
        <f>IFERROR(__xludf.DUMMYFUNCTION("""COMPUTED_VALUE"""),"NECESSAIRE PUFFER ROSA")</f>
        <v>NECESSAIRE PUFFER ROSA</v>
      </c>
      <c r="D4357" s="186" t="str">
        <f>IFERROR(__xludf.DUMMYFUNCTION("""COMPUTED_VALUE"""),"FALSO")</f>
        <v>FALSO</v>
      </c>
    </row>
    <row r="4358">
      <c r="B4358" s="186" t="str">
        <f>IFERROR(__xludf.DUMMYFUNCTION("""COMPUTED_VALUE"""),"PI6441Y")</f>
        <v>PI6441Y</v>
      </c>
      <c r="C4358" s="186" t="str">
        <f>IFERROR(__xludf.DUMMYFUNCTION("""COMPUTED_VALUE"""),"NECESSAIRE ANGLE DOURADA")</f>
        <v>NECESSAIRE ANGLE DOURADA</v>
      </c>
      <c r="D4358" s="186" t="str">
        <f>IFERROR(__xludf.DUMMYFUNCTION("""COMPUTED_VALUE"""),"FALSO")</f>
        <v>FALSO</v>
      </c>
    </row>
    <row r="4359">
      <c r="B4359" s="186" t="str">
        <f>IFERROR(__xludf.DUMMYFUNCTION("""COMPUTED_VALUE"""),"PI6441Y")</f>
        <v>PI6441Y</v>
      </c>
      <c r="C4359" s="186" t="str">
        <f>IFERROR(__xludf.DUMMYFUNCTION("""COMPUTED_VALUE"""),"NECESSAIRE ANGLE DOURADA")</f>
        <v>NECESSAIRE ANGLE DOURADA</v>
      </c>
      <c r="D4359" s="186" t="str">
        <f>IFERROR(__xludf.DUMMYFUNCTION("""COMPUTED_VALUE"""),"FALSO")</f>
        <v>FALSO</v>
      </c>
    </row>
    <row r="4360">
      <c r="B4360" s="186" t="str">
        <f>IFERROR(__xludf.DUMMYFUNCTION("""COMPUTED_VALUE"""),"PI6441Y")</f>
        <v>PI6441Y</v>
      </c>
      <c r="C4360" s="186" t="str">
        <f>IFERROR(__xludf.DUMMYFUNCTION("""COMPUTED_VALUE"""),"NECESSAIRE ANGLE DOURADA")</f>
        <v>NECESSAIRE ANGLE DOURADA</v>
      </c>
      <c r="D4360" s="186" t="str">
        <f>IFERROR(__xludf.DUMMYFUNCTION("""COMPUTED_VALUE"""),"FALSO")</f>
        <v>FALSO</v>
      </c>
    </row>
    <row r="4361">
      <c r="B4361" s="186" t="str">
        <f>IFERROR(__xludf.DUMMYFUNCTION("""COMPUTED_VALUE"""),"PI6436Y")</f>
        <v>PI6436Y</v>
      </c>
      <c r="C4361" s="186" t="str">
        <f>IFERROR(__xludf.DUMMYFUNCTION("""COMPUTED_VALUE"""),"NECESSAIRE BOX PRETA")</f>
        <v>NECESSAIRE BOX PRETA</v>
      </c>
      <c r="D4361" s="186" t="str">
        <f>IFERROR(__xludf.DUMMYFUNCTION("""COMPUTED_VALUE"""),"FALSO")</f>
        <v>FALSO</v>
      </c>
    </row>
    <row r="4362">
      <c r="B4362" s="186" t="str">
        <f>IFERROR(__xludf.DUMMYFUNCTION("""COMPUTED_VALUE"""),"PI6522Y")</f>
        <v>PI6522Y</v>
      </c>
      <c r="C4362" s="186" t="str">
        <f>IFERROR(__xludf.DUMMYFUNCTION("""COMPUTED_VALUE"""),"NECESSAIRE MATELASSE PRETA DETALHES NEON")</f>
        <v>NECESSAIRE MATELASSE PRETA DETALHES NEON</v>
      </c>
      <c r="D4362" s="186" t="str">
        <f>IFERROR(__xludf.DUMMYFUNCTION("""COMPUTED_VALUE"""),"FALSO")</f>
        <v>FALSO</v>
      </c>
    </row>
    <row r="4363">
      <c r="B4363" s="186" t="str">
        <f>IFERROR(__xludf.DUMMYFUNCTION("""COMPUTED_VALUE"""),"PI7416Y")</f>
        <v>PI7416Y</v>
      </c>
      <c r="C4363" s="186" t="str">
        <f>IFERROR(__xludf.DUMMYFUNCTION("""COMPUTED_VALUE"""),"NECESSAIRE MEDIA MATELASSE PRETA")</f>
        <v>NECESSAIRE MEDIA MATELASSE PRETA</v>
      </c>
      <c r="D4363" s="186" t="str">
        <f>IFERROR(__xludf.DUMMYFUNCTION("""COMPUTED_VALUE"""),"FALSO")</f>
        <v>FALSO</v>
      </c>
    </row>
    <row r="4364">
      <c r="B4364" s="186" t="str">
        <f>IFERROR(__xludf.DUMMYFUNCTION("""COMPUTED_VALUE"""),"PI7873Y")</f>
        <v>PI7873Y</v>
      </c>
      <c r="C4364" s="186" t="str">
        <f>IFERROR(__xludf.DUMMYFUNCTION("""COMPUTED_VALUE"""),"NECESSAIRE MATELASSE VERDE NEON G")</f>
        <v>NECESSAIRE MATELASSE VERDE NEON G</v>
      </c>
      <c r="D4364" s="186" t="str">
        <f>IFERROR(__xludf.DUMMYFUNCTION("""COMPUTED_VALUE"""),"FALSO")</f>
        <v>FALSO</v>
      </c>
    </row>
    <row r="4365">
      <c r="B4365" s="186" t="str">
        <f>IFERROR(__xludf.DUMMYFUNCTION("""COMPUTED_VALUE"""),"PI7872Y")</f>
        <v>PI7872Y</v>
      </c>
      <c r="C4365" s="186" t="str">
        <f>IFERROR(__xludf.DUMMYFUNCTION("""COMPUTED_VALUE"""),"NECESSAIRE MATELASSE VERDE NEON P")</f>
        <v>NECESSAIRE MATELASSE VERDE NEON P</v>
      </c>
      <c r="D4365" s="186" t="str">
        <f>IFERROR(__xludf.DUMMYFUNCTION("""COMPUTED_VALUE"""),"FALSO")</f>
        <v>FALSO</v>
      </c>
    </row>
    <row r="4366">
      <c r="B4366" s="186" t="str">
        <f>IFERROR(__xludf.DUMMYFUNCTION("""COMPUTED_VALUE"""),"PI7871Y")</f>
        <v>PI7871Y</v>
      </c>
      <c r="C4366" s="186" t="str">
        <f>IFERROR(__xludf.DUMMYFUNCTION("""COMPUTED_VALUE"""),"NECESSAIRE MATELASSE LILAS NEON G")</f>
        <v>NECESSAIRE MATELASSE LILAS NEON G</v>
      </c>
      <c r="D4366" s="186" t="str">
        <f>IFERROR(__xludf.DUMMYFUNCTION("""COMPUTED_VALUE"""),"FALSO")</f>
        <v>FALSO</v>
      </c>
    </row>
    <row r="4367">
      <c r="B4367" s="186" t="str">
        <f>IFERROR(__xludf.DUMMYFUNCTION("""COMPUTED_VALUE"""),"PI7870Y")</f>
        <v>PI7870Y</v>
      </c>
      <c r="C4367" s="186" t="str">
        <f>IFERROR(__xludf.DUMMYFUNCTION("""COMPUTED_VALUE"""),"NECESSAIRE MATELASSE LILAS NEON P")</f>
        <v>NECESSAIRE MATELASSE LILAS NEON P</v>
      </c>
      <c r="D4367" s="186" t="str">
        <f>IFERROR(__xludf.DUMMYFUNCTION("""COMPUTED_VALUE"""),"FALSO")</f>
        <v>FALSO</v>
      </c>
    </row>
    <row r="4368">
      <c r="B4368" s="186" t="str">
        <f>IFERROR(__xludf.DUMMYFUNCTION("""COMPUTED_VALUE"""),"PI6439Y")</f>
        <v>PI6439Y</v>
      </c>
      <c r="C4368" s="186" t="str">
        <f>IFERROR(__xludf.DUMMYFUNCTION("""COMPUTED_VALUE"""),"NECESSAIRE BOLSOS REMOVIVEIS POA")</f>
        <v>NECESSAIRE BOLSOS REMOVIVEIS POA</v>
      </c>
      <c r="D4368" s="186" t="str">
        <f>IFERROR(__xludf.DUMMYFUNCTION("""COMPUTED_VALUE"""),"FALSO")</f>
        <v>FALSO</v>
      </c>
    </row>
    <row r="4369">
      <c r="B4369" s="186" t="str">
        <f>IFERROR(__xludf.DUMMYFUNCTION("""COMPUTED_VALUE"""),"PI5637Y")</f>
        <v>PI5637Y</v>
      </c>
      <c r="C4369" s="186" t="str">
        <f>IFERROR(__xludf.DUMMYFUNCTION("""COMPUTED_VALUE"""),"NECESSAIRE BOLSOS REMOVIVEIS DEIXA FLUIR")</f>
        <v>NECESSAIRE BOLSOS REMOVIVEIS DEIXA FLUIR</v>
      </c>
      <c r="D4369" s="186" t="str">
        <f>IFERROR(__xludf.DUMMYFUNCTION("""COMPUTED_VALUE"""),"FALSO")</f>
        <v>FALSO</v>
      </c>
    </row>
    <row r="4370">
      <c r="B4370" s="186" t="str">
        <f>IFERROR(__xludf.DUMMYFUNCTION("""COMPUTED_VALUE"""),"PI5637Y")</f>
        <v>PI5637Y</v>
      </c>
      <c r="C4370" s="186" t="str">
        <f>IFERROR(__xludf.DUMMYFUNCTION("""COMPUTED_VALUE"""),"NECESSAIRE BOLSOS REMOVIVEIS DEIXA FLUIR")</f>
        <v>NECESSAIRE BOLSOS REMOVIVEIS DEIXA FLUIR</v>
      </c>
      <c r="D4370" s="186" t="str">
        <f>IFERROR(__xludf.DUMMYFUNCTION("""COMPUTED_VALUE"""),"FALSO")</f>
        <v>FALSO</v>
      </c>
    </row>
    <row r="4371">
      <c r="B4371" s="186" t="str">
        <f>IFERROR(__xludf.DUMMYFUNCTION("""COMPUTED_VALUE"""),"PI6644Y")</f>
        <v>PI6644Y</v>
      </c>
      <c r="C4371" s="186" t="str">
        <f>IFERROR(__xludf.DUMMYFUNCTION("""COMPUTED_VALUE"""),"NECESSAIRE EMBORRACHADA PRETO")</f>
        <v>NECESSAIRE EMBORRACHADA PRETO</v>
      </c>
      <c r="D4371" s="186" t="str">
        <f>IFERROR(__xludf.DUMMYFUNCTION("""COMPUTED_VALUE"""),"FALSO")</f>
        <v>FALSO</v>
      </c>
    </row>
    <row r="4372">
      <c r="B4372" s="186" t="str">
        <f>IFERROR(__xludf.DUMMYFUNCTION("""COMPUTED_VALUE"""),"PI6524Y")</f>
        <v>PI6524Y</v>
      </c>
      <c r="C4372" s="186" t="str">
        <f>IFERROR(__xludf.DUMMYFUNCTION("""COMPUTED_VALUE"""),"KIT NECESSAIRES POR ONDE FLOR")</f>
        <v>KIT NECESSAIRES POR ONDE FLOR</v>
      </c>
      <c r="D4372" s="186" t="str">
        <f>IFERROR(__xludf.DUMMYFUNCTION("""COMPUTED_VALUE"""),"FALSO")</f>
        <v>FALSO</v>
      </c>
    </row>
    <row r="4373">
      <c r="B4373" s="186" t="str">
        <f>IFERROR(__xludf.DUMMYFUNCTION("""COMPUTED_VALUE"""),"PI7900Y")</f>
        <v>PI7900Y</v>
      </c>
      <c r="C4373" s="186" t="str">
        <f>IFERROR(__xludf.DUMMYFUNCTION("""COMPUTED_VALUE"""),"NECESSAIRE SUSHI DE CAMARAO")</f>
        <v>NECESSAIRE SUSHI DE CAMARAO</v>
      </c>
      <c r="D4373" s="186" t="str">
        <f>IFERROR(__xludf.DUMMYFUNCTION("""COMPUTED_VALUE"""),"FALSO")</f>
        <v>FALSO</v>
      </c>
    </row>
    <row r="4374">
      <c r="B4374" s="186" t="str">
        <f>IFERROR(__xludf.DUMMYFUNCTION("""COMPUTED_VALUE"""),"PI5008Y")</f>
        <v>PI5008Y</v>
      </c>
      <c r="C4374" s="186" t="str">
        <f>IFERROR(__xludf.DUMMYFUNCTION("""COMPUTED_VALUE"""),"KIT NECESSAIRES HP HOGWARTS")</f>
        <v>KIT NECESSAIRES HP HOGWARTS</v>
      </c>
      <c r="D4374" s="186" t="str">
        <f>IFERROR(__xludf.DUMMYFUNCTION("""COMPUTED_VALUE"""),"FALSO")</f>
        <v>FALSO</v>
      </c>
    </row>
    <row r="4375">
      <c r="B4375" s="186" t="str">
        <f>IFERROR(__xludf.DUMMYFUNCTION("""COMPUTED_VALUE"""),"PI7899Y")</f>
        <v>PI7899Y</v>
      </c>
      <c r="C4375" s="186" t="str">
        <f>IFERROR(__xludf.DUMMYFUNCTION("""COMPUTED_VALUE"""),"NECESSAIRE BOLO DE MORANGO")</f>
        <v>NECESSAIRE BOLO DE MORANGO</v>
      </c>
      <c r="D4375" s="186" t="str">
        <f>IFERROR(__xludf.DUMMYFUNCTION("""COMPUTED_VALUE"""),"FALSO")</f>
        <v>FALSO</v>
      </c>
    </row>
    <row r="4376">
      <c r="B4376" s="186" t="str">
        <f>IFERROR(__xludf.DUMMYFUNCTION("""COMPUTED_VALUE"""),"PI6885Y")</f>
        <v>PI6885Y</v>
      </c>
      <c r="C4376" s="186" t="str">
        <f>IFERROR(__xludf.DUMMYFUNCTION("""COMPUTED_VALUE"""),"NECESSAIRE ALCA LISTRAS PB")</f>
        <v>NECESSAIRE ALCA LISTRAS PB</v>
      </c>
      <c r="D4376" s="186" t="str">
        <f>IFERROR(__xludf.DUMMYFUNCTION("""COMPUTED_VALUE"""),"FALSO")</f>
        <v>FALSO</v>
      </c>
    </row>
    <row r="4377">
      <c r="B4377" s="186" t="str">
        <f>IFERROR(__xludf.DUMMYFUNCTION("""COMPUTED_VALUE"""),"PI6887Y")</f>
        <v>PI6887Y</v>
      </c>
      <c r="C4377" s="186" t="str">
        <f>IFERROR(__xludf.DUMMYFUNCTION("""COMPUTED_VALUE"""),"NECESSAIRE BOLSOS GATINHOS")</f>
        <v>NECESSAIRE BOLSOS GATINHOS</v>
      </c>
      <c r="D4377" s="186" t="str">
        <f>IFERROR(__xludf.DUMMYFUNCTION("""COMPUTED_VALUE"""),"FALSO")</f>
        <v>FALSO</v>
      </c>
    </row>
    <row r="4378">
      <c r="B4378" s="186" t="str">
        <f>IFERROR(__xludf.DUMMYFUNCTION("""COMPUTED_VALUE"""),"PI7300Y")</f>
        <v>PI7300Y</v>
      </c>
      <c r="C4378" s="186" t="str">
        <f>IFERROR(__xludf.DUMMYFUNCTION("""COMPUTED_VALUE"""),"NECESSAIRE TERMICA POSITIVIDADE LISTRAS")</f>
        <v>NECESSAIRE TERMICA POSITIVIDADE LISTRAS</v>
      </c>
      <c r="D4378" s="186" t="str">
        <f>IFERROR(__xludf.DUMMYFUNCTION("""COMPUTED_VALUE"""),"FALSO")</f>
        <v>FALSO</v>
      </c>
    </row>
    <row r="4379">
      <c r="B4379" s="186" t="str">
        <f>IFERROR(__xludf.DUMMYFUNCTION("""COMPUTED_VALUE"""),"PI7302Y")</f>
        <v>PI7302Y</v>
      </c>
      <c r="C4379" s="186" t="str">
        <f>IFERROR(__xludf.DUMMYFUNCTION("""COMPUTED_VALUE"""),"NECESSAIRE TERMICA XADREZ PINK VERMELHO")</f>
        <v>NECESSAIRE TERMICA XADREZ PINK VERMELHO</v>
      </c>
      <c r="D4379" s="186" t="str">
        <f>IFERROR(__xludf.DUMMYFUNCTION("""COMPUTED_VALUE"""),"FALSO")</f>
        <v>FALSO</v>
      </c>
    </row>
    <row r="4380">
      <c r="B4380" s="186" t="str">
        <f>IFERROR(__xludf.DUMMYFUNCTION("""COMPUTED_VALUE"""),"PI6646Y")</f>
        <v>PI6646Y</v>
      </c>
      <c r="C4380" s="186" t="str">
        <f>IFERROR(__xludf.DUMMYFUNCTION("""COMPUTED_VALUE"""),"NECESSAIRE TERMICA POA MARINHO")</f>
        <v>NECESSAIRE TERMICA POA MARINHO</v>
      </c>
      <c r="D4380" s="186" t="str">
        <f>IFERROR(__xludf.DUMMYFUNCTION("""COMPUTED_VALUE"""),"FALSO")</f>
        <v>FALSO</v>
      </c>
    </row>
    <row r="4381">
      <c r="B4381" s="186" t="str">
        <f>IFERROR(__xludf.DUMMYFUNCTION("""COMPUTED_VALUE"""),"PI6525Y")</f>
        <v>PI6525Y</v>
      </c>
      <c r="C4381" s="186" t="str">
        <f>IFERROR(__xludf.DUMMYFUNCTION("""COMPUTED_VALUE"""),"NECESSAIRE TERMICA POA VERMELHO")</f>
        <v>NECESSAIRE TERMICA POA VERMELHO</v>
      </c>
      <c r="D4381" s="186" t="str">
        <f>IFERROR(__xludf.DUMMYFUNCTION("""COMPUTED_VALUE"""),"FALSO")</f>
        <v>FALSO</v>
      </c>
    </row>
    <row r="4382">
      <c r="B4382" s="186" t="str">
        <f>IFERROR(__xludf.DUMMYFUNCTION("""COMPUTED_VALUE"""),"PI7303Y")</f>
        <v>PI7303Y</v>
      </c>
      <c r="C4382" s="186" t="str">
        <f>IFERROR(__xludf.DUMMYFUNCTION("""COMPUTED_VALUE"""),"NECESSAIRE TERMICA GRID PB")</f>
        <v>NECESSAIRE TERMICA GRID PB</v>
      </c>
      <c r="D4382" s="186" t="str">
        <f>IFERROR(__xludf.DUMMYFUNCTION("""COMPUTED_VALUE"""),"FALSO")</f>
        <v>FALSO</v>
      </c>
    </row>
    <row r="4383">
      <c r="B4383" s="186" t="str">
        <f>IFERROR(__xludf.DUMMYFUNCTION("""COMPUTED_VALUE"""),"PI7301Y")</f>
        <v>PI7301Y</v>
      </c>
      <c r="C4383" s="186" t="str">
        <f>IFERROR(__xludf.DUMMYFUNCTION("""COMPUTED_VALUE"""),"NECESSAIRE TERMICA POSITIVIDADE MAX POA")</f>
        <v>NECESSAIRE TERMICA POSITIVIDADE MAX POA</v>
      </c>
      <c r="D4383" s="186" t="str">
        <f>IFERROR(__xludf.DUMMYFUNCTION("""COMPUTED_VALUE"""),"FALSO")</f>
        <v>FALSO</v>
      </c>
    </row>
    <row r="4384">
      <c r="B4384" s="186" t="str">
        <f>IFERROR(__xludf.DUMMYFUNCTION("""COMPUTED_VALUE"""),"PI6526Y")</f>
        <v>PI6526Y</v>
      </c>
      <c r="C4384" s="186" t="str">
        <f>IFERROR(__xludf.DUMMYFUNCTION("""COMPUTED_VALUE"""),"NECESSAIRE TERMICA LISTRAS PRETO")</f>
        <v>NECESSAIRE TERMICA LISTRAS PRETO</v>
      </c>
      <c r="D4384" s="186" t="str">
        <f>IFERROR(__xludf.DUMMYFUNCTION("""COMPUTED_VALUE"""),"FALSO")</f>
        <v>FALSO</v>
      </c>
    </row>
    <row r="4385">
      <c r="B4385" s="186" t="str">
        <f>IFERROR(__xludf.DUMMYFUNCTION("""COMPUTED_VALUE"""),"PI6645Y")</f>
        <v>PI6645Y</v>
      </c>
      <c r="C4385" s="186" t="str">
        <f>IFERROR(__xludf.DUMMYFUNCTION("""COMPUTED_VALUE"""),"NECESSAIRE TERMICA LISTRAS ROSA CLARO")</f>
        <v>NECESSAIRE TERMICA LISTRAS ROSA CLARO</v>
      </c>
      <c r="D4385" s="186" t="str">
        <f>IFERROR(__xludf.DUMMYFUNCTION("""COMPUTED_VALUE"""),"FALSO")</f>
        <v>FALSO</v>
      </c>
    </row>
    <row r="4386">
      <c r="B4386" s="186" t="str">
        <f>IFERROR(__xludf.DUMMYFUNCTION("""COMPUTED_VALUE"""),"PI6523Y")</f>
        <v>PI6523Y</v>
      </c>
      <c r="C4386" s="186" t="str">
        <f>IFERROR(__xludf.DUMMYFUNCTION("""COMPUTED_VALUE"""),"NECESSAIRE VIAGEM CABIDE PRETA")</f>
        <v>NECESSAIRE VIAGEM CABIDE PRETA</v>
      </c>
      <c r="D4386" s="186" t="str">
        <f>IFERROR(__xludf.DUMMYFUNCTION("""COMPUTED_VALUE"""),"FALSO")</f>
        <v>FALSO</v>
      </c>
    </row>
    <row r="4387">
      <c r="B4387" s="186" t="str">
        <f>IFERROR(__xludf.DUMMYFUNCTION("""COMPUTED_VALUE"""),"PI6435Y")</f>
        <v>PI6435Y</v>
      </c>
      <c r="C4387" s="186" t="str">
        <f>IFERROR(__xludf.DUMMYFUNCTION("""COMPUTED_VALUE"""),"NECESSAIRE ESTAMPA SEU TEMPO")</f>
        <v>NECESSAIRE ESTAMPA SEU TEMPO</v>
      </c>
      <c r="D4387" s="186" t="str">
        <f>IFERROR(__xludf.DUMMYFUNCTION("""COMPUTED_VALUE"""),"FALSO")</f>
        <v>FALSO</v>
      </c>
    </row>
    <row r="4388">
      <c r="B4388" s="186" t="str">
        <f>IFERROR(__xludf.DUMMYFUNCTION("""COMPUTED_VALUE"""),"PI5627Y")</f>
        <v>PI5627Y</v>
      </c>
      <c r="C4388" s="186" t="str">
        <f>IFERROR(__xludf.DUMMYFUNCTION("""COMPUTED_VALUE"""),"NECESSAIRE COM ESPELHO HOLOGRAFICO FLOR")</f>
        <v>NECESSAIRE COM ESPELHO HOLOGRAFICO FLOR</v>
      </c>
      <c r="D4388" s="186" t="str">
        <f>IFERROR(__xludf.DUMMYFUNCTION("""COMPUTED_VALUE"""),"FALSO")</f>
        <v>FALSO</v>
      </c>
    </row>
    <row r="4389">
      <c r="B4389" s="186" t="str">
        <f>IFERROR(__xludf.DUMMYFUNCTION("""COMPUTED_VALUE"""),"PI6005Y")</f>
        <v>PI6005Y</v>
      </c>
      <c r="C4389" s="186" t="str">
        <f>IFERROR(__xludf.DUMMYFUNCTION("""COMPUTED_VALUE"""),"NECESSAIRE BOLSO BOCA")</f>
        <v>NECESSAIRE BOLSO BOCA</v>
      </c>
      <c r="D4389" s="186" t="str">
        <f>IFERROR(__xludf.DUMMYFUNCTION("""COMPUTED_VALUE"""),"FALSO")</f>
        <v>FALSO</v>
      </c>
    </row>
    <row r="4390">
      <c r="B4390" s="186" t="str">
        <f>IFERROR(__xludf.DUMMYFUNCTION("""COMPUTED_VALUE"""),"PI5618Y")</f>
        <v>PI5618Y</v>
      </c>
      <c r="C4390" s="186" t="str">
        <f>IFERROR(__xludf.DUMMYFUNCTION("""COMPUTED_VALUE"""),"NECESSAIRE Y2K JEANS")</f>
        <v>NECESSAIRE Y2K JEANS</v>
      </c>
      <c r="D4390" s="186" t="str">
        <f>IFERROR(__xludf.DUMMYFUNCTION("""COMPUTED_VALUE"""),"FALSO")</f>
        <v>FALSO</v>
      </c>
    </row>
    <row r="4391">
      <c r="B4391" s="186" t="str">
        <f>IFERROR(__xludf.DUMMYFUNCTION("""COMPUTED_VALUE"""),"PI5619Y")</f>
        <v>PI5619Y</v>
      </c>
      <c r="C4391" s="186" t="str">
        <f>IFERROR(__xludf.DUMMYFUNCTION("""COMPUTED_VALUE"""),"NECESSAIRE Y2K POMPOM E GLITTER")</f>
        <v>NECESSAIRE Y2K POMPOM E GLITTER</v>
      </c>
      <c r="D4391" s="186" t="str">
        <f>IFERROR(__xludf.DUMMYFUNCTION("""COMPUTED_VALUE"""),"FALSO")</f>
        <v>FALSO</v>
      </c>
    </row>
    <row r="4392">
      <c r="B4392" s="186" t="str">
        <f>IFERROR(__xludf.DUMMYFUNCTION("""COMPUTED_VALUE"""),"PI7478Y")</f>
        <v>PI7478Y</v>
      </c>
      <c r="C4392" s="186" t="str">
        <f>IFERROR(__xludf.DUMMYFUNCTION("""COMPUTED_VALUE"""),"NECESSAIRE CANVAS MARINHO E MARROM")</f>
        <v>NECESSAIRE CANVAS MARINHO E MARROM</v>
      </c>
      <c r="D4392" s="186" t="str">
        <f>IFERROR(__xludf.DUMMYFUNCTION("""COMPUTED_VALUE"""),"FALSO")</f>
        <v>FALSO</v>
      </c>
    </row>
    <row r="4393">
      <c r="B4393" s="186" t="str">
        <f>IFERROR(__xludf.DUMMYFUNCTION("""COMPUTED_VALUE"""),"PI6687Y")</f>
        <v>PI6687Y</v>
      </c>
      <c r="C4393" s="186" t="str">
        <f>IFERROR(__xludf.DUMMYFUNCTION("""COMPUTED_VALUE"""),"CAPA DE NOTEBOOK 15 BOLSOS VERDE ESCURO")</f>
        <v>CAPA DE NOTEBOOK 15 BOLSOS VERDE ESCURO</v>
      </c>
      <c r="D4393" s="186" t="str">
        <f>IFERROR(__xludf.DUMMYFUNCTION("""COMPUTED_VALUE"""),"FALSO")</f>
        <v>FALSO</v>
      </c>
    </row>
    <row r="4394">
      <c r="B4394" s="186" t="str">
        <f>IFERROR(__xludf.DUMMYFUNCTION("""COMPUTED_VALUE"""),"PI7406Y")</f>
        <v>PI7406Y</v>
      </c>
      <c r="C4394" s="186" t="str">
        <f>IFERROR(__xludf.DUMMYFUNCTION("""COMPUTED_VALUE"""),"CAPA DE NOTEBOOK 15 CANVAS LISTRADA")</f>
        <v>CAPA DE NOTEBOOK 15 CANVAS LISTRADA</v>
      </c>
      <c r="D4394" s="186" t="str">
        <f>IFERROR(__xludf.DUMMYFUNCTION("""COMPUTED_VALUE"""),"FALSO")</f>
        <v>FALSO</v>
      </c>
    </row>
    <row r="4395">
      <c r="B4395" s="186" t="str">
        <f>IFERROR(__xludf.DUMMYFUNCTION("""COMPUTED_VALUE"""),"PI6635Y")</f>
        <v>PI6635Y</v>
      </c>
      <c r="C4395" s="186" t="str">
        <f>IFERROR(__xludf.DUMMYFUNCTION("""COMPUTED_VALUE"""),"CAPA DE NOTEBOOK 15 POR ONDE FLOR")</f>
        <v>CAPA DE NOTEBOOK 15 POR ONDE FLOR</v>
      </c>
      <c r="D4395" s="186" t="str">
        <f>IFERROR(__xludf.DUMMYFUNCTION("""COMPUTED_VALUE"""),"FALSO")</f>
        <v>FALSO</v>
      </c>
    </row>
    <row r="4396">
      <c r="B4396" s="186" t="str">
        <f>IFERROR(__xludf.DUMMYFUNCTION("""COMPUTED_VALUE"""),"PI6849Y")</f>
        <v>PI6849Y</v>
      </c>
      <c r="C4396" s="186" t="str">
        <f>IFERROR(__xludf.DUMMYFUNCTION("""COMPUTED_VALUE"""),"CAPA DE NOTEBOOK 15 HP POCOES")</f>
        <v>CAPA DE NOTEBOOK 15 HP POCOES</v>
      </c>
      <c r="D4396" s="186" t="str">
        <f>IFERROR(__xludf.DUMMYFUNCTION("""COMPUTED_VALUE"""),"FALSO")</f>
        <v>FALSO</v>
      </c>
    </row>
    <row r="4397">
      <c r="B4397" s="186" t="str">
        <f>IFERROR(__xludf.DUMMYFUNCTION("""COMPUTED_VALUE"""),"PI7413Y")</f>
        <v>PI7413Y</v>
      </c>
      <c r="C4397" s="186" t="str">
        <f>IFERROR(__xludf.DUMMYFUNCTION("""COMPUTED_VALUE"""),"CAPA DE NOTEBOOK 15 ROSA E VERMELHA")</f>
        <v>CAPA DE NOTEBOOK 15 ROSA E VERMELHA</v>
      </c>
      <c r="D4397" s="186" t="str">
        <f>IFERROR(__xludf.DUMMYFUNCTION("""COMPUTED_VALUE"""),"FALSO")</f>
        <v>FALSO</v>
      </c>
    </row>
    <row r="4398">
      <c r="B4398" s="186" t="str">
        <f>IFERROR(__xludf.DUMMYFUNCTION("""COMPUTED_VALUE"""),"PI6954Y")</f>
        <v>PI6954Y</v>
      </c>
      <c r="C4398" s="186" t="str">
        <f>IFERROR(__xludf.DUMMYFUNCTION("""COMPUTED_VALUE"""),"CAPA DE NOTEBOOK 15 LISTRAS PB")</f>
        <v>CAPA DE NOTEBOOK 15 LISTRAS PB</v>
      </c>
      <c r="D4398" s="186" t="str">
        <f>IFERROR(__xludf.DUMMYFUNCTION("""COMPUTED_VALUE"""),"FALSO")</f>
        <v>FALSO</v>
      </c>
    </row>
    <row r="4399">
      <c r="B4399" s="186" t="str">
        <f>IFERROR(__xludf.DUMMYFUNCTION("""COMPUTED_VALUE"""),"PI6754Y")</f>
        <v>PI6754Y</v>
      </c>
      <c r="C4399" s="186" t="str">
        <f>IFERROR(__xludf.DUMMYFUNCTION("""COMPUTED_VALUE"""),"BOLSA G OFF WHITE MANDM")</f>
        <v>BOLSA G OFF WHITE MANDM</v>
      </c>
      <c r="D4399" s="186" t="str">
        <f>IFERROR(__xludf.DUMMYFUNCTION("""COMPUTED_VALUE"""),"FALSO")</f>
        <v>FALSO</v>
      </c>
    </row>
    <row r="4400">
      <c r="B4400" s="186" t="str">
        <f>IFERROR(__xludf.DUMMYFUNCTION("""COMPUTED_VALUE"""),"PI6730Y")</f>
        <v>PI6730Y</v>
      </c>
      <c r="C4400" s="186" t="str">
        <f>IFERROR(__xludf.DUMMYFUNCTION("""COMPUTED_VALUE"""),"BOLSA M OFF WHITE MANDM")</f>
        <v>BOLSA M OFF WHITE MANDM</v>
      </c>
      <c r="D4400" s="186" t="str">
        <f>IFERROR(__xludf.DUMMYFUNCTION("""COMPUTED_VALUE"""),"FALSO")</f>
        <v>FALSO</v>
      </c>
    </row>
    <row r="4401">
      <c r="B4401" s="186" t="str">
        <f>IFERROR(__xludf.DUMMYFUNCTION("""COMPUTED_VALUE"""),"PI6750Y")</f>
        <v>PI6750Y</v>
      </c>
      <c r="C4401" s="186" t="str">
        <f>IFERROR(__xludf.DUMMYFUNCTION("""COMPUTED_VALUE"""),"BOLSA P OFF WHITE MANDM")</f>
        <v>BOLSA P OFF WHITE MANDM</v>
      </c>
      <c r="D4401" s="186" t="str">
        <f>IFERROR(__xludf.DUMMYFUNCTION("""COMPUTED_VALUE"""),"FALSO")</f>
        <v>FALSO</v>
      </c>
    </row>
    <row r="4402">
      <c r="B4402" s="186"/>
      <c r="C4402" s="186"/>
      <c r="D4402" s="186"/>
    </row>
    <row r="4403">
      <c r="B4403" s="186" t="str">
        <f>IFERROR(__xludf.DUMMYFUNCTION("""COMPUTED_VALUE"""),"PI6750Y")</f>
        <v>PI6750Y</v>
      </c>
      <c r="C4403" s="186" t="str">
        <f>IFERROR(__xludf.DUMMYFUNCTION("""COMPUTED_VALUE"""),"BOLSA P OFF WHITE MANDM")</f>
        <v>BOLSA P OFF WHITE MANDM</v>
      </c>
      <c r="D4403" s="186" t="str">
        <f>IFERROR(__xludf.DUMMYFUNCTION("""COMPUTED_VALUE"""),"FALSO")</f>
        <v>FALSO</v>
      </c>
    </row>
    <row r="4404">
      <c r="B4404" s="186" t="str">
        <f>IFERROR(__xludf.DUMMYFUNCTION("""COMPUTED_VALUE"""),"PI6752Y")</f>
        <v>PI6752Y</v>
      </c>
      <c r="C4404" s="186" t="str">
        <f>IFERROR(__xludf.DUMMYFUNCTION("""COMPUTED_VALUE"""),"BOLSA P LARANJA MANDM")</f>
        <v>BOLSA P LARANJA MANDM</v>
      </c>
      <c r="D4404" s="186" t="str">
        <f>IFERROR(__xludf.DUMMYFUNCTION("""COMPUTED_VALUE"""),"FALSO")</f>
        <v>FALSO</v>
      </c>
    </row>
    <row r="4405">
      <c r="B4405" s="186" t="str">
        <f>IFERROR(__xludf.DUMMYFUNCTION("""COMPUTED_VALUE"""),"PI7397Y")</f>
        <v>PI7397Y</v>
      </c>
      <c r="C4405" s="186" t="str">
        <f>IFERROR(__xludf.DUMMYFUNCTION("""COMPUTED_VALUE"""),"ESTOJO BASICO PRETO")</f>
        <v>ESTOJO BASICO PRETO</v>
      </c>
      <c r="D4405" s="186" t="str">
        <f>IFERROR(__xludf.DUMMYFUNCTION("""COMPUTED_VALUE"""),"FALSO")</f>
        <v>FALSO</v>
      </c>
    </row>
    <row r="4406">
      <c r="B4406" s="186" t="str">
        <f>IFERROR(__xludf.DUMMYFUNCTION("""COMPUTED_VALUE"""),"PI7391Y")</f>
        <v>PI7391Y</v>
      </c>
      <c r="C4406" s="186" t="str">
        <f>IFERROR(__xludf.DUMMYFUNCTION("""COMPUTED_VALUE"""),"ESTOJO BASICO CLARO")</f>
        <v>ESTOJO BASICO CLARO</v>
      </c>
      <c r="D4406" s="186" t="str">
        <f>IFERROR(__xludf.DUMMYFUNCTION("""COMPUTED_VALUE"""),"FALSO")</f>
        <v>FALSO</v>
      </c>
    </row>
    <row r="4407">
      <c r="B4407" s="186" t="str">
        <f>IFERROR(__xludf.DUMMYFUNCTION("""COMPUTED_VALUE"""),"PI7417Y")</f>
        <v>PI7417Y</v>
      </c>
      <c r="C4407" s="186" t="str">
        <f>IFERROR(__xludf.DUMMYFUNCTION("""COMPUTED_VALUE"""),"ESTOJO BASICO MATELASSE PRETO")</f>
        <v>ESTOJO BASICO MATELASSE PRETO</v>
      </c>
      <c r="D4407" s="186" t="str">
        <f>IFERROR(__xludf.DUMMYFUNCTION("""COMPUTED_VALUE"""),"FALSO")</f>
        <v>FALSO</v>
      </c>
    </row>
    <row r="4408">
      <c r="B4408" s="186" t="str">
        <f>IFERROR(__xludf.DUMMYFUNCTION("""COMPUTED_VALUE"""),"PI5960Y")</f>
        <v>PI5960Y</v>
      </c>
      <c r="C4408" s="186" t="str">
        <f>IFERROR(__xludf.DUMMYFUNCTION("""COMPUTED_VALUE"""),"ESTOJO BISCOITO BOLACHA")</f>
        <v>ESTOJO BISCOITO BOLACHA</v>
      </c>
      <c r="D4408" s="186" t="str">
        <f>IFERROR(__xludf.DUMMYFUNCTION("""COMPUTED_VALUE"""),"FALSO")</f>
        <v>FALSO</v>
      </c>
    </row>
    <row r="4409">
      <c r="B4409" s="186" t="str">
        <f>IFERROR(__xludf.DUMMYFUNCTION("""COMPUTED_VALUE"""),"PI6008Y")</f>
        <v>PI6008Y</v>
      </c>
      <c r="C4409" s="186" t="str">
        <f>IFERROR(__xludf.DUMMYFUNCTION("""COMPUTED_VALUE"""),"ESTOJO DIVISORIAS GATO PRETO")</f>
        <v>ESTOJO DIVISORIAS GATO PRETO</v>
      </c>
      <c r="D4409" s="186" t="str">
        <f>IFERROR(__xludf.DUMMYFUNCTION("""COMPUTED_VALUE"""),"FALSO")</f>
        <v>FALSO</v>
      </c>
    </row>
    <row r="4410">
      <c r="B4410" s="186" t="str">
        <f>IFERROR(__xludf.DUMMYFUNCTION("""COMPUTED_VALUE"""),"PI5600Y")</f>
        <v>PI5600Y</v>
      </c>
      <c r="C4410" s="186" t="str">
        <f>IFERROR(__xludf.DUMMYFUNCTION("""COMPUTED_VALUE"""),"ESTOJO DIVISORIAS POAS")</f>
        <v>ESTOJO DIVISORIAS POAS</v>
      </c>
      <c r="D4410" s="186" t="str">
        <f>IFERROR(__xludf.DUMMYFUNCTION("""COMPUTED_VALUE"""),"FALSO")</f>
        <v>FALSO</v>
      </c>
    </row>
    <row r="4411">
      <c r="B4411" s="186" t="str">
        <f>IFERROR(__xludf.DUMMYFUNCTION("""COMPUTED_VALUE"""),"PI5625Y")</f>
        <v>PI5625Y</v>
      </c>
      <c r="C4411" s="186" t="str">
        <f>IFERROR(__xludf.DUMMYFUNCTION("""COMPUTED_VALUE"""),"ESTOJO DIVISORIAS HOLOGRAFICO")</f>
        <v>ESTOJO DIVISORIAS HOLOGRAFICO</v>
      </c>
      <c r="D4411" s="186" t="str">
        <f>IFERROR(__xludf.DUMMYFUNCTION("""COMPUTED_VALUE"""),"FALSO")</f>
        <v>FALSO</v>
      </c>
    </row>
    <row r="4412">
      <c r="B4412" s="186" t="str">
        <f>IFERROR(__xludf.DUMMYFUNCTION("""COMPUTED_VALUE"""),"PI5616Y")</f>
        <v>PI5616Y</v>
      </c>
      <c r="C4412" s="186" t="str">
        <f>IFERROR(__xludf.DUMMYFUNCTION("""COMPUTED_VALUE"""),"ESTOJO DIVISORIAS Y2K JEANS")</f>
        <v>ESTOJO DIVISORIAS Y2K JEANS</v>
      </c>
      <c r="D4412" s="186" t="str">
        <f>IFERROR(__xludf.DUMMYFUNCTION("""COMPUTED_VALUE"""),"FALSO")</f>
        <v>FALSO</v>
      </c>
    </row>
    <row r="4413">
      <c r="B4413" s="186" t="str">
        <f>IFERROR(__xludf.DUMMYFUNCTION("""COMPUTED_VALUE"""),"PI5638Y")</f>
        <v>PI5638Y</v>
      </c>
      <c r="C4413" s="186" t="str">
        <f>IFERROR(__xludf.DUMMYFUNCTION("""COMPUTED_VALUE"""),"ESTOJO DIVISORIAS ESTAMPA DEIXA FLUIR")</f>
        <v>ESTOJO DIVISORIAS ESTAMPA DEIXA FLUIR</v>
      </c>
      <c r="D4413" s="186" t="str">
        <f>IFERROR(__xludf.DUMMYFUNCTION("""COMPUTED_VALUE"""),"FALSO")</f>
        <v>FALSO</v>
      </c>
    </row>
    <row r="4414">
      <c r="B4414" s="186" t="str">
        <f>IFERROR(__xludf.DUMMYFUNCTION("""COMPUTED_VALUE"""),"PI6913Y")</f>
        <v>PI6913Y</v>
      </c>
      <c r="C4414" s="186" t="str">
        <f>IFERROR(__xludf.DUMMYFUNCTION("""COMPUTED_VALUE"""),"ESTOJO BOLSOS IMAGILAND")</f>
        <v>ESTOJO BOLSOS IMAGILAND</v>
      </c>
      <c r="D4414" s="186" t="str">
        <f>IFERROR(__xludf.DUMMYFUNCTION("""COMPUTED_VALUE"""),"FALSO")</f>
        <v>FALSO</v>
      </c>
    </row>
    <row r="4415">
      <c r="B4415" s="186" t="str">
        <f>IFERROR(__xludf.DUMMYFUNCTION("""COMPUTED_VALUE"""),"PI7405Y")</f>
        <v>PI7405Y</v>
      </c>
      <c r="C4415" s="186" t="str">
        <f>IFERROR(__xludf.DUMMYFUNCTION("""COMPUTED_VALUE"""),"ESTOJO BOLSOS CANVAS LISTRADO")</f>
        <v>ESTOJO BOLSOS CANVAS LISTRADO</v>
      </c>
      <c r="D4415" s="186" t="str">
        <f>IFERROR(__xludf.DUMMYFUNCTION("""COMPUTED_VALUE"""),"FALSO")</f>
        <v>FALSO</v>
      </c>
    </row>
    <row r="4416">
      <c r="B4416" s="186" t="str">
        <f>IFERROR(__xludf.DUMMYFUNCTION("""COMPUTED_VALUE"""),"PI7848Y")</f>
        <v>PI7848Y</v>
      </c>
      <c r="C4416" s="186" t="str">
        <f>IFERROR(__xludf.DUMMYFUNCTION("""COMPUTED_VALUE"""),"ESTOJO XADREZ VERDE")</f>
        <v>ESTOJO XADREZ VERDE</v>
      </c>
      <c r="D4416" s="186" t="str">
        <f>IFERROR(__xludf.DUMMYFUNCTION("""COMPUTED_VALUE"""),"FALSO")</f>
        <v>FALSO</v>
      </c>
    </row>
    <row r="4417">
      <c r="B4417" s="186" t="str">
        <f>IFERROR(__xludf.DUMMYFUNCTION("""COMPUTED_VALUE"""),"PI7851Y")</f>
        <v>PI7851Y</v>
      </c>
      <c r="C4417" s="186" t="str">
        <f>IFERROR(__xludf.DUMMYFUNCTION("""COMPUTED_VALUE"""),"ESTOJO XADREZ LARANJA")</f>
        <v>ESTOJO XADREZ LARANJA</v>
      </c>
      <c r="D4417" s="186" t="str">
        <f>IFERROR(__xludf.DUMMYFUNCTION("""COMPUTED_VALUE"""),"FALSO")</f>
        <v>FALSO</v>
      </c>
    </row>
    <row r="4418">
      <c r="B4418" s="186" t="str">
        <f>IFERROR(__xludf.DUMMYFUNCTION("""COMPUTED_VALUE"""),"PI5961Y")</f>
        <v>PI5961Y</v>
      </c>
      <c r="C4418" s="186" t="str">
        <f>IFERROR(__xludf.DUMMYFUNCTION("""COMPUTED_VALUE"""),"ESTOJO CHOCOLATE")</f>
        <v>ESTOJO CHOCOLATE</v>
      </c>
      <c r="D4418" s="186" t="str">
        <f>IFERROR(__xludf.DUMMYFUNCTION("""COMPUTED_VALUE"""),"INMETRO Toys System 5 - Ordinance 302")</f>
        <v>INMETRO Toys System 5 - Ordinance 302</v>
      </c>
    </row>
    <row r="4419">
      <c r="B4419" s="186" t="str">
        <f>IFERROR(__xludf.DUMMYFUNCTION("""COMPUTED_VALUE"""),"PI7880Y")</f>
        <v>PI7880Y</v>
      </c>
      <c r="C4419" s="186" t="str">
        <f>IFERROR(__xludf.DUMMYFUNCTION("""COMPUTED_VALUE"""),"ESTOJO COTELE VERDE")</f>
        <v>ESTOJO COTELE VERDE</v>
      </c>
      <c r="D4419" s="186" t="str">
        <f>IFERROR(__xludf.DUMMYFUNCTION("""COMPUTED_VALUE"""),"FALSO")</f>
        <v>FALSO</v>
      </c>
    </row>
    <row r="4420">
      <c r="B4420" s="186" t="str">
        <f>IFERROR(__xludf.DUMMYFUNCTION("""COMPUTED_VALUE"""),"PI7878Y")</f>
        <v>PI7878Y</v>
      </c>
      <c r="C4420" s="186" t="str">
        <f>IFERROR(__xludf.DUMMYFUNCTION("""COMPUTED_VALUE"""),"ESTOJO COTELE ROSA")</f>
        <v>ESTOJO COTELE ROSA</v>
      </c>
      <c r="D4420" s="186" t="str">
        <f>IFERROR(__xludf.DUMMYFUNCTION("""COMPUTED_VALUE"""),"FALSO")</f>
        <v>FALSO</v>
      </c>
    </row>
    <row r="4421">
      <c r="B4421" s="186" t="str">
        <f>IFERROR(__xludf.DUMMYFUNCTION("""COMPUTED_VALUE"""),"PI7879Y")</f>
        <v>PI7879Y</v>
      </c>
      <c r="C4421" s="186" t="str">
        <f>IFERROR(__xludf.DUMMYFUNCTION("""COMPUTED_VALUE"""),"ESTOJO COTELE AMARELO")</f>
        <v>ESTOJO COTELE AMARELO</v>
      </c>
      <c r="D4421" s="186" t="str">
        <f>IFERROR(__xludf.DUMMYFUNCTION("""COMPUTED_VALUE"""),"FALSO")</f>
        <v>FALSO</v>
      </c>
    </row>
    <row r="4422">
      <c r="B4422" s="186" t="str">
        <f>IFERROR(__xludf.DUMMYFUNCTION("""COMPUTED_VALUE"""),"PI7854Y")</f>
        <v>PI7854Y</v>
      </c>
      <c r="C4422" s="186" t="str">
        <f>IFERROR(__xludf.DUMMYFUNCTION("""COMPUTED_VALUE"""),"ESTOJO POA E LISTRAS")</f>
        <v>ESTOJO POA E LISTRAS</v>
      </c>
      <c r="D4422" s="186" t="str">
        <f>IFERROR(__xludf.DUMMYFUNCTION("""COMPUTED_VALUE"""),"FALSO")</f>
        <v>FALSO</v>
      </c>
    </row>
    <row r="4423">
      <c r="B4423" s="186" t="str">
        <f>IFERROR(__xludf.DUMMYFUNCTION("""COMPUTED_VALUE"""),"PI7609Y")</f>
        <v>PI7609Y</v>
      </c>
      <c r="C4423" s="186" t="str">
        <f>IFERROR(__xludf.DUMMYFUNCTION("""COMPUTED_VALUE"""),"ESTOJO FRAME PRETO")</f>
        <v>ESTOJO FRAME PRETO</v>
      </c>
      <c r="D4423" s="186" t="str">
        <f>IFERROR(__xludf.DUMMYFUNCTION("""COMPUTED_VALUE"""),"FALSO")</f>
        <v>FALSO</v>
      </c>
    </row>
    <row r="4424">
      <c r="B4424" s="186" t="str">
        <f>IFERROR(__xludf.DUMMYFUNCTION("""COMPUTED_VALUE"""),"PI7607Y")</f>
        <v>PI7607Y</v>
      </c>
      <c r="C4424" s="186" t="str">
        <f>IFERROR(__xludf.DUMMYFUNCTION("""COMPUTED_VALUE"""),"ESTOJO FRAME COLORIDO")</f>
        <v>ESTOJO FRAME COLORIDO</v>
      </c>
      <c r="D4424" s="186" t="str">
        <f>IFERROR(__xludf.DUMMYFUNCTION("""COMPUTED_VALUE"""),"FALSO")</f>
        <v>FALSO</v>
      </c>
    </row>
    <row r="4425">
      <c r="B4425" s="186" t="str">
        <f>IFERROR(__xludf.DUMMYFUNCTION("""COMPUTED_VALUE"""),"PI6447Y")</f>
        <v>PI6447Y</v>
      </c>
      <c r="C4425" s="186" t="str">
        <f>IFERROR(__xludf.DUMMYFUNCTION("""COMPUTED_VALUE"""),"ESTOJO GLITTER COM ADESIVOS")</f>
        <v>ESTOJO GLITTER COM ADESIVOS</v>
      </c>
      <c r="D4425" s="186" t="str">
        <f>IFERROR(__xludf.DUMMYFUNCTION("""COMPUTED_VALUE"""),"FALSO")</f>
        <v>FALSO</v>
      </c>
    </row>
    <row r="4426">
      <c r="B4426" s="186" t="str">
        <f>IFERROR(__xludf.DUMMYFUNCTION("""COMPUTED_VALUE"""),"PI7526Y")</f>
        <v>PI7526Y</v>
      </c>
      <c r="C4426" s="186" t="str">
        <f>IFERROR(__xludf.DUMMYFUNCTION("""COMPUTED_VALUE"""),"ESTOJO HP CARTA HOGWARTS")</f>
        <v>ESTOJO HP CARTA HOGWARTS</v>
      </c>
      <c r="D4426" s="186" t="str">
        <f>IFERROR(__xludf.DUMMYFUNCTION("""COMPUTED_VALUE"""),"FALSO")</f>
        <v>FALSO</v>
      </c>
    </row>
    <row r="4427">
      <c r="B4427" s="186" t="str">
        <f>IFERROR(__xludf.DUMMYFUNCTION("""COMPUTED_VALUE"""),"PI6445Y")</f>
        <v>PI6445Y</v>
      </c>
      <c r="C4427" s="186" t="str">
        <f>IFERROR(__xludf.DUMMYFUNCTION("""COMPUTED_VALUE"""),"ESTOJO HP MAPA DO MAROTO")</f>
        <v>ESTOJO HP MAPA DO MAROTO</v>
      </c>
      <c r="D4427" s="186" t="str">
        <f>IFERROR(__xludf.DUMMYFUNCTION("""COMPUTED_VALUE"""),"FALSO")</f>
        <v>FALSO</v>
      </c>
    </row>
    <row r="4428">
      <c r="B4428" s="186" t="str">
        <f>IFERROR(__xludf.DUMMYFUNCTION("""COMPUTED_VALUE"""),"PI4513Y")</f>
        <v>PI4513Y</v>
      </c>
      <c r="C4428" s="186" t="str">
        <f>IFERROR(__xludf.DUMMYFUNCTION("""COMPUTED_VALUE"""),"ESTOJO DIVISORIAS HP MALA HOGWARTS")</f>
        <v>ESTOJO DIVISORIAS HP MALA HOGWARTS</v>
      </c>
      <c r="D4428" s="186" t="str">
        <f>IFERROR(__xludf.DUMMYFUNCTION("""COMPUTED_VALUE"""),"FALSO")</f>
        <v>FALSO</v>
      </c>
    </row>
    <row r="4429">
      <c r="B4429" s="186" t="str">
        <f>IFERROR(__xludf.DUMMYFUNCTION("""COMPUTED_VALUE"""),"PI4513Y")</f>
        <v>PI4513Y</v>
      </c>
      <c r="C4429" s="186" t="str">
        <f>IFERROR(__xludf.DUMMYFUNCTION("""COMPUTED_VALUE"""),"ESTOJO DIVISORIAS HP MALA HOGWARTS")</f>
        <v>ESTOJO DIVISORIAS HP MALA HOGWARTS</v>
      </c>
      <c r="D4429" s="186" t="str">
        <f>IFERROR(__xludf.DUMMYFUNCTION("""COMPUTED_VALUE"""),"FALSO")</f>
        <v>FALSO</v>
      </c>
    </row>
    <row r="4430">
      <c r="B4430" s="186" t="str">
        <f>IFERROR(__xludf.DUMMYFUNCTION("""COMPUTED_VALUE"""),"PI6961Y")</f>
        <v>PI6961Y</v>
      </c>
      <c r="C4430" s="186" t="str">
        <f>IFERROR(__xludf.DUMMYFUNCTION("""COMPUTED_VALUE"""),"ESTOJO BOLSOS HP MAPA DO MAROTO")</f>
        <v>ESTOJO BOLSOS HP MAPA DO MAROTO</v>
      </c>
      <c r="D4430" s="186" t="str">
        <f>IFERROR(__xludf.DUMMYFUNCTION("""COMPUTED_VALUE"""),"FALSO")</f>
        <v>FALSO</v>
      </c>
    </row>
    <row r="4431">
      <c r="B4431" s="186" t="str">
        <f>IFERROR(__xludf.DUMMYFUNCTION("""COMPUTED_VALUE"""),"PI5151Y")</f>
        <v>PI5151Y</v>
      </c>
      <c r="C4431" s="186" t="str">
        <f>IFERROR(__xludf.DUMMYFUNCTION("""COMPUTED_VALUE"""),"ESTOJO DIVISORIAS LED STRANGER THINGS")</f>
        <v>ESTOJO DIVISORIAS LED STRANGER THINGS</v>
      </c>
      <c r="D4431" s="186" t="str">
        <f>IFERROR(__xludf.DUMMYFUNCTION("""COMPUTED_VALUE"""),"FALSO")</f>
        <v>FALSO</v>
      </c>
    </row>
    <row r="4432">
      <c r="B4432" s="186" t="str">
        <f>IFERROR(__xludf.DUMMYFUNCTION("""COMPUTED_VALUE"""),"PI6444Y")</f>
        <v>PI6444Y</v>
      </c>
      <c r="C4432" s="186" t="str">
        <f>IFERROR(__xludf.DUMMYFUNCTION("""COMPUTED_VALUE"""),"ESTOJO GALAXIA MARINHO")</f>
        <v>ESTOJO GALAXIA MARINHO</v>
      </c>
      <c r="D4432" s="186" t="str">
        <f>IFERROR(__xludf.DUMMYFUNCTION("""COMPUTED_VALUE"""),"FALSO")</f>
        <v>FALSO</v>
      </c>
    </row>
    <row r="4433">
      <c r="B4433" s="186" t="str">
        <f>IFERROR(__xludf.DUMMYFUNCTION("""COMPUTED_VALUE"""),"PI7412Y")</f>
        <v>PI7412Y</v>
      </c>
      <c r="C4433" s="186" t="str">
        <f>IFERROR(__xludf.DUMMYFUNCTION("""COMPUTED_VALUE"""),"ESTOJO BOLSOS ROSA E VERMELHA")</f>
        <v>ESTOJO BOLSOS ROSA E VERMELHA</v>
      </c>
      <c r="D4433" s="186" t="str">
        <f>IFERROR(__xludf.DUMMYFUNCTION("""COMPUTED_VALUE"""),"FALSO")</f>
        <v>FALSO</v>
      </c>
    </row>
    <row r="4434">
      <c r="B4434" s="186" t="str">
        <f>IFERROR(__xludf.DUMMYFUNCTION("""COMPUTED_VALUE"""),"PI6953Y")</f>
        <v>PI6953Y</v>
      </c>
      <c r="C4434" s="186" t="str">
        <f>IFERROR(__xludf.DUMMYFUNCTION("""COMPUTED_VALUE"""),"ESTOJO POSITIVIDADE LUDICA")</f>
        <v>ESTOJO POSITIVIDADE LUDICA</v>
      </c>
      <c r="D4434" s="186" t="str">
        <f>IFERROR(__xludf.DUMMYFUNCTION("""COMPUTED_VALUE"""),"FALSO")</f>
        <v>FALSO</v>
      </c>
    </row>
    <row r="4435">
      <c r="B4435" s="186" t="str">
        <f>IFERROR(__xludf.DUMMYFUNCTION("""COMPUTED_VALUE"""),"PI5021Y")</f>
        <v>PI5021Y</v>
      </c>
      <c r="C4435" s="186" t="str">
        <f>IFERROR(__xludf.DUMMYFUNCTION("""COMPUTED_VALUE"""),"ESTOJO ARCO IRIS SOL VAI")</f>
        <v>ESTOJO ARCO IRIS SOL VAI</v>
      </c>
      <c r="D4435" s="186" t="str">
        <f>IFERROR(__xludf.DUMMYFUNCTION("""COMPUTED_VALUE"""),"FALSO")</f>
        <v>FALSO</v>
      </c>
    </row>
    <row r="4436">
      <c r="B4436" s="186" t="str">
        <f>IFERROR(__xludf.DUMMYFUNCTION("""COMPUTED_VALUE"""),"PI5035Y")</f>
        <v>PI5035Y</v>
      </c>
      <c r="C4436" s="186" t="str">
        <f>IFERROR(__xludf.DUMMYFUNCTION("""COMPUTED_VALUE"""),"KIT ESTOJOS CUSTOM INSERT QUADRICULADO")</f>
        <v>KIT ESTOJOS CUSTOM INSERT QUADRICULADO</v>
      </c>
      <c r="D4436" s="186" t="str">
        <f>IFERROR(__xludf.DUMMYFUNCTION("""COMPUTED_VALUE"""),"FALSO")</f>
        <v>FALSO</v>
      </c>
    </row>
    <row r="4437">
      <c r="B4437" s="186" t="str">
        <f>IFERROR(__xludf.DUMMYFUNCTION("""COMPUTED_VALUE"""),"PI5626Y")</f>
        <v>PI5626Y</v>
      </c>
      <c r="C4437" s="186" t="str">
        <f>IFERROR(__xludf.DUMMYFUNCTION("""COMPUTED_VALUE"""),"ESTOJO TRIPLO GLITTER E HOLOGRAFICO")</f>
        <v>ESTOJO TRIPLO GLITTER E HOLOGRAFICO</v>
      </c>
      <c r="D4437" s="186" t="str">
        <f>IFERROR(__xludf.DUMMYFUNCTION("""COMPUTED_VALUE"""),"FALSO")</f>
        <v>FALSO</v>
      </c>
    </row>
    <row r="4438">
      <c r="B4438" s="186" t="str">
        <f>IFERROR(__xludf.DUMMYFUNCTION("""COMPUTED_VALUE"""),"PI4890Y")</f>
        <v>PI4890Y</v>
      </c>
      <c r="C4438" s="186" t="str">
        <f>IFERROR(__xludf.DUMMYFUNCTION("""COMPUTED_VALUE"""),"ESTOJO TROCA INSERTS HP PROFETA DIARIO")</f>
        <v>ESTOJO TROCA INSERTS HP PROFETA DIARIO</v>
      </c>
      <c r="D4438" s="186" t="str">
        <f>IFERROR(__xludf.DUMMYFUNCTION("""COMPUTED_VALUE"""),"FALSO")</f>
        <v>FALSO</v>
      </c>
    </row>
    <row r="4439">
      <c r="B4439" s="186" t="str">
        <f>IFERROR(__xludf.DUMMYFUNCTION("""COMPUTED_VALUE"""),"PI5617Y")</f>
        <v>PI5617Y</v>
      </c>
      <c r="C4439" s="186" t="str">
        <f>IFERROR(__xludf.DUMMYFUNCTION("""COMPUTED_VALUE"""),"ESTOJO TROCA INSERTS Y2K ROSA")</f>
        <v>ESTOJO TROCA INSERTS Y2K ROSA</v>
      </c>
      <c r="D4439" s="186" t="str">
        <f>IFERROR(__xludf.DUMMYFUNCTION("""COMPUTED_VALUE"""),"FALSO")</f>
        <v>FALSO</v>
      </c>
    </row>
    <row r="4440">
      <c r="B4440" s="186" t="str">
        <f>IFERROR(__xludf.DUMMYFUNCTION("""COMPUTED_VALUE"""),"PI5617Y")</f>
        <v>PI5617Y</v>
      </c>
      <c r="C4440" s="186" t="str">
        <f>IFERROR(__xludf.DUMMYFUNCTION("""COMPUTED_VALUE"""),"ESTOJO TROCA INSERTS Y2K ROSA")</f>
        <v>ESTOJO TROCA INSERTS Y2K ROSA</v>
      </c>
      <c r="D4440" s="186" t="str">
        <f>IFERROR(__xludf.DUMMYFUNCTION("""COMPUTED_VALUE"""),"FALSO")</f>
        <v>FALSO</v>
      </c>
    </row>
    <row r="4441">
      <c r="B4441" s="186" t="str">
        <f>IFERROR(__xludf.DUMMYFUNCTION("""COMPUTED_VALUE"""),"PI6724Y")</f>
        <v>PI6724Y</v>
      </c>
      <c r="C4441" s="186" t="str">
        <f>IFERROR(__xludf.DUMMYFUNCTION("""COMPUTED_VALUE"""),"CORDINHA AZUL ROYAL MANDM")</f>
        <v>CORDINHA AZUL ROYAL MANDM</v>
      </c>
      <c r="D4441" s="186" t="str">
        <f>IFERROR(__xludf.DUMMYFUNCTION("""COMPUTED_VALUE"""),"FALSO")</f>
        <v>FALSO</v>
      </c>
    </row>
    <row r="4442">
      <c r="B4442" s="186" t="str">
        <f>IFERROR(__xludf.DUMMYFUNCTION("""COMPUTED_VALUE"""),"PI6735Y")</f>
        <v>PI6735Y</v>
      </c>
      <c r="C4442" s="186" t="str">
        <f>IFERROR(__xludf.DUMMYFUNCTION("""COMPUTED_VALUE"""),"CORDINHA VERDE ESCURO E PRETO MANDM")</f>
        <v>CORDINHA VERDE ESCURO E PRETO MANDM</v>
      </c>
      <c r="D4442" s="186" t="str">
        <f>IFERROR(__xludf.DUMMYFUNCTION("""COMPUTED_VALUE"""),"FALSO")</f>
        <v>FALSO</v>
      </c>
    </row>
    <row r="4443">
      <c r="B4443" s="186" t="str">
        <f>IFERROR(__xludf.DUMMYFUNCTION("""COMPUTED_VALUE"""),"PI6736Y")</f>
        <v>PI6736Y</v>
      </c>
      <c r="C4443" s="186" t="str">
        <f>IFERROR(__xludf.DUMMYFUNCTION("""COMPUTED_VALUE"""),"CORDINHA ROSA CLARO E AZUL MANDM")</f>
        <v>CORDINHA ROSA CLARO E AZUL MANDM</v>
      </c>
      <c r="D4443" s="186" t="str">
        <f>IFERROR(__xludf.DUMMYFUNCTION("""COMPUTED_VALUE"""),"FALSO")</f>
        <v>FALSO</v>
      </c>
    </row>
    <row r="4444">
      <c r="B4444" s="186" t="str">
        <f>IFERROR(__xludf.DUMMYFUNCTION("""COMPUTED_VALUE"""),"PI6737Y")</f>
        <v>PI6737Y</v>
      </c>
      <c r="C4444" s="186" t="str">
        <f>IFERROR(__xludf.DUMMYFUNCTION("""COMPUTED_VALUE"""),"CORDINHA LARANJA NEON ONDAS MANDM")</f>
        <v>CORDINHA LARANJA NEON ONDAS MANDM</v>
      </c>
      <c r="D4444" s="186" t="str">
        <f>IFERROR(__xludf.DUMMYFUNCTION("""COMPUTED_VALUE"""),"FALSO")</f>
        <v>FALSO</v>
      </c>
    </row>
    <row r="4445">
      <c r="B4445" s="186" t="str">
        <f>IFERROR(__xludf.DUMMYFUNCTION("""COMPUTED_VALUE"""),"PI6738Y")</f>
        <v>PI6738Y</v>
      </c>
      <c r="C4445" s="186" t="str">
        <f>IFERROR(__xludf.DUMMYFUNCTION("""COMPUTED_VALUE"""),"CORDINHA ROSA ONDAS ROXO MANDM")</f>
        <v>CORDINHA ROSA ONDAS ROXO MANDM</v>
      </c>
      <c r="D4445" s="186" t="str">
        <f>IFERROR(__xludf.DUMMYFUNCTION("""COMPUTED_VALUE"""),"FALSO")</f>
        <v>FALSO</v>
      </c>
    </row>
    <row r="4446">
      <c r="B4446" s="186" t="str">
        <f>IFERROR(__xludf.DUMMYFUNCTION("""COMPUTED_VALUE"""),"PI6738Y")</f>
        <v>PI6738Y</v>
      </c>
      <c r="C4446" s="186" t="str">
        <f>IFERROR(__xludf.DUMMYFUNCTION("""COMPUTED_VALUE"""),"CORDINHA ROSA ONDAS ROXO MANDM")</f>
        <v>CORDINHA ROSA ONDAS ROXO MANDM</v>
      </c>
      <c r="D4446" s="186" t="str">
        <f>IFERROR(__xludf.DUMMYFUNCTION("""COMPUTED_VALUE"""),"FALSO")</f>
        <v>FALSO</v>
      </c>
    </row>
    <row r="4447">
      <c r="B4447" s="186" t="str">
        <f>IFERROR(__xludf.DUMMYFUNCTION("""COMPUTED_VALUE"""),"PI6739Y")</f>
        <v>PI6739Y</v>
      </c>
      <c r="C4447" s="186" t="str">
        <f>IFERROR(__xludf.DUMMYFUNCTION("""COMPUTED_VALUE"""),"CORDINHA MESCLA COLORIDO NEON MANDM")</f>
        <v>CORDINHA MESCLA COLORIDO NEON MANDM</v>
      </c>
      <c r="D4447" s="186" t="str">
        <f>IFERROR(__xludf.DUMMYFUNCTION("""COMPUTED_VALUE"""),"FALSO")</f>
        <v>FALSO</v>
      </c>
    </row>
    <row r="4448">
      <c r="B4448" s="186" t="str">
        <f>IFERROR(__xludf.DUMMYFUNCTION("""COMPUTED_VALUE"""),"PI6740Y")</f>
        <v>PI6740Y</v>
      </c>
      <c r="C4448" s="186" t="str">
        <f>IFERROR(__xludf.DUMMYFUNCTION("""COMPUTED_VALUE"""),"CORDINHA MESCLA VERDE ESCURO MANDM")</f>
        <v>CORDINHA MESCLA VERDE ESCURO MANDM</v>
      </c>
      <c r="D4448" s="186" t="str">
        <f>IFERROR(__xludf.DUMMYFUNCTION("""COMPUTED_VALUE"""),"FALSO")</f>
        <v>FALSO</v>
      </c>
    </row>
    <row r="4449">
      <c r="B4449" s="186" t="str">
        <f>IFERROR(__xludf.DUMMYFUNCTION("""COMPUTED_VALUE"""),"PI6741Y")</f>
        <v>PI6741Y</v>
      </c>
      <c r="C4449" s="186" t="str">
        <f>IFERROR(__xludf.DUMMYFUNCTION("""COMPUTED_VALUE"""),"CORDINHA QUADRICULADO VERDE NEON MANDM")</f>
        <v>CORDINHA QUADRICULADO VERDE NEON MANDM</v>
      </c>
      <c r="D4449" s="186" t="str">
        <f>IFERROR(__xludf.DUMMYFUNCTION("""COMPUTED_VALUE"""),"FALSO")</f>
        <v>FALSO</v>
      </c>
    </row>
    <row r="4450">
      <c r="B4450" s="186" t="str">
        <f>IFERROR(__xludf.DUMMYFUNCTION("""COMPUTED_VALUE"""),"PI6742Y")</f>
        <v>PI6742Y</v>
      </c>
      <c r="C4450" s="186" t="str">
        <f>IFERROR(__xludf.DUMMYFUNCTION("""COMPUTED_VALUE"""),"CORDINHA PRETA QUADRICULADO BRANCO MANDM")</f>
        <v>CORDINHA PRETA QUADRICULADO BRANCO MANDM</v>
      </c>
      <c r="D4450" s="186" t="str">
        <f>IFERROR(__xludf.DUMMYFUNCTION("""COMPUTED_VALUE"""),"FALSO")</f>
        <v>FALSO</v>
      </c>
    </row>
    <row r="4451">
      <c r="B4451" s="186" t="str">
        <f>IFERROR(__xludf.DUMMYFUNCTION("""COMPUTED_VALUE"""),"PI6743Y")</f>
        <v>PI6743Y</v>
      </c>
      <c r="C4451" s="186" t="str">
        <f>IFERROR(__xludf.DUMMYFUNCTION("""COMPUTED_VALUE"""),"CORDINHA CHEVRON VERDE E LARANJA MANDM")</f>
        <v>CORDINHA CHEVRON VERDE E LARANJA MANDM</v>
      </c>
      <c r="D4451" s="186" t="str">
        <f>IFERROR(__xludf.DUMMYFUNCTION("""COMPUTED_VALUE"""),"FALSO")</f>
        <v>FALSO</v>
      </c>
    </row>
    <row r="4452">
      <c r="B4452" s="186" t="str">
        <f>IFERROR(__xludf.DUMMYFUNCTION("""COMPUTED_VALUE"""),"PI6715Y")</f>
        <v>PI6715Y</v>
      </c>
      <c r="C4452" s="186" t="str">
        <f>IFERROR(__xludf.DUMMYFUNCTION("""COMPUTED_VALUE"""),"CORDINHA PRETA MANDM")</f>
        <v>CORDINHA PRETA MANDM</v>
      </c>
      <c r="D4452" s="186" t="str">
        <f>IFERROR(__xludf.DUMMYFUNCTION("""COMPUTED_VALUE"""),"FALSO")</f>
        <v>FALSO</v>
      </c>
    </row>
    <row r="4453">
      <c r="B4453" s="186" t="str">
        <f>IFERROR(__xludf.DUMMYFUNCTION("""COMPUTED_VALUE"""),"PI6715Y")</f>
        <v>PI6715Y</v>
      </c>
      <c r="C4453" s="186" t="str">
        <f>IFERROR(__xludf.DUMMYFUNCTION("""COMPUTED_VALUE"""),"CORDINHA PRETA MANDM")</f>
        <v>CORDINHA PRETA MANDM</v>
      </c>
      <c r="D4453" s="186" t="str">
        <f>IFERROR(__xludf.DUMMYFUNCTION("""COMPUTED_VALUE"""),"FALSO")</f>
        <v>FALSO</v>
      </c>
    </row>
    <row r="4454">
      <c r="B4454" s="186" t="str">
        <f>IFERROR(__xludf.DUMMYFUNCTION("""COMPUTED_VALUE"""),"PI6744Y")</f>
        <v>PI6744Y</v>
      </c>
      <c r="C4454" s="186" t="str">
        <f>IFERROR(__xludf.DUMMYFUNCTION("""COMPUTED_VALUE"""),"CORDINHA MESCLA COLORIDO BORDO MANDM")</f>
        <v>CORDINHA MESCLA COLORIDO BORDO MANDM</v>
      </c>
      <c r="D4454" s="186" t="str">
        <f>IFERROR(__xludf.DUMMYFUNCTION("""COMPUTED_VALUE"""),"FALSO")</f>
        <v>FALSO</v>
      </c>
    </row>
    <row r="4455">
      <c r="B4455" s="186" t="str">
        <f>IFERROR(__xludf.DUMMYFUNCTION("""COMPUTED_VALUE"""),"PI6745Y")</f>
        <v>PI6745Y</v>
      </c>
      <c r="C4455" s="186" t="str">
        <f>IFERROR(__xludf.DUMMYFUNCTION("""COMPUTED_VALUE"""),"CORDINHA LARANJA NEON E CINZA MANDM")</f>
        <v>CORDINHA LARANJA NEON E CINZA MANDM</v>
      </c>
      <c r="D4455" s="186" t="str">
        <f>IFERROR(__xludf.DUMMYFUNCTION("""COMPUTED_VALUE"""),"FALSO")</f>
        <v>FALSO</v>
      </c>
    </row>
    <row r="4456">
      <c r="B4456" s="186" t="str">
        <f>IFERROR(__xludf.DUMMYFUNCTION("""COMPUTED_VALUE"""),"PI6746Y")</f>
        <v>PI6746Y</v>
      </c>
      <c r="C4456" s="186" t="str">
        <f>IFERROR(__xludf.DUMMYFUNCTION("""COMPUTED_VALUE"""),"CORDINHA LISTRADA BRANCO E PRETO MANDM")</f>
        <v>CORDINHA LISTRADA BRANCO E PRETO MANDM</v>
      </c>
      <c r="D4456" s="186" t="str">
        <f>IFERROR(__xludf.DUMMYFUNCTION("""COMPUTED_VALUE"""),"FALSO")</f>
        <v>FALSO</v>
      </c>
    </row>
    <row r="4457">
      <c r="B4457" s="186" t="str">
        <f>IFERROR(__xludf.DUMMYFUNCTION("""COMPUTED_VALUE"""),"PI6747Y")</f>
        <v>PI6747Y</v>
      </c>
      <c r="C4457" s="186" t="str">
        <f>IFERROR(__xludf.DUMMYFUNCTION("""COMPUTED_VALUE"""),"CORDINHA MESCLA COLORIDO VERDE MANDM")</f>
        <v>CORDINHA MESCLA COLORIDO VERDE MANDM</v>
      </c>
      <c r="D4457" s="186" t="str">
        <f>IFERROR(__xludf.DUMMYFUNCTION("""COMPUTED_VALUE"""),"FALSO")</f>
        <v>FALSO</v>
      </c>
    </row>
    <row r="4458">
      <c r="B4458" s="186" t="str">
        <f>IFERROR(__xludf.DUMMYFUNCTION("""COMPUTED_VALUE"""),"PI6748Y")</f>
        <v>PI6748Y</v>
      </c>
      <c r="C4458" s="186" t="str">
        <f>IFERROR(__xludf.DUMMYFUNCTION("""COMPUTED_VALUE"""),"CORDINHA MESCLA ROSA MANDM")</f>
        <v>CORDINHA MESCLA ROSA MANDM</v>
      </c>
      <c r="D4458" s="186" t="str">
        <f>IFERROR(__xludf.DUMMYFUNCTION("""COMPUTED_VALUE"""),"FALSO")</f>
        <v>FALSO</v>
      </c>
    </row>
    <row r="4459">
      <c r="B4459" s="186" t="str">
        <f>IFERROR(__xludf.DUMMYFUNCTION("""COMPUTED_VALUE"""),"PI6749Y")</f>
        <v>PI6749Y</v>
      </c>
      <c r="C4459" s="186" t="str">
        <f>IFERROR(__xludf.DUMMYFUNCTION("""COMPUTED_VALUE"""),"CORDINHA ROXA E AZUL MANDM")</f>
        <v>CORDINHA ROXA E AZUL MANDM</v>
      </c>
      <c r="D4459" s="186" t="str">
        <f>IFERROR(__xludf.DUMMYFUNCTION("""COMPUTED_VALUE"""),"FALSO")</f>
        <v>FALSO</v>
      </c>
    </row>
    <row r="4460">
      <c r="B4460" s="186" t="str">
        <f>IFERROR(__xludf.DUMMYFUNCTION("""COMPUTED_VALUE"""),"PI6716Y")</f>
        <v>PI6716Y</v>
      </c>
      <c r="C4460" s="186" t="str">
        <f>IFERROR(__xludf.DUMMYFUNCTION("""COMPUTED_VALUE"""),"CORDINHA VERDE NEON MANDM")</f>
        <v>CORDINHA VERDE NEON MANDM</v>
      </c>
      <c r="D4460" s="186" t="str">
        <f>IFERROR(__xludf.DUMMYFUNCTION("""COMPUTED_VALUE"""),"FALSO")</f>
        <v>FALSO</v>
      </c>
    </row>
    <row r="4461">
      <c r="B4461" s="186" t="str">
        <f>IFERROR(__xludf.DUMMYFUNCTION("""COMPUTED_VALUE"""),"PI6717Y")</f>
        <v>PI6717Y</v>
      </c>
      <c r="C4461" s="186" t="str">
        <f>IFERROR(__xludf.DUMMYFUNCTION("""COMPUTED_VALUE"""),"CORDINHA AREIA E VERDE NEON MANDM")</f>
        <v>CORDINHA AREIA E VERDE NEON MANDM</v>
      </c>
      <c r="D4461" s="186" t="str">
        <f>IFERROR(__xludf.DUMMYFUNCTION("""COMPUTED_VALUE"""),"FALSO")</f>
        <v>FALSO</v>
      </c>
    </row>
    <row r="4462">
      <c r="B4462" s="186" t="str">
        <f>IFERROR(__xludf.DUMMYFUNCTION("""COMPUTED_VALUE"""),"PI6717Y")</f>
        <v>PI6717Y</v>
      </c>
      <c r="C4462" s="186" t="str">
        <f>IFERROR(__xludf.DUMMYFUNCTION("""COMPUTED_VALUE"""),"CORDINHA AREIA E VERDE NEON MANDM")</f>
        <v>CORDINHA AREIA E VERDE NEON MANDM</v>
      </c>
      <c r="D4462" s="186" t="str">
        <f>IFERROR(__xludf.DUMMYFUNCTION("""COMPUTED_VALUE"""),"FALSO")</f>
        <v>FALSO</v>
      </c>
    </row>
    <row r="4463">
      <c r="B4463" s="186" t="str">
        <f>IFERROR(__xludf.DUMMYFUNCTION("""COMPUTED_VALUE"""),"PI6718Y")</f>
        <v>PI6718Y</v>
      </c>
      <c r="C4463" s="186" t="str">
        <f>IFERROR(__xludf.DUMMYFUNCTION("""COMPUTED_VALUE"""),"CORDINHA BRANCA DIAGONAIS PRETAS MANDM")</f>
        <v>CORDINHA BRANCA DIAGONAIS PRETAS MANDM</v>
      </c>
      <c r="D4463" s="186" t="str">
        <f>IFERROR(__xludf.DUMMYFUNCTION("""COMPUTED_VALUE"""),"FALSO")</f>
        <v>FALSO</v>
      </c>
    </row>
    <row r="4464">
      <c r="B4464" s="186" t="str">
        <f>IFERROR(__xludf.DUMMYFUNCTION("""COMPUTED_VALUE"""),"PI6718Y")</f>
        <v>PI6718Y</v>
      </c>
      <c r="C4464" s="186" t="str">
        <f>IFERROR(__xludf.DUMMYFUNCTION("""COMPUTED_VALUE"""),"CORDINHA BRANCA DIAGONAIS PRETAS MANDM")</f>
        <v>CORDINHA BRANCA DIAGONAIS PRETAS MANDM</v>
      </c>
      <c r="D4464" s="186" t="str">
        <f>IFERROR(__xludf.DUMMYFUNCTION("""COMPUTED_VALUE"""),"FALSO")</f>
        <v>FALSO</v>
      </c>
    </row>
    <row r="4465">
      <c r="B4465" s="186" t="str">
        <f>IFERROR(__xludf.DUMMYFUNCTION("""COMPUTED_VALUE"""),"PI6719Y")</f>
        <v>PI6719Y</v>
      </c>
      <c r="C4465" s="186" t="str">
        <f>IFERROR(__xludf.DUMMYFUNCTION("""COMPUTED_VALUE"""),"CORDINHA BRANCA DIAGONAIS AZUIS MANDM")</f>
        <v>CORDINHA BRANCA DIAGONAIS AZUIS MANDM</v>
      </c>
      <c r="D4465" s="186" t="str">
        <f>IFERROR(__xludf.DUMMYFUNCTION("""COMPUTED_VALUE"""),"FALSO")</f>
        <v>FALSO</v>
      </c>
    </row>
    <row r="4466">
      <c r="B4466" s="186" t="str">
        <f>IFERROR(__xludf.DUMMYFUNCTION("""COMPUTED_VALUE"""),"PI6720Y")</f>
        <v>PI6720Y</v>
      </c>
      <c r="C4466" s="186" t="str">
        <f>IFERROR(__xludf.DUMMYFUNCTION("""COMPUTED_VALUE"""),"CORDINHA VERMELHA MANDM")</f>
        <v>CORDINHA VERMELHA MANDM</v>
      </c>
      <c r="D4466" s="186" t="str">
        <f>IFERROR(__xludf.DUMMYFUNCTION("""COMPUTED_VALUE"""),"FALSO")</f>
        <v>FALSO</v>
      </c>
    </row>
    <row r="4467">
      <c r="B4467" s="186" t="str">
        <f>IFERROR(__xludf.DUMMYFUNCTION("""COMPUTED_VALUE"""),"PI6721Y")</f>
        <v>PI6721Y</v>
      </c>
      <c r="C4467" s="186" t="str">
        <f>IFERROR(__xludf.DUMMYFUNCTION("""COMPUTED_VALUE"""),"CORDINHA VERDE CLARO MANDM")</f>
        <v>CORDINHA VERDE CLARO MANDM</v>
      </c>
      <c r="D4467" s="186" t="str">
        <f>IFERROR(__xludf.DUMMYFUNCTION("""COMPUTED_VALUE"""),"FALSO")</f>
        <v>FALSO</v>
      </c>
    </row>
    <row r="4468">
      <c r="B4468" s="186" t="str">
        <f>IFERROR(__xludf.DUMMYFUNCTION("""COMPUTED_VALUE"""),"PI6722Y")</f>
        <v>PI6722Y</v>
      </c>
      <c r="C4468" s="186" t="str">
        <f>IFERROR(__xludf.DUMMYFUNCTION("""COMPUTED_VALUE"""),"CORDINHA MESCLA MARINHO MANDM")</f>
        <v>CORDINHA MESCLA MARINHO MANDM</v>
      </c>
      <c r="D4468" s="186" t="str">
        <f>IFERROR(__xludf.DUMMYFUNCTION("""COMPUTED_VALUE"""),"FALSO")</f>
        <v>FALSO</v>
      </c>
    </row>
    <row r="4469">
      <c r="B4469" s="186" t="str">
        <f>IFERROR(__xludf.DUMMYFUNCTION("""COMPUTED_VALUE"""),"PI6723Y")</f>
        <v>PI6723Y</v>
      </c>
      <c r="C4469" s="186" t="str">
        <f>IFERROR(__xludf.DUMMYFUNCTION("""COMPUTED_VALUE"""),"CORDINHA ROXA E NEON MANDM")</f>
        <v>CORDINHA ROXA E NEON MANDM</v>
      </c>
      <c r="D4469" s="186" t="str">
        <f>IFERROR(__xludf.DUMMYFUNCTION("""COMPUTED_VALUE"""),"FALSO")</f>
        <v>FALSO</v>
      </c>
    </row>
    <row r="4470">
      <c r="B4470" s="186" t="str">
        <f>IFERROR(__xludf.DUMMYFUNCTION("""COMPUTED_VALUE"""),"PI6751Y")</f>
        <v>PI6751Y</v>
      </c>
      <c r="C4470" s="186" t="str">
        <f>IFERROR(__xludf.DUMMYFUNCTION("""COMPUTED_VALUE"""),"BOLSA P ROSA MANDM")</f>
        <v>BOLSA P ROSA MANDM</v>
      </c>
      <c r="D4470" s="186" t="str">
        <f>IFERROR(__xludf.DUMMYFUNCTION("""COMPUTED_VALUE"""),"FALSO")</f>
        <v>FALSO</v>
      </c>
    </row>
    <row r="4471">
      <c r="B4471" s="186" t="str">
        <f>IFERROR(__xludf.DUMMYFUNCTION("""COMPUTED_VALUE"""),"PI7248Y")</f>
        <v>PI7248Y</v>
      </c>
      <c r="C4471" s="186" t="str">
        <f>IFERROR(__xludf.DUMMYFUNCTION("""COMPUTED_VALUE"""),"BOLSA PELUCIA CATITA")</f>
        <v>BOLSA PELUCIA CATITA</v>
      </c>
      <c r="D4471" s="186" t="str">
        <f>IFERROR(__xludf.DUMMYFUNCTION("""COMPUTED_VALUE"""),"FALSO")</f>
        <v>FALSO</v>
      </c>
    </row>
    <row r="4472">
      <c r="B4472" s="186" t="str">
        <f>IFERROR(__xludf.DUMMYFUNCTION("""COMPUTED_VALUE"""),"PI7247Y")</f>
        <v>PI7247Y</v>
      </c>
      <c r="C4472" s="186" t="str">
        <f>IFERROR(__xludf.DUMMYFUNCTION("""COMPUTED_VALUE"""),"BOLSA PELUCIA UNICORNIO")</f>
        <v>BOLSA PELUCIA UNICORNIO</v>
      </c>
      <c r="D4472" s="186" t="str">
        <f>IFERROR(__xludf.DUMMYFUNCTION("""COMPUTED_VALUE"""),"FALSO")</f>
        <v>FALSO</v>
      </c>
    </row>
    <row r="4473">
      <c r="B4473" s="186" t="str">
        <f>IFERROR(__xludf.DUMMYFUNCTION("""COMPUTED_VALUE"""),"PI7070Y")</f>
        <v>PI7070Y</v>
      </c>
      <c r="C4473" s="186" t="str">
        <f>IFERROR(__xludf.DUMMYFUNCTION("""COMPUTED_VALUE"""),"KIT ORGANIZADOR DE MALA BEIJA FLOR")</f>
        <v>KIT ORGANIZADOR DE MALA BEIJA FLOR</v>
      </c>
      <c r="D4473" s="186" t="str">
        <f>IFERROR(__xludf.DUMMYFUNCTION("""COMPUTED_VALUE"""),"FALSO")</f>
        <v>FALSO</v>
      </c>
    </row>
    <row r="4474">
      <c r="B4474" s="186" t="str">
        <f>IFERROR(__xludf.DUMMYFUNCTION("""COMPUTED_VALUE"""),"PI6712Y")</f>
        <v>PI6712Y</v>
      </c>
      <c r="C4474" s="186" t="str">
        <f>IFERROR(__xludf.DUMMYFUNCTION("""COMPUTED_VALUE"""),"BOLSA TERMICA VINHO MATELASSE")</f>
        <v>BOLSA TERMICA VINHO MATELASSE</v>
      </c>
      <c r="D4474" s="186" t="str">
        <f>IFERROR(__xludf.DUMMYFUNCTION("""COMPUTED_VALUE"""),"FALSO")</f>
        <v>FALSO</v>
      </c>
    </row>
    <row r="4475">
      <c r="B4475" s="186" t="str">
        <f>IFERROR(__xludf.DUMMYFUNCTION("""COMPUTED_VALUE"""),"PI6642Y")</f>
        <v>PI6642Y</v>
      </c>
      <c r="C4475" s="186" t="str">
        <f>IFERROR(__xludf.DUMMYFUNCTION("""COMPUTED_VALUE"""),"SHOULDER BAG MESH PRETO")</f>
        <v>SHOULDER BAG MESH PRETO</v>
      </c>
      <c r="D4475" s="186" t="str">
        <f>IFERROR(__xludf.DUMMYFUNCTION("""COMPUTED_VALUE"""),"FALSO")</f>
        <v>FALSO</v>
      </c>
    </row>
    <row r="4476">
      <c r="B4476" s="186" t="str">
        <f>IFERROR(__xludf.DUMMYFUNCTION("""COMPUTED_VALUE"""),"PI7408Y")</f>
        <v>PI7408Y</v>
      </c>
      <c r="C4476" s="186" t="str">
        <f>IFERROR(__xludf.DUMMYFUNCTION("""COMPUTED_VALUE"""),"BOLSINHA CROSSBODY ROSA E VERMELHA")</f>
        <v>BOLSINHA CROSSBODY ROSA E VERMELHA</v>
      </c>
      <c r="D4476" s="186" t="str">
        <f>IFERROR(__xludf.DUMMYFUNCTION("""COMPUTED_VALUE"""),"FALSO")</f>
        <v>FALSO</v>
      </c>
    </row>
    <row r="4477">
      <c r="B4477" s="186" t="str">
        <f>IFERROR(__xludf.DUMMYFUNCTION("""COMPUTED_VALUE"""),"PI4098Y")</f>
        <v>PI4098Y</v>
      </c>
      <c r="C4477" s="186" t="str">
        <f>IFERROR(__xludf.DUMMYFUNCTION("""COMPUTED_VALUE"""),"BAG PORTA FIOS E DOCUMENTO BISCOITO")</f>
        <v>BAG PORTA FIOS E DOCUMENTO BISCOITO</v>
      </c>
      <c r="D4477" s="186" t="str">
        <f>IFERROR(__xludf.DUMMYFUNCTION("""COMPUTED_VALUE"""),"FALSO")</f>
        <v>FALSO</v>
      </c>
    </row>
    <row r="4478">
      <c r="B4478" s="186" t="str">
        <f>IFERROR(__xludf.DUMMYFUNCTION("""COMPUTED_VALUE"""),"PI4096Y")</f>
        <v>PI4096Y</v>
      </c>
      <c r="C4478" s="186" t="str">
        <f>IFERROR(__xludf.DUMMYFUNCTION("""COMPUTED_VALUE"""),"BAG PORTA FIOS E DOCUMENTO BRILHO")</f>
        <v>BAG PORTA FIOS E DOCUMENTO BRILHO</v>
      </c>
      <c r="D4478" s="186" t="str">
        <f>IFERROR(__xludf.DUMMYFUNCTION("""COMPUTED_VALUE"""),"FALSO")</f>
        <v>FALSO</v>
      </c>
    </row>
    <row r="4479">
      <c r="B4479" s="186" t="str">
        <f>IFERROR(__xludf.DUMMYFUNCTION("""COMPUTED_VALUE"""),"PI5670Y")</f>
        <v>PI5670Y</v>
      </c>
      <c r="C4479" s="186" t="str">
        <f>IFERROR(__xludf.DUMMYFUNCTION("""COMPUTED_VALUE"""),"CARTEIRA SLIM PRETA COM ROSA")</f>
        <v>CARTEIRA SLIM PRETA COM ROSA</v>
      </c>
      <c r="D4479" s="186" t="str">
        <f>IFERROR(__xludf.DUMMYFUNCTION("""COMPUTED_VALUE"""),"FALSO")</f>
        <v>FALSO</v>
      </c>
    </row>
    <row r="4480">
      <c r="B4480" s="186" t="str">
        <f>IFERROR(__xludf.DUMMYFUNCTION("""COMPUTED_VALUE"""),"PI4375Y")</f>
        <v>PI4375Y</v>
      </c>
      <c r="C4480" s="186" t="str">
        <f>IFERROR(__xludf.DUMMYFUNCTION("""COMPUTED_VALUE"""),"MALA DE BORDO HP HOGWARTS")</f>
        <v>MALA DE BORDO HP HOGWARTS</v>
      </c>
      <c r="D4480" s="186" t="str">
        <f>IFERROR(__xludf.DUMMYFUNCTION("""COMPUTED_VALUE"""),"FALSO")</f>
        <v>FALSO</v>
      </c>
    </row>
    <row r="4481">
      <c r="B4481" s="186" t="str">
        <f>IFERROR(__xludf.DUMMYFUNCTION("""COMPUTED_VALUE"""),"PI6431Y")</f>
        <v>PI6431Y</v>
      </c>
      <c r="C4481" s="186" t="str">
        <f>IFERROR(__xludf.DUMMYFUNCTION("""COMPUTED_VALUE"""),"MOCHILA TERMICA PRETA")</f>
        <v>MOCHILA TERMICA PRETA</v>
      </c>
      <c r="D4481" s="186" t="str">
        <f>IFERROR(__xludf.DUMMYFUNCTION("""COMPUTED_VALUE"""),"FALSO")</f>
        <v>FALSO</v>
      </c>
    </row>
    <row r="4482">
      <c r="B4482" s="186" t="str">
        <f>IFERROR(__xludf.DUMMYFUNCTION("""COMPUTED_VALUE"""),"PI6429Y")</f>
        <v>PI6429Y</v>
      </c>
      <c r="C4482" s="186" t="str">
        <f>IFERROR(__xludf.DUMMYFUNCTION("""COMPUTED_VALUE"""),"BOLSA TERMICA BASICA PRETA")</f>
        <v>BOLSA TERMICA BASICA PRETA</v>
      </c>
      <c r="D4482" s="186" t="str">
        <f>IFERROR(__xludf.DUMMYFUNCTION("""COMPUTED_VALUE"""),"FALSO")</f>
        <v>FALSO</v>
      </c>
    </row>
    <row r="4483">
      <c r="B4483" s="186" t="str">
        <f>IFERROR(__xludf.DUMMYFUNCTION("""COMPUTED_VALUE"""),"PI6429Y")</f>
        <v>PI6429Y</v>
      </c>
      <c r="C4483" s="186" t="str">
        <f>IFERROR(__xludf.DUMMYFUNCTION("""COMPUTED_VALUE"""),"BOLSA TERMICA BASICA PRETA")</f>
        <v>BOLSA TERMICA BASICA PRETA</v>
      </c>
      <c r="D4483" s="186" t="str">
        <f>IFERROR(__xludf.DUMMYFUNCTION("""COMPUTED_VALUE"""),"FALSO")</f>
        <v>FALSO</v>
      </c>
    </row>
    <row r="4484">
      <c r="B4484" s="186" t="str">
        <f>IFERROR(__xludf.DUMMYFUNCTION("""COMPUTED_VALUE"""),"PI6429Y")</f>
        <v>PI6429Y</v>
      </c>
      <c r="C4484" s="186" t="str">
        <f>IFERROR(__xludf.DUMMYFUNCTION("""COMPUTED_VALUE"""),"BOLSA TERMICA BASICA PRETA")</f>
        <v>BOLSA TERMICA BASICA PRETA</v>
      </c>
      <c r="D4484" s="186" t="str">
        <f>IFERROR(__xludf.DUMMYFUNCTION("""COMPUTED_VALUE"""),"FALSO")</f>
        <v>FALSO</v>
      </c>
    </row>
    <row r="4485">
      <c r="B4485" s="186" t="str">
        <f>IFERROR(__xludf.DUMMYFUNCTION("""COMPUTED_VALUE"""),"PI7490Y")</f>
        <v>PI7490Y</v>
      </c>
      <c r="C4485" s="186" t="str">
        <f>IFERROR(__xludf.DUMMYFUNCTION("""COMPUTED_VALUE"""),"BOLSA TERMICA BASICA PRETA PUXADORES")</f>
        <v>BOLSA TERMICA BASICA PRETA PUXADORES</v>
      </c>
      <c r="D4485" s="186" t="str">
        <f>IFERROR(__xludf.DUMMYFUNCTION("""COMPUTED_VALUE"""),"FALSO")</f>
        <v>FALSO</v>
      </c>
    </row>
    <row r="4486">
      <c r="B4486" s="186" t="str">
        <f>IFERROR(__xludf.DUMMYFUNCTION("""COMPUTED_VALUE"""),"PI5852Y")</f>
        <v>PI5852Y</v>
      </c>
      <c r="C4486" s="186" t="str">
        <f>IFERROR(__xludf.DUMMYFUNCTION("""COMPUTED_VALUE"""),"BOLSA TERMICA G ESTAMPA SOLAR")</f>
        <v>BOLSA TERMICA G ESTAMPA SOLAR</v>
      </c>
      <c r="D4486" s="186" t="str">
        <f>IFERROR(__xludf.DUMMYFUNCTION("""COMPUTED_VALUE"""),"FALSO")</f>
        <v>FALSO</v>
      </c>
    </row>
    <row r="4487">
      <c r="B4487" s="186" t="str">
        <f>IFERROR(__xludf.DUMMYFUNCTION("""COMPUTED_VALUE"""),"PI5624Y")</f>
        <v>PI5624Y</v>
      </c>
      <c r="C4487" s="186" t="str">
        <f>IFERROR(__xludf.DUMMYFUNCTION("""COMPUTED_VALUE"""),"BOLSA TERMICA PRETA DETALHES HOLOGRAFICO")</f>
        <v>BOLSA TERMICA PRETA DETALHES HOLOGRAFICO</v>
      </c>
      <c r="D4487" s="186" t="str">
        <f>IFERROR(__xludf.DUMMYFUNCTION("""COMPUTED_VALUE"""),"FALSO")</f>
        <v>FALSO</v>
      </c>
    </row>
    <row r="4488">
      <c r="B4488" s="186" t="str">
        <f>IFERROR(__xludf.DUMMYFUNCTION("""COMPUTED_VALUE"""),"PI5590Y")</f>
        <v>PI5590Y</v>
      </c>
      <c r="C4488" s="186" t="str">
        <f>IFERROR(__xludf.DUMMYFUNCTION("""COMPUTED_VALUE"""),"BOLSA TERMICA BORDO DETALHES CARAMELO")</f>
        <v>BOLSA TERMICA BORDO DETALHES CARAMELO</v>
      </c>
      <c r="D4488" s="186" t="str">
        <f>IFERROR(__xludf.DUMMYFUNCTION("""COMPUTED_VALUE"""),"FALSO")</f>
        <v>FALSO</v>
      </c>
    </row>
    <row r="4489">
      <c r="B4489" s="186"/>
      <c r="C4489" s="186"/>
      <c r="D4489" s="186"/>
    </row>
    <row r="4490">
      <c r="B4490" s="186" t="str">
        <f>IFERROR(__xludf.DUMMYFUNCTION("""COMPUTED_VALUE"""),"PI5590Y")</f>
        <v>PI5590Y</v>
      </c>
      <c r="C4490" s="186" t="str">
        <f>IFERROR(__xludf.DUMMYFUNCTION("""COMPUTED_VALUE"""),"BOLSA TERMICA BORDO DETALHES CARAMELO")</f>
        <v>BOLSA TERMICA BORDO DETALHES CARAMELO</v>
      </c>
      <c r="D4490" s="186" t="str">
        <f>IFERROR(__xludf.DUMMYFUNCTION("""COMPUTED_VALUE"""),"FALSO")</f>
        <v>FALSO</v>
      </c>
    </row>
    <row r="4491">
      <c r="B4491" s="186" t="str">
        <f>IFERROR(__xludf.DUMMYFUNCTION("""COMPUTED_VALUE"""),"PI7403Y")</f>
        <v>PI7403Y</v>
      </c>
      <c r="C4491" s="186" t="str">
        <f>IFERROR(__xludf.DUMMYFUNCTION("""COMPUTED_VALUE"""),"BOLSA TERMICA BOX CANVAS LISTRADA")</f>
        <v>BOLSA TERMICA BOX CANVAS LISTRADA</v>
      </c>
      <c r="D4491" s="186" t="str">
        <f>IFERROR(__xludf.DUMMYFUNCTION("""COMPUTED_VALUE"""),"FALSO")</f>
        <v>FALSO</v>
      </c>
    </row>
    <row r="4492">
      <c r="B4492" s="186" t="str">
        <f>IFERROR(__xludf.DUMMYFUNCTION("""COMPUTED_VALUE"""),"PI6941Y")</f>
        <v>PI6941Y</v>
      </c>
      <c r="C4492" s="186" t="str">
        <f>IFERROR(__xludf.DUMMYFUNCTION("""COMPUTED_VALUE"""),"BOLSA TERMICA MIDI GATINHOS")</f>
        <v>BOLSA TERMICA MIDI GATINHOS</v>
      </c>
      <c r="D4492" s="186" t="str">
        <f>IFERROR(__xludf.DUMMYFUNCTION("""COMPUTED_VALUE"""),"FALSO")</f>
        <v>FALSO</v>
      </c>
    </row>
    <row r="4493">
      <c r="B4493" s="186" t="str">
        <f>IFERROR(__xludf.DUMMYFUNCTION("""COMPUTED_VALUE"""),"PI5635Y")</f>
        <v>PI5635Y</v>
      </c>
      <c r="C4493" s="186" t="str">
        <f>IFERROR(__xludf.DUMMYFUNCTION("""COMPUTED_VALUE"""),"BOLSA TERMICA COLOR BLOCK DEIXA FLUIR")</f>
        <v>BOLSA TERMICA COLOR BLOCK DEIXA FLUIR</v>
      </c>
      <c r="D4493" s="186" t="str">
        <f>IFERROR(__xludf.DUMMYFUNCTION("""COMPUTED_VALUE"""),"FALSO")</f>
        <v>FALSO</v>
      </c>
    </row>
    <row r="4494">
      <c r="B4494" s="186" t="str">
        <f>IFERROR(__xludf.DUMMYFUNCTION("""COMPUTED_VALUE"""),"PI7614Y")</f>
        <v>PI7614Y</v>
      </c>
      <c r="C4494" s="186" t="str">
        <f>IFERROR(__xludf.DUMMYFUNCTION("""COMPUTED_VALUE"""),"BOLSA TERMICA COTELE PRETO")</f>
        <v>BOLSA TERMICA COTELE PRETO</v>
      </c>
      <c r="D4494" s="186" t="str">
        <f>IFERROR(__xludf.DUMMYFUNCTION("""COMPUTED_VALUE"""),"FALSO")</f>
        <v>FALSO</v>
      </c>
    </row>
    <row r="4495">
      <c r="B4495" s="186" t="str">
        <f>IFERROR(__xludf.DUMMYFUNCTION("""COMPUTED_VALUE"""),"PI7725Y")</f>
        <v>PI7725Y</v>
      </c>
      <c r="C4495" s="186" t="str">
        <f>IFERROR(__xludf.DUMMYFUNCTION("""COMPUTED_VALUE"""),"BOLSA TERMICA COTELE OFF WHITE")</f>
        <v>BOLSA TERMICA COTELE OFF WHITE</v>
      </c>
      <c r="D4495" s="186" t="str">
        <f>IFERROR(__xludf.DUMMYFUNCTION("""COMPUTED_VALUE"""),"FALSO")</f>
        <v>FALSO</v>
      </c>
    </row>
    <row r="4496">
      <c r="B4496" s="186" t="str">
        <f>IFERROR(__xludf.DUMMYFUNCTION("""COMPUTED_VALUE"""),"PI6636Y")</f>
        <v>PI6636Y</v>
      </c>
      <c r="C4496" s="186" t="str">
        <f>IFERROR(__xludf.DUMMYFUNCTION("""COMPUTED_VALUE"""),"BOLSA TERMICA POR ONDE FLOR")</f>
        <v>BOLSA TERMICA POR ONDE FLOR</v>
      </c>
      <c r="D4496" s="186" t="str">
        <f>IFERROR(__xludf.DUMMYFUNCTION("""COMPUTED_VALUE"""),"FALSO")</f>
        <v>FALSO</v>
      </c>
    </row>
    <row r="4497">
      <c r="B4497" s="186" t="str">
        <f>IFERROR(__xludf.DUMMYFUNCTION("""COMPUTED_VALUE"""),"PI5586Y")</f>
        <v>PI5586Y</v>
      </c>
      <c r="C4497" s="186" t="str">
        <f>IFERROR(__xludf.DUMMYFUNCTION("""COMPUTED_VALUE"""),"BOLSA TERMICA FRAME DETALHES CARAMELO")</f>
        <v>BOLSA TERMICA FRAME DETALHES CARAMELO</v>
      </c>
      <c r="D4497" s="186" t="str">
        <f>IFERROR(__xludf.DUMMYFUNCTION("""COMPUTED_VALUE"""),"FALSO")</f>
        <v>FALSO</v>
      </c>
    </row>
    <row r="4498">
      <c r="B4498" s="186" t="str">
        <f>IFERROR(__xludf.DUMMYFUNCTION("""COMPUTED_VALUE"""),"PI6001Y")</f>
        <v>PI6001Y</v>
      </c>
      <c r="C4498" s="186" t="str">
        <f>IFERROR(__xludf.DUMMYFUNCTION("""COMPUTED_VALUE"""),"BOLSA TERMICA FRAME PRETA")</f>
        <v>BOLSA TERMICA FRAME PRETA</v>
      </c>
      <c r="D4498" s="186" t="str">
        <f>IFERROR(__xludf.DUMMYFUNCTION("""COMPUTED_VALUE"""),"FALSO")</f>
        <v>FALSO</v>
      </c>
    </row>
    <row r="4499">
      <c r="B4499" s="186" t="str">
        <f>IFERROR(__xludf.DUMMYFUNCTION("""COMPUTED_VALUE"""),"PI6001Y")</f>
        <v>PI6001Y</v>
      </c>
      <c r="C4499" s="186" t="str">
        <f>IFERROR(__xludf.DUMMYFUNCTION("""COMPUTED_VALUE"""),"BOLSA TERMICA FRAME PRETA")</f>
        <v>BOLSA TERMICA FRAME PRETA</v>
      </c>
      <c r="D4499" s="186" t="str">
        <f>IFERROR(__xludf.DUMMYFUNCTION("""COMPUTED_VALUE"""),"FALSO")</f>
        <v>FALSO</v>
      </c>
    </row>
    <row r="4500">
      <c r="B4500" s="186" t="str">
        <f>IFERROR(__xludf.DUMMYFUNCTION("""COMPUTED_VALUE"""),"PI6423Y")</f>
        <v>PI6423Y</v>
      </c>
      <c r="C4500" s="186" t="str">
        <f>IFERROR(__xludf.DUMMYFUNCTION("""COMPUTED_VALUE"""),"BOLSA TERMICA FRAME POA")</f>
        <v>BOLSA TERMICA FRAME POA</v>
      </c>
      <c r="D4500" s="186" t="str">
        <f>IFERROR(__xludf.DUMMYFUNCTION("""COMPUTED_VALUE"""),"FALSO")</f>
        <v>FALSO</v>
      </c>
    </row>
    <row r="4501">
      <c r="B4501" s="186" t="str">
        <f>IFERROR(__xludf.DUMMYFUNCTION("""COMPUTED_VALUE"""),"PI6424Y")</f>
        <v>PI6424Y</v>
      </c>
      <c r="C4501" s="186" t="str">
        <f>IFERROR(__xludf.DUMMYFUNCTION("""COMPUTED_VALUE"""),"BOLSA TERMICA GLITTER COM ADESIVOS")</f>
        <v>BOLSA TERMICA GLITTER COM ADESIVOS</v>
      </c>
      <c r="D4501" s="186" t="str">
        <f>IFERROR(__xludf.DUMMYFUNCTION("""COMPUTED_VALUE"""),"FALSO")</f>
        <v>FALSO</v>
      </c>
    </row>
    <row r="4502">
      <c r="B4502" s="186" t="str">
        <f>IFERROR(__xludf.DUMMYFUNCTION("""COMPUTED_VALUE"""),"PI6135Y")</f>
        <v>PI6135Y</v>
      </c>
      <c r="C4502" s="186" t="str">
        <f>IFERROR(__xludf.DUMMYFUNCTION("""COMPUTED_VALUE"""),"BOLSA TERMICA HP BERTIE BOTTS")</f>
        <v>BOLSA TERMICA HP BERTIE BOTTS</v>
      </c>
      <c r="D4502" s="186" t="str">
        <f>IFERROR(__xludf.DUMMYFUNCTION("""COMPUTED_VALUE"""),"FALSO")</f>
        <v>FALSO</v>
      </c>
    </row>
    <row r="4503">
      <c r="B4503" s="186" t="str">
        <f>IFERROR(__xludf.DUMMYFUNCTION("""COMPUTED_VALUE"""),"PI6959Y")</f>
        <v>PI6959Y</v>
      </c>
      <c r="C4503" s="186" t="str">
        <f>IFERROR(__xludf.DUMMYFUNCTION("""COMPUTED_VALUE"""),"BOLSA TERMICA HP HOGWARTS")</f>
        <v>BOLSA TERMICA HP HOGWARTS</v>
      </c>
      <c r="D4503" s="186" t="str">
        <f>IFERROR(__xludf.DUMMYFUNCTION("""COMPUTED_VALUE"""),"FALSO")</f>
        <v>FALSO</v>
      </c>
    </row>
    <row r="4504">
      <c r="B4504" s="186" t="str">
        <f>IFERROR(__xludf.DUMMYFUNCTION("""COMPUTED_VALUE"""),"PI6427Y")</f>
        <v>PI6427Y</v>
      </c>
      <c r="C4504" s="186" t="str">
        <f>IFERROR(__xludf.DUMMYFUNCTION("""COMPUTED_VALUE"""),"BOLSA TERMICA HP BRASAO")</f>
        <v>BOLSA TERMICA HP BRASAO</v>
      </c>
      <c r="D4504" s="186" t="str">
        <f>IFERROR(__xludf.DUMMYFUNCTION("""COMPUTED_VALUE"""),"FALSO")</f>
        <v>FALSO</v>
      </c>
    </row>
    <row r="4505">
      <c r="B4505" s="186" t="str">
        <f>IFERROR(__xludf.DUMMYFUNCTION("""COMPUTED_VALUE"""),"PI5640Y")</f>
        <v>PI5640Y</v>
      </c>
      <c r="C4505" s="186" t="str">
        <f>IFERROR(__xludf.DUMMYFUNCTION("""COMPUTED_VALUE"""),"BOLSA TERMICA HP RELIQUIAS")</f>
        <v>BOLSA TERMICA HP RELIQUIAS</v>
      </c>
      <c r="D4505" s="186" t="str">
        <f>IFERROR(__xludf.DUMMYFUNCTION("""COMPUTED_VALUE"""),"FALSO")</f>
        <v>FALSO</v>
      </c>
    </row>
    <row r="4506">
      <c r="B4506" s="186" t="str">
        <f>IFERROR(__xludf.DUMMYFUNCTION("""COMPUTED_VALUE"""),"PI7524Y")</f>
        <v>PI7524Y</v>
      </c>
      <c r="C4506" s="186" t="str">
        <f>IFERROR(__xludf.DUMMYFUNCTION("""COMPUTED_VALUE"""),"BOLSA TERMICA HP VARINHA")</f>
        <v>BOLSA TERMICA HP VARINHA</v>
      </c>
      <c r="D4506" s="186" t="str">
        <f>IFERROR(__xludf.DUMMYFUNCTION("""COMPUTED_VALUE"""),"FALSO")</f>
        <v>FALSO</v>
      </c>
    </row>
    <row r="4507">
      <c r="B4507" s="186" t="str">
        <f>IFERROR(__xludf.DUMMYFUNCTION("""COMPUTED_VALUE"""),"PI7336Y")</f>
        <v>PI7336Y</v>
      </c>
      <c r="C4507" s="186" t="str">
        <f>IFERROR(__xludf.DUMMYFUNCTION("""COMPUTED_VALUE"""),"BOLSA TERMICA ONCINHA")</f>
        <v>BOLSA TERMICA ONCINHA</v>
      </c>
      <c r="D4507" s="186" t="str">
        <f>IFERROR(__xludf.DUMMYFUNCTION("""COMPUTED_VALUE"""),"FALSO")</f>
        <v>FALSO</v>
      </c>
    </row>
    <row r="4508">
      <c r="B4508" s="186" t="str">
        <f>IFERROR(__xludf.DUMMYFUNCTION("""COMPUTED_VALUE"""),"PI6425Y")</f>
        <v>PI6425Y</v>
      </c>
      <c r="C4508" s="186" t="str">
        <f>IFERROR(__xludf.DUMMYFUNCTION("""COMPUTED_VALUE"""),"BOLSA TERMICA AZUL E NEON")</f>
        <v>BOLSA TERMICA AZUL E NEON</v>
      </c>
      <c r="D4508" s="186" t="str">
        <f>IFERROR(__xludf.DUMMYFUNCTION("""COMPUTED_VALUE"""),"FALSO")</f>
        <v>FALSO</v>
      </c>
    </row>
    <row r="4509">
      <c r="B4509" s="186" t="str">
        <f>IFERROR(__xludf.DUMMYFUNCTION("""COMPUTED_VALUE"""),"PI6971Y")</f>
        <v>PI6971Y</v>
      </c>
      <c r="C4509" s="186" t="str">
        <f>IFERROR(__xludf.DUMMYFUNCTION("""COMPUTED_VALUE"""),"BOLSA TERMICA MIDI PRETA")</f>
        <v>BOLSA TERMICA MIDI PRETA</v>
      </c>
      <c r="D4509" s="186" t="str">
        <f>IFERROR(__xludf.DUMMYFUNCTION("""COMPUTED_VALUE"""),"FALSO")</f>
        <v>FALSO</v>
      </c>
    </row>
    <row r="4510">
      <c r="B4510" s="186" t="str">
        <f>IFERROR(__xludf.DUMMYFUNCTION("""COMPUTED_VALUE"""),"PI6971Y")</f>
        <v>PI6971Y</v>
      </c>
      <c r="C4510" s="186" t="str">
        <f>IFERROR(__xludf.DUMMYFUNCTION("""COMPUTED_VALUE"""),"BOLSA TERMICA MIDI PRETA")</f>
        <v>BOLSA TERMICA MIDI PRETA</v>
      </c>
      <c r="D4510" s="186" t="str">
        <f>IFERROR(__xludf.DUMMYFUNCTION("""COMPUTED_VALUE"""),"FALSO")</f>
        <v>FALSO</v>
      </c>
    </row>
    <row r="4511">
      <c r="B4511" s="186" t="str">
        <f>IFERROR(__xludf.DUMMYFUNCTION("""COMPUTED_VALUE"""),"PI5636Y")</f>
        <v>PI5636Y</v>
      </c>
      <c r="C4511" s="186" t="str">
        <f>IFERROR(__xludf.DUMMYFUNCTION("""COMPUTED_VALUE"""),"BOLSA LANCHEIRA TERMICA AZUL MARINHO")</f>
        <v>BOLSA LANCHEIRA TERMICA AZUL MARINHO</v>
      </c>
      <c r="D4511" s="186" t="str">
        <f>IFERROR(__xludf.DUMMYFUNCTION("""COMPUTED_VALUE"""),"FALSO")</f>
        <v>FALSO</v>
      </c>
    </row>
    <row r="4512">
      <c r="B4512" s="186" t="str">
        <f>IFERROR(__xludf.DUMMYFUNCTION("""COMPUTED_VALUE"""),"PI6426Y")</f>
        <v>PI6426Y</v>
      </c>
      <c r="C4512" s="186" t="str">
        <f>IFERROR(__xludf.DUMMYFUNCTION("""COMPUTED_VALUE"""),"BOLSA TERMICA GALAXIA MARINHO")</f>
        <v>BOLSA TERMICA GALAXIA MARINHO</v>
      </c>
      <c r="D4512" s="186" t="str">
        <f>IFERROR(__xludf.DUMMYFUNCTION("""COMPUTED_VALUE"""),"FALSO")</f>
        <v>FALSO</v>
      </c>
    </row>
    <row r="4513">
      <c r="B4513" s="186" t="str">
        <f>IFERROR(__xludf.DUMMYFUNCTION("""COMPUTED_VALUE"""),"PI7761Y")</f>
        <v>PI7761Y</v>
      </c>
      <c r="C4513" s="186" t="str">
        <f>IFERROR(__xludf.DUMMYFUNCTION("""COMPUTED_VALUE"""),"BOLSA TERMICA NOVA PUFFER CLARA")</f>
        <v>BOLSA TERMICA NOVA PUFFER CLARA</v>
      </c>
      <c r="D4513" s="186" t="str">
        <f>IFERROR(__xludf.DUMMYFUNCTION("""COMPUTED_VALUE"""),"FALSO")</f>
        <v>FALSO</v>
      </c>
    </row>
    <row r="4514">
      <c r="B4514" s="186" t="str">
        <f>IFERROR(__xludf.DUMMYFUNCTION("""COMPUTED_VALUE"""),"PI5634Y")</f>
        <v>PI5634Y</v>
      </c>
      <c r="C4514" s="186" t="str">
        <f>IFERROR(__xludf.DUMMYFUNCTION("""COMPUTED_VALUE"""),"BOLSA TERMICA ESTAMPA DEIXA FLUIR")</f>
        <v>BOLSA TERMICA ESTAMPA DEIXA FLUIR</v>
      </c>
      <c r="D4514" s="186" t="str">
        <f>IFERROR(__xludf.DUMMYFUNCTION("""COMPUTED_VALUE"""),"FALSO")</f>
        <v>FALSO</v>
      </c>
    </row>
    <row r="4515">
      <c r="B4515" s="186" t="str">
        <f>IFERROR(__xludf.DUMMYFUNCTION("""COMPUTED_VALUE"""),"PI7411Y")</f>
        <v>PI7411Y</v>
      </c>
      <c r="C4515" s="186" t="str">
        <f>IFERROR(__xludf.DUMMYFUNCTION("""COMPUTED_VALUE"""),"BOLSA TERMICA MIDI ROSA E VERMELHA")</f>
        <v>BOLSA TERMICA MIDI ROSA E VERMELHA</v>
      </c>
      <c r="D4515" s="186" t="str">
        <f>IFERROR(__xludf.DUMMYFUNCTION("""COMPUTED_VALUE"""),"FALSO")</f>
        <v>FALSO</v>
      </c>
    </row>
    <row r="4516">
      <c r="B4516" s="186" t="str">
        <f>IFERROR(__xludf.DUMMYFUNCTION("""COMPUTED_VALUE"""),"PI5615Y")</f>
        <v>PI5615Y</v>
      </c>
      <c r="C4516" s="186" t="str">
        <f>IFERROR(__xludf.DUMMYFUNCTION("""COMPUTED_VALUE"""),"BOLSA TERMICA Y2K POMPOM ROSA")</f>
        <v>BOLSA TERMICA Y2K POMPOM ROSA</v>
      </c>
      <c r="D4516" s="186" t="str">
        <f>IFERROR(__xludf.DUMMYFUNCTION("""COMPUTED_VALUE"""),"FALSO")</f>
        <v>FALSO</v>
      </c>
    </row>
    <row r="4517">
      <c r="B4517" s="186" t="str">
        <f>IFERROR(__xludf.DUMMYFUNCTION("""COMPUTED_VALUE"""),"PI6952Y")</f>
        <v>PI6952Y</v>
      </c>
      <c r="C4517" s="186" t="str">
        <f>IFERROR(__xludf.DUMMYFUNCTION("""COMPUTED_VALUE"""),"BOLSA TERMICA POSITIVIDADE LUDICA")</f>
        <v>BOLSA TERMICA POSITIVIDADE LUDICA</v>
      </c>
      <c r="D4517" s="186" t="str">
        <f>IFERROR(__xludf.DUMMYFUNCTION("""COMPUTED_VALUE"""),"FALSO")</f>
        <v>FALSO</v>
      </c>
    </row>
    <row r="4518">
      <c r="B4518" s="186" t="str">
        <f>IFERROR(__xludf.DUMMYFUNCTION("""COMPUTED_VALUE"""),"PI5851Y")</f>
        <v>PI5851Y</v>
      </c>
      <c r="C4518" s="186" t="str">
        <f>IFERROR(__xludf.DUMMYFUNCTION("""COMPUTED_VALUE"""),"BOLSA TERMICA PUFFER BORDO")</f>
        <v>BOLSA TERMICA PUFFER BORDO</v>
      </c>
      <c r="D4518" s="186" t="str">
        <f>IFERROR(__xludf.DUMMYFUNCTION("""COMPUTED_VALUE"""),"FALSO")</f>
        <v>FALSO</v>
      </c>
    </row>
    <row r="4519">
      <c r="B4519" s="186" t="str">
        <f>IFERROR(__xludf.DUMMYFUNCTION("""COMPUTED_VALUE"""),"PI7390Y")</f>
        <v>PI7390Y</v>
      </c>
      <c r="C4519" s="186" t="str">
        <f>IFERROR(__xludf.DUMMYFUNCTION("""COMPUTED_VALUE"""),"BOLSA TERMICA PUFFER CLARA")</f>
        <v>BOLSA TERMICA PUFFER CLARA</v>
      </c>
      <c r="D4519" s="186" t="str">
        <f>IFERROR(__xludf.DUMMYFUNCTION("""COMPUTED_VALUE"""),"FALSO")</f>
        <v>FALSO</v>
      </c>
    </row>
    <row r="4520">
      <c r="B4520" s="186" t="str">
        <f>IFERROR(__xludf.DUMMYFUNCTION("""COMPUTED_VALUE"""),"PI7415Y")</f>
        <v>PI7415Y</v>
      </c>
      <c r="C4520" s="186" t="str">
        <f>IFERROR(__xludf.DUMMYFUNCTION("""COMPUTED_VALUE"""),"BOLSA TERMICA MATELASSE PRETA")</f>
        <v>BOLSA TERMICA MATELASSE PRETA</v>
      </c>
      <c r="D4520" s="186" t="str">
        <f>IFERROR(__xludf.DUMMYFUNCTION("""COMPUTED_VALUE"""),"FALSO")</f>
        <v>FALSO</v>
      </c>
    </row>
    <row r="4521">
      <c r="B4521" s="186" t="str">
        <f>IFERROR(__xludf.DUMMYFUNCTION("""COMPUTED_VALUE"""),"PI5303Y")</f>
        <v>PI5303Y</v>
      </c>
      <c r="C4521" s="186" t="str">
        <f>IFERROR(__xludf.DUMMYFUNCTION("""COMPUTED_VALUE"""),"BOLSA TERMICA ROLL UP PRETA")</f>
        <v>BOLSA TERMICA ROLL UP PRETA</v>
      </c>
      <c r="D4521" s="186" t="str">
        <f>IFERROR(__xludf.DUMMYFUNCTION("""COMPUTED_VALUE"""),"FALSO")</f>
        <v>FALSO</v>
      </c>
    </row>
    <row r="4522">
      <c r="B4522" s="186" t="str">
        <f>IFERROR(__xludf.DUMMYFUNCTION("""COMPUTED_VALUE"""),"PI5853Y")</f>
        <v>PI5853Y</v>
      </c>
      <c r="C4522" s="186" t="str">
        <f>IFERROR(__xludf.DUMMYFUNCTION("""COMPUTED_VALUE"""),"BOLSA TERMICA P ESTAMPA SOLAR")</f>
        <v>BOLSA TERMICA P ESTAMPA SOLAR</v>
      </c>
      <c r="D4522" s="186" t="str">
        <f>IFERROR(__xludf.DUMMYFUNCTION("""COMPUTED_VALUE"""),"FALSO")</f>
        <v>FALSO</v>
      </c>
    </row>
    <row r="4523">
      <c r="B4523" s="186" t="str">
        <f>IFERROR(__xludf.DUMMYFUNCTION("""COMPUTED_VALUE"""),"PI7337Y")</f>
        <v>PI7337Y</v>
      </c>
      <c r="C4523" s="186" t="str">
        <f>IFERROR(__xludf.DUMMYFUNCTION("""COMPUTED_VALUE"""),"BOLSA TERMICA LISTRAS")</f>
        <v>BOLSA TERMICA LISTRAS</v>
      </c>
      <c r="D4523" s="186" t="str">
        <f>IFERROR(__xludf.DUMMYFUNCTION("""COMPUTED_VALUE"""),"FALSO")</f>
        <v>FALSO</v>
      </c>
    </row>
    <row r="4524">
      <c r="B4524" s="186" t="str">
        <f>IFERROR(__xludf.DUMMYFUNCTION("""COMPUTED_VALUE"""),"PI6408Y")</f>
        <v>PI6408Y</v>
      </c>
      <c r="C4524" s="186" t="str">
        <f>IFERROR(__xludf.DUMMYFUNCTION("""COMPUTED_VALUE"""),"BOLSA TERMICA LISTRADA")</f>
        <v>BOLSA TERMICA LISTRADA</v>
      </c>
      <c r="D4524" s="186" t="str">
        <f>IFERROR(__xludf.DUMMYFUNCTION("""COMPUTED_VALUE"""),"FALSO")</f>
        <v>FALSO</v>
      </c>
    </row>
    <row r="4525">
      <c r="B4525" s="186" t="str">
        <f>IFERROR(__xludf.DUMMYFUNCTION("""COMPUTED_VALUE"""),"PI7811Y")</f>
        <v>PI7811Y</v>
      </c>
      <c r="C4525" s="186"/>
      <c r="D4525" s="186" t="str">
        <f>IFERROR(__xludf.DUMMYFUNCTION("""COMPUTED_VALUE"""),"FALSO")</f>
        <v>FALSO</v>
      </c>
    </row>
    <row r="4526">
      <c r="B4526" s="186" t="str">
        <f>IFERROR(__xludf.DUMMYFUNCTION("""COMPUTED_VALUE"""),"PI5854Y")</f>
        <v>PI5854Y</v>
      </c>
      <c r="C4526" s="186" t="str">
        <f>IFERROR(__xludf.DUMMYFUNCTION("""COMPUTED_VALUE"""),"BOLSA TERMICA COM GEL TEXTURAS BEGE")</f>
        <v>BOLSA TERMICA COM GEL TEXTURAS BEGE</v>
      </c>
      <c r="D4526" s="186" t="str">
        <f>IFERROR(__xludf.DUMMYFUNCTION("""COMPUTED_VALUE"""),"FALSO")</f>
        <v>FALSO</v>
      </c>
    </row>
    <row r="4527">
      <c r="B4527" s="186" t="str">
        <f>IFERROR(__xludf.DUMMYFUNCTION("""COMPUTED_VALUE"""),"PI5606Y")</f>
        <v>PI5606Y</v>
      </c>
      <c r="C4527" s="186" t="str">
        <f>IFERROR(__xludf.DUMMYFUNCTION("""COMPUTED_VALUE"""),"BOLSA TERMICA COM GARRAFA CANVAS OCRE")</f>
        <v>BOLSA TERMICA COM GARRAFA CANVAS OCRE</v>
      </c>
      <c r="D4527" s="186" t="str">
        <f>IFERROR(__xludf.DUMMYFUNCTION("""COMPUTED_VALUE"""),"FALSO")</f>
        <v>FALSO</v>
      </c>
    </row>
    <row r="4528">
      <c r="B4528" s="186" t="str">
        <f>IFERROR(__xludf.DUMMYFUNCTION("""COMPUTED_VALUE"""),"PI5601Y")</f>
        <v>PI5601Y</v>
      </c>
      <c r="C4528" s="186" t="str">
        <f>IFERROR(__xludf.DUMMYFUNCTION("""COMPUTED_VALUE"""),"BOLSA TERMICA COM BAG POAS")</f>
        <v>BOLSA TERMICA COM BAG POAS</v>
      </c>
      <c r="D4528" s="186" t="str">
        <f>IFERROR(__xludf.DUMMYFUNCTION("""COMPUTED_VALUE"""),"FALSO")</f>
        <v>FALSO</v>
      </c>
    </row>
    <row r="4529">
      <c r="B4529" s="186" t="str">
        <f>IFERROR(__xludf.DUMMYFUNCTION("""COMPUTED_VALUE"""),"PI4564Y")</f>
        <v>PI4564Y</v>
      </c>
      <c r="C4529" s="186" t="str">
        <f>IFERROR(__xludf.DUMMYFUNCTION("""COMPUTED_VALUE"""),"BOLSA LANCHEIRA TERMICA AZUL")</f>
        <v>BOLSA LANCHEIRA TERMICA AZUL</v>
      </c>
      <c r="D4529" s="186" t="str">
        <f>IFERROR(__xludf.DUMMYFUNCTION("""COMPUTED_VALUE"""),"FALSO")</f>
        <v>FALSO</v>
      </c>
    </row>
    <row r="4530">
      <c r="B4530" s="186" t="str">
        <f>IFERROR(__xludf.DUMMYFUNCTION("""COMPUTED_VALUE"""),"PI4978Y")</f>
        <v>PI4978Y</v>
      </c>
      <c r="C4530" s="186" t="str">
        <f>IFERROR(__xludf.DUMMYFUNCTION("""COMPUTED_VALUE"""),"BOLSA LANCHEIRA TERMICA BORDO")</f>
        <v>BOLSA LANCHEIRA TERMICA BORDO</v>
      </c>
      <c r="D4530" s="186" t="str">
        <f>IFERROR(__xludf.DUMMYFUNCTION("""COMPUTED_VALUE"""),"FALSO")</f>
        <v>FALSO</v>
      </c>
    </row>
    <row r="4531">
      <c r="B4531" s="186" t="str">
        <f>IFERROR(__xludf.DUMMYFUNCTION("""COMPUTED_VALUE"""),"PI7477Y")</f>
        <v>PI7477Y</v>
      </c>
      <c r="C4531" s="186" t="str">
        <f>IFERROR(__xludf.DUMMYFUNCTION("""COMPUTED_VALUE"""),"BOLSA TERMICA DE VINHOS BOAS HISTORIAS")</f>
        <v>BOLSA TERMICA DE VINHOS BOAS HISTORIAS</v>
      </c>
      <c r="D4531" s="186" t="str">
        <f>IFERROR(__xludf.DUMMYFUNCTION("""COMPUTED_VALUE"""),"FALSO")</f>
        <v>FALSO</v>
      </c>
    </row>
    <row r="4532">
      <c r="B4532" s="186" t="str">
        <f>IFERROR(__xludf.DUMMYFUNCTION("""COMPUTED_VALUE"""),"PI7477Y")</f>
        <v>PI7477Y</v>
      </c>
      <c r="C4532" s="186" t="str">
        <f>IFERROR(__xludf.DUMMYFUNCTION("""COMPUTED_VALUE"""),"BOLSA TERMICA DE VINHOS BOAS HISTORIAS")</f>
        <v>BOLSA TERMICA DE VINHOS BOAS HISTORIAS</v>
      </c>
      <c r="D4532" s="186" t="str">
        <f>IFERROR(__xludf.DUMMYFUNCTION("""COMPUTED_VALUE"""),"FALSO")</f>
        <v>FALSO</v>
      </c>
    </row>
    <row r="4533">
      <c r="B4533" s="186" t="str">
        <f>IFERROR(__xludf.DUMMYFUNCTION("""COMPUTED_VALUE"""),"PI6583Y")</f>
        <v>PI6583Y</v>
      </c>
      <c r="C4533" s="186" t="str">
        <f>IFERROR(__xludf.DUMMYFUNCTION("""COMPUTED_VALUE"""),"BOLSA TERMICA VINHO CLARA E MARROM")</f>
        <v>BOLSA TERMICA VINHO CLARA E MARROM</v>
      </c>
      <c r="D4533" s="186" t="str">
        <f>IFERROR(__xludf.DUMMYFUNCTION("""COMPUTED_VALUE"""),"FALSO")</f>
        <v>FALSO</v>
      </c>
    </row>
    <row r="4534">
      <c r="B4534" s="186" t="str">
        <f>IFERROR(__xludf.DUMMYFUNCTION("""COMPUTED_VALUE"""),"PI5967Y")</f>
        <v>PI5967Y</v>
      </c>
      <c r="C4534" s="186" t="str">
        <f>IFERROR(__xludf.DUMMYFUNCTION("""COMPUTED_VALUE"""),"BOLSA TOTE POCKETS PRETA")</f>
        <v>BOLSA TOTE POCKETS PRETA</v>
      </c>
      <c r="D4534" s="186" t="str">
        <f>IFERROR(__xludf.DUMMYFUNCTION("""COMPUTED_VALUE"""),"FALSO")</f>
        <v>FALSO</v>
      </c>
    </row>
    <row r="4535">
      <c r="B4535" s="186" t="str">
        <f>IFERROR(__xludf.DUMMYFUNCTION("""COMPUTED_VALUE"""),"PI5967Y")</f>
        <v>PI5967Y</v>
      </c>
      <c r="C4535" s="186" t="str">
        <f>IFERROR(__xludf.DUMMYFUNCTION("""COMPUTED_VALUE"""),"BOLSA TOTE POCKETS PRETA")</f>
        <v>BOLSA TOTE POCKETS PRETA</v>
      </c>
      <c r="D4535" s="186" t="str">
        <f>IFERROR(__xludf.DUMMYFUNCTION("""COMPUTED_VALUE"""),"FALSO")</f>
        <v>FALSO</v>
      </c>
    </row>
    <row r="4536">
      <c r="B4536" s="186" t="str">
        <f>IFERROR(__xludf.DUMMYFUNCTION("""COMPUTED_VALUE"""),"PI5850Y")</f>
        <v>PI5850Y</v>
      </c>
      <c r="C4536" s="186" t="str">
        <f>IFERROR(__xludf.DUMMYFUNCTION("""COMPUTED_VALUE"""),"BOLSA TOTE POCKETS BORDO")</f>
        <v>BOLSA TOTE POCKETS BORDO</v>
      </c>
      <c r="D4536" s="186" t="str">
        <f>IFERROR(__xludf.DUMMYFUNCTION("""COMPUTED_VALUE"""),"FALSO")</f>
        <v>FALSO</v>
      </c>
    </row>
    <row r="4537">
      <c r="B4537" s="186" t="str">
        <f>IFERROR(__xludf.DUMMYFUNCTION("""COMPUTED_VALUE"""),"PI7399Y")</f>
        <v>PI7399Y</v>
      </c>
      <c r="C4537" s="186" t="str">
        <f>IFERROR(__xludf.DUMMYFUNCTION("""COMPUTED_VALUE"""),"KIT ORGANIZADOR DE MALA PRETO")</f>
        <v>KIT ORGANIZADOR DE MALA PRETO</v>
      </c>
      <c r="D4537" s="186" t="str">
        <f>IFERROR(__xludf.DUMMYFUNCTION("""COMPUTED_VALUE"""),"FALSO")</f>
        <v>FALSO</v>
      </c>
    </row>
    <row r="4538">
      <c r="B4538" s="186" t="str">
        <f>IFERROR(__xludf.DUMMYFUNCTION("""COMPUTED_VALUE"""),"PI7029Y")</f>
        <v>PI7029Y</v>
      </c>
      <c r="C4538" s="186" t="str">
        <f>IFERROR(__xludf.DUMMYFUNCTION("""COMPUTED_VALUE"""),"KIT ORGANIZADOR DE MALA ONCINHA")</f>
        <v>KIT ORGANIZADOR DE MALA ONCINHA</v>
      </c>
      <c r="D4538" s="186" t="str">
        <f>IFERROR(__xludf.DUMMYFUNCTION("""COMPUTED_VALUE"""),"FALSO")</f>
        <v>FALSO</v>
      </c>
    </row>
    <row r="4539">
      <c r="B4539" s="186" t="str">
        <f>IFERROR(__xludf.DUMMYFUNCTION("""COMPUTED_VALUE"""),"PI7392Y")</f>
        <v>PI7392Y</v>
      </c>
      <c r="C4539" s="186" t="str">
        <f>IFERROR(__xludf.DUMMYFUNCTION("""COMPUTED_VALUE"""),"KIT ORGANIZADOR DE MALA CLARO")</f>
        <v>KIT ORGANIZADOR DE MALA CLARO</v>
      </c>
      <c r="D4539" s="186" t="str">
        <f>IFERROR(__xludf.DUMMYFUNCTION("""COMPUTED_VALUE"""),"FALSO")</f>
        <v>FALSO</v>
      </c>
    </row>
    <row r="4540">
      <c r="B4540" s="186" t="str">
        <f>IFERROR(__xludf.DUMMYFUNCTION("""COMPUTED_VALUE"""),"PI7392Y")</f>
        <v>PI7392Y</v>
      </c>
      <c r="C4540" s="186" t="str">
        <f>IFERROR(__xludf.DUMMYFUNCTION("""COMPUTED_VALUE"""),"KIT ORGANIZADOR DE MALA CLARO")</f>
        <v>KIT ORGANIZADOR DE MALA CLARO</v>
      </c>
      <c r="D4540" s="186" t="str">
        <f>IFERROR(__xludf.DUMMYFUNCTION("""COMPUTED_VALUE"""),"FALSO")</f>
        <v>FALSO</v>
      </c>
    </row>
    <row r="4541">
      <c r="B4541" s="186" t="str">
        <f>IFERROR(__xludf.DUMMYFUNCTION("""COMPUTED_VALUE"""),"PI7419Y")</f>
        <v>PI7419Y</v>
      </c>
      <c r="C4541" s="186" t="str">
        <f>IFERROR(__xludf.DUMMYFUNCTION("""COMPUTED_VALUE"""),"KIT ORGANIZADOR DE MALA LISTRADO")</f>
        <v>KIT ORGANIZADOR DE MALA LISTRADO</v>
      </c>
      <c r="D4541" s="186" t="str">
        <f>IFERROR(__xludf.DUMMYFUNCTION("""COMPUTED_VALUE"""),"FALSO")</f>
        <v>FALSO</v>
      </c>
    </row>
    <row r="4542">
      <c r="B4542" s="186" t="str">
        <f>IFERROR(__xludf.DUMMYFUNCTION("""COMPUTED_VALUE"""),"PI5028Y")</f>
        <v>PI5028Y</v>
      </c>
      <c r="C4542" s="186" t="str">
        <f>IFERROR(__xludf.DUMMYFUNCTION("""COMPUTED_VALUE"""),"ESTOJO TRIPLO CAPIVARA")</f>
        <v>ESTOJO TRIPLO CAPIVARA</v>
      </c>
      <c r="D4542" s="186" t="str">
        <f>IFERROR(__xludf.DUMMYFUNCTION("""COMPUTED_VALUE"""),"FALSO")</f>
        <v>FALSO</v>
      </c>
    </row>
    <row r="4543">
      <c r="B4543" s="186" t="str">
        <f>IFERROR(__xludf.DUMMYFUNCTION("""COMPUTED_VALUE"""),"PI5620Y")</f>
        <v>PI5620Y</v>
      </c>
      <c r="C4543" s="186" t="str">
        <f>IFERROR(__xludf.DUMMYFUNCTION("""COMPUTED_VALUE"""),"MOCHILA DE RODINHAS PRETA E HOLOGRAFICO")</f>
        <v>MOCHILA DE RODINHAS PRETA E HOLOGRAFICO</v>
      </c>
      <c r="D4543" s="186" t="str">
        <f>IFERROR(__xludf.DUMMYFUNCTION("""COMPUTED_VALUE"""),"FALSO")</f>
        <v>FALSO</v>
      </c>
    </row>
    <row r="4544">
      <c r="B4544" s="186" t="str">
        <f>IFERROR(__xludf.DUMMYFUNCTION("""COMPUTED_VALUE"""),"PI6389Y")</f>
        <v>PI6389Y</v>
      </c>
      <c r="C4544" s="186" t="str">
        <f>IFERROR(__xludf.DUMMYFUNCTION("""COMPUTED_VALUE"""),"MOCHILA DE RODINHAS GLITTER COM ADESIVOS")</f>
        <v>MOCHILA DE RODINHAS GLITTER COM ADESIVOS</v>
      </c>
      <c r="D4544" s="186" t="str">
        <f>IFERROR(__xludf.DUMMYFUNCTION("""COMPUTED_VALUE"""),"FALSO")</f>
        <v>FALSO</v>
      </c>
    </row>
    <row r="4545">
      <c r="B4545" s="186" t="str">
        <f>IFERROR(__xludf.DUMMYFUNCTION("""COMPUTED_VALUE"""),"PI6389Y")</f>
        <v>PI6389Y</v>
      </c>
      <c r="C4545" s="186" t="str">
        <f>IFERROR(__xludf.DUMMYFUNCTION("""COMPUTED_VALUE"""),"MOCHILA DE RODINHAS GLITTER COM ADESIVOS")</f>
        <v>MOCHILA DE RODINHAS GLITTER COM ADESIVOS</v>
      </c>
      <c r="D4545" s="186" t="str">
        <f>IFERROR(__xludf.DUMMYFUNCTION("""COMPUTED_VALUE"""),"FALSO")</f>
        <v>FALSO</v>
      </c>
    </row>
    <row r="4546">
      <c r="B4546" s="186" t="str">
        <f>IFERROR(__xludf.DUMMYFUNCTION("""COMPUTED_VALUE"""),"PI7583Y")</f>
        <v>PI7583Y</v>
      </c>
      <c r="C4546" s="186" t="str">
        <f>IFERROR(__xludf.DUMMYFUNCTION("""COMPUTED_VALUE"""),"MOCHILA DE RODINHAS HP VARINHA")</f>
        <v>MOCHILA DE RODINHAS HP VARINHA</v>
      </c>
      <c r="D4546" s="186" t="str">
        <f>IFERROR(__xludf.DUMMYFUNCTION("""COMPUTED_VALUE"""),"FALSO")</f>
        <v>FALSO</v>
      </c>
    </row>
    <row r="4547">
      <c r="B4547" s="186" t="str">
        <f>IFERROR(__xludf.DUMMYFUNCTION("""COMPUTED_VALUE"""),"PI6939Y")</f>
        <v>PI6939Y</v>
      </c>
      <c r="C4547" s="186" t="str">
        <f>IFERROR(__xludf.DUMMYFUNCTION("""COMPUTED_VALUE"""),"MOCHILA DE RODINHAS HP HOGWARTS")</f>
        <v>MOCHILA DE RODINHAS HP HOGWARTS</v>
      </c>
      <c r="D4547" s="186" t="str">
        <f>IFERROR(__xludf.DUMMYFUNCTION("""COMPUTED_VALUE"""),"FALSO")</f>
        <v>FALSO</v>
      </c>
    </row>
    <row r="4548">
      <c r="B4548" s="186" t="str">
        <f>IFERROR(__xludf.DUMMYFUNCTION("""COMPUTED_VALUE"""),"PI6405Y")</f>
        <v>PI6405Y</v>
      </c>
      <c r="C4548" s="186" t="str">
        <f>IFERROR(__xludf.DUMMYFUNCTION("""COMPUTED_VALUE"""),"MOCHILA DE RODINHAS HP BRASAO")</f>
        <v>MOCHILA DE RODINHAS HP BRASAO</v>
      </c>
      <c r="D4548" s="186" t="str">
        <f>IFERROR(__xludf.DUMMYFUNCTION("""COMPUTED_VALUE"""),"FALSO")</f>
        <v>FALSO</v>
      </c>
    </row>
    <row r="4549">
      <c r="B4549" s="186" t="str">
        <f>IFERROR(__xludf.DUMMYFUNCTION("""COMPUTED_VALUE"""),"PI6405Y")</f>
        <v>PI6405Y</v>
      </c>
      <c r="C4549" s="186" t="str">
        <f>IFERROR(__xludf.DUMMYFUNCTION("""COMPUTED_VALUE"""),"MOCHILA DE RODINHAS HP BRASAO")</f>
        <v>MOCHILA DE RODINHAS HP BRASAO</v>
      </c>
      <c r="D4549" s="186" t="str">
        <f>IFERROR(__xludf.DUMMYFUNCTION("""COMPUTED_VALUE"""),"FALSO")</f>
        <v>FALSO</v>
      </c>
    </row>
    <row r="4550">
      <c r="B4550" s="186" t="str">
        <f>IFERROR(__xludf.DUMMYFUNCTION("""COMPUTED_VALUE"""),"PI5639Y")</f>
        <v>PI5639Y</v>
      </c>
      <c r="C4550" s="186" t="str">
        <f>IFERROR(__xludf.DUMMYFUNCTION("""COMPUTED_VALUE"""),"MOCHILA DE RODINHAS HP RELIQUIAS")</f>
        <v>MOCHILA DE RODINHAS HP RELIQUIAS</v>
      </c>
      <c r="D4550" s="186" t="str">
        <f>IFERROR(__xludf.DUMMYFUNCTION("""COMPUTED_VALUE"""),"FALSO")</f>
        <v>FALSO</v>
      </c>
    </row>
    <row r="4551">
      <c r="B4551" s="186" t="str">
        <f>IFERROR(__xludf.DUMMYFUNCTION("""COMPUTED_VALUE"""),"PI6395Y")</f>
        <v>PI6395Y</v>
      </c>
      <c r="C4551" s="186" t="str">
        <f>IFERROR(__xludf.DUMMYFUNCTION("""COMPUTED_VALUE"""),"MOCHILA DE RODINHAS BOLSO REMOVIVEL NEON")</f>
        <v>MOCHILA DE RODINHAS BOLSO REMOVIVEL NEON</v>
      </c>
      <c r="D4551" s="186" t="str">
        <f>IFERROR(__xludf.DUMMYFUNCTION("""COMPUTED_VALUE"""),"FALSO")</f>
        <v>FALSO</v>
      </c>
    </row>
    <row r="4552">
      <c r="B4552" s="186" t="str">
        <f>IFERROR(__xludf.DUMMYFUNCTION("""COMPUTED_VALUE"""),"PI6395Y")</f>
        <v>PI6395Y</v>
      </c>
      <c r="C4552" s="186" t="str">
        <f>IFERROR(__xludf.DUMMYFUNCTION("""COMPUTED_VALUE"""),"MOCHILA DE RODINHAS BOLSO REMOVIVEL NEON")</f>
        <v>MOCHILA DE RODINHAS BOLSO REMOVIVEL NEON</v>
      </c>
      <c r="D4552" s="186" t="str">
        <f>IFERROR(__xludf.DUMMYFUNCTION("""COMPUTED_VALUE"""),"FALSO")</f>
        <v>FALSO</v>
      </c>
    </row>
    <row r="4553">
      <c r="B4553" s="186" t="str">
        <f>IFERROR(__xludf.DUMMYFUNCTION("""COMPUTED_VALUE"""),"PI6393Y")</f>
        <v>PI6393Y</v>
      </c>
      <c r="C4553" s="186" t="str">
        <f>IFERROR(__xludf.DUMMYFUNCTION("""COMPUTED_VALUE"""),"MOCHILA DE RODINHAS GALAXIA MARINHO")</f>
        <v>MOCHILA DE RODINHAS GALAXIA MARINHO</v>
      </c>
      <c r="D4553" s="186" t="str">
        <f>IFERROR(__xludf.DUMMYFUNCTION("""COMPUTED_VALUE"""),"FALSO")</f>
        <v>FALSO</v>
      </c>
    </row>
    <row r="4554">
      <c r="B4554" s="186" t="str">
        <f>IFERROR(__xludf.DUMMYFUNCTION("""COMPUTED_VALUE"""),"PI6950Y")</f>
        <v>PI6950Y</v>
      </c>
      <c r="C4554" s="186" t="str">
        <f>IFERROR(__xludf.DUMMYFUNCTION("""COMPUTED_VALUE"""),"MOCHILA RODINHA POSITIVIDADE LUDICA")</f>
        <v>MOCHILA RODINHA POSITIVIDADE LUDICA</v>
      </c>
      <c r="D4554" s="186" t="str">
        <f>IFERROR(__xludf.DUMMYFUNCTION("""COMPUTED_VALUE"""),"FALSO")</f>
        <v>FALSO</v>
      </c>
    </row>
    <row r="4555">
      <c r="B4555" s="186" t="str">
        <f>IFERROR(__xludf.DUMMYFUNCTION("""COMPUTED_VALUE"""),"PI5614Y")</f>
        <v>PI5614Y</v>
      </c>
      <c r="C4555" s="186" t="str">
        <f>IFERROR(__xludf.DUMMYFUNCTION("""COMPUTED_VALUE"""),"MOCHILA DE RODINHAS Y2K ROSA GLITTER")</f>
        <v>MOCHILA DE RODINHAS Y2K ROSA GLITTER</v>
      </c>
      <c r="D4555" s="186" t="str">
        <f>IFERROR(__xludf.DUMMYFUNCTION("""COMPUTED_VALUE"""),"FALSO")</f>
        <v>FALSO</v>
      </c>
    </row>
    <row r="4556">
      <c r="B4556" s="186" t="str">
        <f>IFERROR(__xludf.DUMMYFUNCTION("""COMPUTED_VALUE"""),"PI5206Y")</f>
        <v>PI5206Y</v>
      </c>
      <c r="C4556" s="186" t="str">
        <f>IFERROR(__xludf.DUMMYFUNCTION("""COMPUTED_VALUE"""),"CARTEIRA PORTA CELULAR PRETA")</f>
        <v>CARTEIRA PORTA CELULAR PRETA</v>
      </c>
      <c r="D4556" s="186" t="str">
        <f>IFERROR(__xludf.DUMMYFUNCTION("""COMPUTED_VALUE"""),"FALSO")</f>
        <v>FALSO</v>
      </c>
    </row>
    <row r="4557">
      <c r="B4557" s="186" t="str">
        <f>IFERROR(__xludf.DUMMYFUNCTION("""COMPUTED_VALUE"""),"PI5206Y")</f>
        <v>PI5206Y</v>
      </c>
      <c r="C4557" s="186" t="str">
        <f>IFERROR(__xludf.DUMMYFUNCTION("""COMPUTED_VALUE"""),"CARTEIRA PORTA CELULAR PRETA")</f>
        <v>CARTEIRA PORTA CELULAR PRETA</v>
      </c>
      <c r="D4557" s="186" t="str">
        <f>IFERROR(__xludf.DUMMYFUNCTION("""COMPUTED_VALUE"""),"FALSO")</f>
        <v>FALSO</v>
      </c>
    </row>
    <row r="4558">
      <c r="B4558" s="186" t="str">
        <f>IFERROR(__xludf.DUMMYFUNCTION("""COMPUTED_VALUE"""),"PI5006Y")</f>
        <v>PI5006Y</v>
      </c>
      <c r="C4558" s="186" t="str">
        <f>IFERROR(__xludf.DUMMYFUNCTION("""COMPUTED_VALUE"""),"CARTEIRA PORTA CELULAR FRIENDS MOLDURA")</f>
        <v>CARTEIRA PORTA CELULAR FRIENDS MOLDURA</v>
      </c>
      <c r="D4558" s="186" t="str">
        <f>IFERROR(__xludf.DUMMYFUNCTION("""COMPUTED_VALUE"""),"FALSO")</f>
        <v>FALSO</v>
      </c>
    </row>
    <row r="4559">
      <c r="B4559" s="186" t="str">
        <f>IFERROR(__xludf.DUMMYFUNCTION("""COMPUTED_VALUE"""),"PI5306Y")</f>
        <v>PI5306Y</v>
      </c>
      <c r="C4559" s="186" t="str">
        <f>IFERROR(__xludf.DUMMYFUNCTION("""COMPUTED_VALUE"""),"CARTEIRA PORTA CELULAR HP DARK MARK")</f>
        <v>CARTEIRA PORTA CELULAR HP DARK MARK</v>
      </c>
      <c r="D4559" s="186" t="str">
        <f>IFERROR(__xludf.DUMMYFUNCTION("""COMPUTED_VALUE"""),"FALSO")</f>
        <v>FALSO</v>
      </c>
    </row>
    <row r="4560">
      <c r="B4560" s="186" t="str">
        <f>IFERROR(__xludf.DUMMYFUNCTION("""COMPUTED_VALUE"""),"PI5306Y")</f>
        <v>PI5306Y</v>
      </c>
      <c r="C4560" s="186" t="str">
        <f>IFERROR(__xludf.DUMMYFUNCTION("""COMPUTED_VALUE"""),"CARTEIRA PORTA CELULAR HP DARK MARK")</f>
        <v>CARTEIRA PORTA CELULAR HP DARK MARK</v>
      </c>
      <c r="D4560" s="186" t="str">
        <f>IFERROR(__xludf.DUMMYFUNCTION("""COMPUTED_VALUE"""),"FALSO")</f>
        <v>FALSO</v>
      </c>
    </row>
    <row r="4561">
      <c r="B4561" s="186" t="str">
        <f>IFERROR(__xludf.DUMMYFUNCTION("""COMPUTED_VALUE"""),"PI5306Y")</f>
        <v>PI5306Y</v>
      </c>
      <c r="C4561" s="186" t="str">
        <f>IFERROR(__xludf.DUMMYFUNCTION("""COMPUTED_VALUE"""),"CARTEIRA PORTA CELULAR HP DARK MARK")</f>
        <v>CARTEIRA PORTA CELULAR HP DARK MARK</v>
      </c>
      <c r="D4561" s="186" t="str">
        <f>IFERROR(__xludf.DUMMYFUNCTION("""COMPUTED_VALUE"""),"FALSO")</f>
        <v>FALSO</v>
      </c>
    </row>
    <row r="4562">
      <c r="B4562" s="186" t="str">
        <f>IFERROR(__xludf.DUMMYFUNCTION("""COMPUTED_VALUE"""),"PI6451Y")</f>
        <v>PI6451Y</v>
      </c>
      <c r="C4562" s="186" t="str">
        <f>IFERROR(__xludf.DUMMYFUNCTION("""COMPUTED_VALUE"""),"CARTEIRA PORTA CELULAR HP CARTA")</f>
        <v>CARTEIRA PORTA CELULAR HP CARTA</v>
      </c>
      <c r="D4562" s="186" t="str">
        <f>IFERROR(__xludf.DUMMYFUNCTION("""COMPUTED_VALUE"""),"FALSO")</f>
        <v>FALSO</v>
      </c>
    </row>
    <row r="4563">
      <c r="B4563" s="186" t="str">
        <f>IFERROR(__xludf.DUMMYFUNCTION("""COMPUTED_VALUE"""),"PI6451Y")</f>
        <v>PI6451Y</v>
      </c>
      <c r="C4563" s="186" t="str">
        <f>IFERROR(__xludf.DUMMYFUNCTION("""COMPUTED_VALUE"""),"CARTEIRA PORTA CELULAR HP CARTA")</f>
        <v>CARTEIRA PORTA CELULAR HP CARTA</v>
      </c>
      <c r="D4563" s="186" t="str">
        <f>IFERROR(__xludf.DUMMYFUNCTION("""COMPUTED_VALUE"""),"FALSO")</f>
        <v>FALSO</v>
      </c>
    </row>
    <row r="4564">
      <c r="B4564" s="186" t="str">
        <f>IFERROR(__xludf.DUMMYFUNCTION("""COMPUTED_VALUE"""),"PI7492Y")</f>
        <v>PI7492Y</v>
      </c>
      <c r="C4564" s="186" t="str">
        <f>IFERROR(__xludf.DUMMYFUNCTION("""COMPUTED_VALUE"""),"CARTEIRA ALCA MAO PRETA")</f>
        <v>CARTEIRA ALCA MAO PRETA</v>
      </c>
      <c r="D4564" s="186" t="str">
        <f>IFERROR(__xludf.DUMMYFUNCTION("""COMPUTED_VALUE"""),"FALSO")</f>
        <v>FALSO</v>
      </c>
    </row>
    <row r="4565">
      <c r="B4565" s="186" t="str">
        <f>IFERROR(__xludf.DUMMYFUNCTION("""COMPUTED_VALUE"""),"PI7494Y")</f>
        <v>PI7494Y</v>
      </c>
      <c r="C4565" s="186" t="str">
        <f>IFERROR(__xludf.DUMMYFUNCTION("""COMPUTED_VALUE"""),"CARTEIRA ALCA MAO BORDO")</f>
        <v>CARTEIRA ALCA MAO BORDO</v>
      </c>
      <c r="D4565" s="186" t="str">
        <f>IFERROR(__xludf.DUMMYFUNCTION("""COMPUTED_VALUE"""),"FALSO")</f>
        <v>FALSO</v>
      </c>
    </row>
    <row r="4566">
      <c r="B4566" s="186" t="str">
        <f>IFERROR(__xludf.DUMMYFUNCTION("""COMPUTED_VALUE"""),"PI7493Y")</f>
        <v>PI7493Y</v>
      </c>
      <c r="C4566" s="186" t="str">
        <f>IFERROR(__xludf.DUMMYFUNCTION("""COMPUTED_VALUE"""),"CARTEIRA ALCA MAO CLARA")</f>
        <v>CARTEIRA ALCA MAO CLARA</v>
      </c>
      <c r="D4566" s="186" t="str">
        <f>IFERROR(__xludf.DUMMYFUNCTION("""COMPUTED_VALUE"""),"FALSO")</f>
        <v>FALSO</v>
      </c>
    </row>
    <row r="4567">
      <c r="B4567" s="186" t="str">
        <f>IFERROR(__xludf.DUMMYFUNCTION("""COMPUTED_VALUE"""),"PI7495Y")</f>
        <v>PI7495Y</v>
      </c>
      <c r="C4567" s="186" t="str">
        <f>IFERROR(__xludf.DUMMYFUNCTION("""COMPUTED_VALUE"""),"CARTEIRA ALCA MAO MARINHO")</f>
        <v>CARTEIRA ALCA MAO MARINHO</v>
      </c>
      <c r="D4567" s="186" t="str">
        <f>IFERROR(__xludf.DUMMYFUNCTION("""COMPUTED_VALUE"""),"FALSO")</f>
        <v>FALSO</v>
      </c>
    </row>
    <row r="4568">
      <c r="B4568" s="186" t="str">
        <f>IFERROR(__xludf.DUMMYFUNCTION("""COMPUTED_VALUE"""),"PI5789Y")</f>
        <v>PI5789Y</v>
      </c>
      <c r="C4568" s="186" t="str">
        <f>IFERROR(__xludf.DUMMYFUNCTION("""COMPUTED_VALUE"""),"KIT CARTEIRA HP HOGWARTS")</f>
        <v>KIT CARTEIRA HP HOGWARTS</v>
      </c>
      <c r="D4568" s="186" t="str">
        <f>IFERROR(__xludf.DUMMYFUNCTION("""COMPUTED_VALUE"""),"FALSO")</f>
        <v>FALSO</v>
      </c>
    </row>
    <row r="4569">
      <c r="B4569" s="186" t="str">
        <f>IFERROR(__xludf.DUMMYFUNCTION("""COMPUTED_VALUE"""),"PI5019Y")</f>
        <v>PI5019Y</v>
      </c>
      <c r="C4569" s="186" t="str">
        <f>IFERROR(__xludf.DUMMYFUNCTION("""COMPUTED_VALUE"""),"CARTEIRA SLIM SALDO DO ROLE")</f>
        <v>CARTEIRA SLIM SALDO DO ROLE</v>
      </c>
      <c r="D4569" s="186" t="str">
        <f>IFERROR(__xludf.DUMMYFUNCTION("""COMPUTED_VALUE"""),"FALSO")</f>
        <v>FALSO</v>
      </c>
    </row>
    <row r="4570">
      <c r="B4570" s="186" t="str">
        <f>IFERROR(__xludf.DUMMYFUNCTION("""COMPUTED_VALUE"""),"PI6479Y")</f>
        <v>PI6479Y</v>
      </c>
      <c r="C4570" s="186" t="str">
        <f>IFERROR(__xludf.DUMMYFUNCTION("""COMPUTED_VALUE"""),"CARTEIRA ALCA LUREX")</f>
        <v>CARTEIRA ALCA LUREX</v>
      </c>
      <c r="D4570" s="186" t="str">
        <f>IFERROR(__xludf.DUMMYFUNCTION("""COMPUTED_VALUE"""),"FALSO")</f>
        <v>FALSO</v>
      </c>
    </row>
    <row r="4571">
      <c r="B4571" s="186" t="str">
        <f>IFERROR(__xludf.DUMMYFUNCTION("""COMPUTED_VALUE"""),"PI4165Y")</f>
        <v>PI4165Y</v>
      </c>
      <c r="C4571" s="186" t="str">
        <f>IFERROR(__xludf.DUMMYFUNCTION("""COMPUTED_VALUE"""),"CARTEIRA COM MOSQUETAO PRETA")</f>
        <v>CARTEIRA COM MOSQUETAO PRETA</v>
      </c>
      <c r="D4571" s="186" t="str">
        <f>IFERROR(__xludf.DUMMYFUNCTION("""COMPUTED_VALUE"""),"FALSO")</f>
        <v>FALSO</v>
      </c>
    </row>
    <row r="4572">
      <c r="B4572" s="186" t="str">
        <f>IFERROR(__xludf.DUMMYFUNCTION("""COMPUTED_VALUE"""),"PI5674Y")</f>
        <v>PI5674Y</v>
      </c>
      <c r="C4572" s="186" t="str">
        <f>IFERROR(__xludf.DUMMYFUNCTION("""COMPUTED_VALUE"""),"CARTEIRA DIVISORIAS ROSA E AZUL CLARO")</f>
        <v>CARTEIRA DIVISORIAS ROSA E AZUL CLARO</v>
      </c>
      <c r="D4572" s="186" t="str">
        <f>IFERROR(__xludf.DUMMYFUNCTION("""COMPUTED_VALUE"""),"FALSO")</f>
        <v>FALSO</v>
      </c>
    </row>
    <row r="4573">
      <c r="B4573" s="186" t="str">
        <f>IFERROR(__xludf.DUMMYFUNCTION("""COMPUTED_VALUE"""),"PI5998Y")</f>
        <v>PI5998Y</v>
      </c>
      <c r="C4573" s="186" t="str">
        <f>IFERROR(__xludf.DUMMYFUNCTION("""COMPUTED_VALUE"""),"MOCHILA LAPTOP WATER RESISTANT PRETA")</f>
        <v>MOCHILA LAPTOP WATER RESISTANT PRETA</v>
      </c>
      <c r="D4573" s="186" t="str">
        <f>IFERROR(__xludf.DUMMYFUNCTION("""COMPUTED_VALUE"""),"FALSO")</f>
        <v>FALSO</v>
      </c>
    </row>
    <row r="4574">
      <c r="B4574" s="186" t="str">
        <f>IFERROR(__xludf.DUMMYFUNCTION("""COMPUTED_VALUE"""),"PI5998Y")</f>
        <v>PI5998Y</v>
      </c>
      <c r="C4574" s="186" t="str">
        <f>IFERROR(__xludf.DUMMYFUNCTION("""COMPUTED_VALUE"""),"MOCHILA LAPTOP WATER RESISTANT PRETA")</f>
        <v>MOCHILA LAPTOP WATER RESISTANT PRETA</v>
      </c>
      <c r="D4574" s="186" t="str">
        <f>IFERROR(__xludf.DUMMYFUNCTION("""COMPUTED_VALUE"""),"FALSO")</f>
        <v>FALSO</v>
      </c>
    </row>
    <row r="4575">
      <c r="B4575" s="186" t="str">
        <f>IFERROR(__xludf.DUMMYFUNCTION("""COMPUTED_VALUE"""),"PI5998Y")</f>
        <v>PI5998Y</v>
      </c>
      <c r="C4575" s="186" t="str">
        <f>IFERROR(__xludf.DUMMYFUNCTION("""COMPUTED_VALUE"""),"MOCHILA LAPTOP WATER RESISTANT PRETA")</f>
        <v>MOCHILA LAPTOP WATER RESISTANT PRETA</v>
      </c>
      <c r="D4575" s="186" t="str">
        <f>IFERROR(__xludf.DUMMYFUNCTION("""COMPUTED_VALUE"""),"FALSO")</f>
        <v>FALSO</v>
      </c>
    </row>
    <row r="4576">
      <c r="B4576" s="186" t="str">
        <f>IFERROR(__xludf.DUMMYFUNCTION("""COMPUTED_VALUE"""),"AC2056Y")</f>
        <v>AC2056Y</v>
      </c>
      <c r="C4576" s="186" t="str">
        <f>IFERROR(__xludf.DUMMYFUNCTION("""COMPUTED_VALUE"""),"MOCHILAO AMARELO")</f>
        <v>MOCHILAO AMARELO</v>
      </c>
      <c r="D4576" s="186" t="str">
        <f>IFERROR(__xludf.DUMMYFUNCTION("""COMPUTED_VALUE"""),"FALSO")</f>
        <v>FALSO</v>
      </c>
    </row>
    <row r="4577">
      <c r="B4577" s="186"/>
      <c r="C4577" s="186"/>
      <c r="D4577" s="186"/>
    </row>
    <row r="4578">
      <c r="B4578" s="186"/>
      <c r="C4578" s="186"/>
      <c r="D4578" s="186"/>
    </row>
    <row r="4579">
      <c r="B4579" s="186"/>
      <c r="C4579" s="186"/>
      <c r="D4579" s="186"/>
    </row>
    <row r="4580">
      <c r="B4580" s="186"/>
      <c r="C4580" s="186"/>
      <c r="D4580" s="186"/>
    </row>
    <row r="4581">
      <c r="B4581" s="186"/>
      <c r="C4581" s="186"/>
      <c r="D4581" s="186"/>
    </row>
    <row r="4582">
      <c r="B4582" s="186"/>
      <c r="C4582" s="186"/>
      <c r="D4582" s="186"/>
    </row>
    <row r="4583">
      <c r="B4583" s="186"/>
      <c r="C4583" s="186"/>
      <c r="D4583" s="186"/>
    </row>
    <row r="4584">
      <c r="B4584" s="186"/>
      <c r="C4584" s="186"/>
      <c r="D4584" s="186"/>
    </row>
    <row r="4585">
      <c r="B4585" s="186"/>
      <c r="C4585" s="186"/>
      <c r="D4585" s="186"/>
    </row>
    <row r="4586">
      <c r="B4586" s="186"/>
      <c r="C4586" s="186"/>
      <c r="D4586" s="186"/>
    </row>
    <row r="4587">
      <c r="B4587" s="186"/>
      <c r="C4587" s="186"/>
      <c r="D4587" s="186"/>
    </row>
    <row r="4588">
      <c r="B4588" s="186"/>
      <c r="C4588" s="186"/>
      <c r="D4588" s="186"/>
    </row>
    <row r="4589">
      <c r="B4589" s="186"/>
      <c r="C4589" s="186"/>
      <c r="D4589" s="186"/>
    </row>
    <row r="4590">
      <c r="B4590" s="186"/>
      <c r="C4590" s="186"/>
      <c r="D4590" s="186"/>
    </row>
    <row r="4591">
      <c r="B4591" s="186"/>
      <c r="C4591" s="186"/>
      <c r="D4591" s="186"/>
    </row>
    <row r="4592">
      <c r="B4592" s="186"/>
      <c r="C4592" s="186"/>
      <c r="D4592" s="186"/>
    </row>
    <row r="4593">
      <c r="B4593" s="186"/>
      <c r="C4593" s="186"/>
      <c r="D4593" s="186"/>
    </row>
    <row r="4594">
      <c r="B4594" s="186"/>
      <c r="C4594" s="186"/>
      <c r="D4594" s="186"/>
    </row>
    <row r="4595">
      <c r="B4595" s="186"/>
      <c r="C4595" s="186"/>
      <c r="D4595" s="186"/>
    </row>
    <row r="4596">
      <c r="B4596" s="186"/>
      <c r="C4596" s="186"/>
      <c r="D4596" s="186"/>
    </row>
    <row r="4597">
      <c r="B4597" s="186"/>
      <c r="C4597" s="186"/>
      <c r="D4597" s="186"/>
    </row>
    <row r="4598">
      <c r="B4598" s="186"/>
      <c r="C4598" s="186"/>
      <c r="D4598" s="186"/>
    </row>
    <row r="4599">
      <c r="B4599" s="186"/>
      <c r="C4599" s="186"/>
      <c r="D4599" s="186"/>
    </row>
    <row r="4600">
      <c r="B4600" s="186"/>
      <c r="C4600" s="186"/>
      <c r="D4600" s="186"/>
    </row>
    <row r="4601">
      <c r="B4601" s="186"/>
      <c r="C4601" s="186"/>
      <c r="D4601" s="186"/>
    </row>
    <row r="4602">
      <c r="B4602" s="186"/>
      <c r="C4602" s="186"/>
      <c r="D4602" s="186"/>
    </row>
    <row r="4603">
      <c r="B4603" s="186"/>
      <c r="C4603" s="186"/>
      <c r="D4603" s="186"/>
    </row>
    <row r="4604">
      <c r="B4604" s="186"/>
      <c r="C4604" s="186"/>
      <c r="D4604" s="186"/>
    </row>
    <row r="4605">
      <c r="B4605" s="186"/>
      <c r="C4605" s="186"/>
      <c r="D4605" s="186"/>
    </row>
    <row r="4606">
      <c r="B4606" s="186"/>
      <c r="C4606" s="186"/>
      <c r="D4606" s="186"/>
    </row>
    <row r="4607">
      <c r="B4607" s="186"/>
      <c r="C4607" s="186"/>
      <c r="D4607" s="186"/>
    </row>
    <row r="4608">
      <c r="B4608" s="186"/>
      <c r="C4608" s="186"/>
      <c r="D4608" s="186"/>
    </row>
    <row r="4609">
      <c r="B4609" s="186"/>
      <c r="C4609" s="186"/>
      <c r="D4609" s="186"/>
    </row>
    <row r="4610">
      <c r="B4610" s="186"/>
      <c r="C4610" s="186"/>
      <c r="D4610" s="186"/>
    </row>
    <row r="4611">
      <c r="B4611" s="186"/>
      <c r="C4611" s="186"/>
      <c r="D4611" s="186"/>
    </row>
    <row r="4612">
      <c r="B4612" s="186"/>
      <c r="C4612" s="186"/>
      <c r="D4612" s="186"/>
    </row>
    <row r="4613">
      <c r="B4613" s="186"/>
      <c r="C4613" s="186"/>
      <c r="D4613" s="186"/>
    </row>
    <row r="4614">
      <c r="B4614" s="186"/>
      <c r="C4614" s="186"/>
      <c r="D4614" s="186"/>
    </row>
    <row r="4615">
      <c r="B4615" s="186"/>
      <c r="C4615" s="186"/>
      <c r="D4615" s="186"/>
    </row>
    <row r="4616">
      <c r="B4616" s="186"/>
      <c r="C4616" s="186"/>
      <c r="D4616" s="186"/>
    </row>
    <row r="4617">
      <c r="B4617" s="186"/>
      <c r="C4617" s="186"/>
      <c r="D4617" s="186"/>
    </row>
    <row r="4618">
      <c r="B4618" s="186"/>
      <c r="C4618" s="186"/>
      <c r="D4618" s="186"/>
    </row>
    <row r="4619">
      <c r="B4619" s="186"/>
      <c r="C4619" s="186"/>
      <c r="D4619" s="186"/>
    </row>
    <row r="4620">
      <c r="B4620" s="186"/>
      <c r="C4620" s="186"/>
      <c r="D4620" s="186"/>
    </row>
    <row r="4621">
      <c r="B4621" s="186"/>
      <c r="C4621" s="186"/>
      <c r="D4621" s="186"/>
    </row>
    <row r="4622">
      <c r="B4622" s="186"/>
      <c r="C4622" s="186"/>
      <c r="D4622" s="186"/>
    </row>
    <row r="4623">
      <c r="B4623" s="186"/>
      <c r="C4623" s="186"/>
      <c r="D4623" s="186"/>
    </row>
    <row r="4624">
      <c r="B4624" s="186"/>
      <c r="C4624" s="186"/>
      <c r="D4624" s="186"/>
    </row>
    <row r="4625">
      <c r="B4625" s="186"/>
      <c r="C4625" s="186"/>
      <c r="D4625" s="186"/>
    </row>
    <row r="4626">
      <c r="B4626" s="186"/>
      <c r="C4626" s="186"/>
      <c r="D4626" s="186"/>
    </row>
    <row r="4627">
      <c r="B4627" s="186"/>
      <c r="C4627" s="186"/>
      <c r="D4627" s="186"/>
    </row>
    <row r="4628">
      <c r="B4628" s="186"/>
      <c r="C4628" s="186"/>
      <c r="D4628" s="186"/>
    </row>
    <row r="4629">
      <c r="B4629" s="186"/>
      <c r="C4629" s="186"/>
      <c r="D4629" s="186"/>
    </row>
    <row r="4630">
      <c r="B4630" s="186"/>
      <c r="C4630" s="186"/>
      <c r="D4630" s="186"/>
    </row>
    <row r="4631">
      <c r="B4631" s="186"/>
      <c r="C4631" s="186"/>
      <c r="D4631" s="186"/>
    </row>
    <row r="4632">
      <c r="B4632" s="186"/>
      <c r="C4632" s="186"/>
      <c r="D4632" s="186"/>
    </row>
    <row r="4633">
      <c r="B4633" s="186"/>
      <c r="C4633" s="186"/>
      <c r="D4633" s="186"/>
    </row>
    <row r="4634">
      <c r="B4634" s="186"/>
      <c r="C4634" s="186"/>
      <c r="D4634" s="186"/>
    </row>
    <row r="4635">
      <c r="B4635" s="186"/>
      <c r="C4635" s="186"/>
      <c r="D4635" s="186"/>
    </row>
    <row r="4636">
      <c r="B4636" s="186"/>
      <c r="C4636" s="186"/>
      <c r="D4636" s="186"/>
    </row>
    <row r="4637">
      <c r="B4637" s="186"/>
      <c r="C4637" s="186"/>
      <c r="D4637" s="186"/>
    </row>
    <row r="4638">
      <c r="B4638" s="186"/>
      <c r="C4638" s="186"/>
      <c r="D4638" s="186"/>
    </row>
    <row r="4639">
      <c r="B4639" s="186"/>
      <c r="C4639" s="186"/>
      <c r="D4639" s="186"/>
    </row>
    <row r="4640">
      <c r="B4640" s="186"/>
      <c r="C4640" s="186"/>
      <c r="D4640" s="186"/>
    </row>
    <row r="4641">
      <c r="B4641" s="186"/>
      <c r="C4641" s="186"/>
      <c r="D4641" s="186"/>
    </row>
    <row r="4642">
      <c r="B4642" s="186"/>
      <c r="C4642" s="186"/>
      <c r="D4642" s="186"/>
    </row>
    <row r="4643">
      <c r="B4643" s="186"/>
      <c r="C4643" s="186"/>
      <c r="D4643" s="186"/>
    </row>
    <row r="4644">
      <c r="B4644" s="186"/>
      <c r="C4644" s="186"/>
      <c r="D4644" s="186"/>
    </row>
    <row r="4645">
      <c r="B4645" s="186"/>
      <c r="C4645" s="186"/>
      <c r="D4645" s="186"/>
    </row>
    <row r="4646">
      <c r="B4646" s="186"/>
      <c r="C4646" s="186"/>
      <c r="D4646" s="186"/>
    </row>
    <row r="4647">
      <c r="B4647" s="186"/>
      <c r="C4647" s="186"/>
      <c r="D4647" s="186"/>
    </row>
    <row r="4648">
      <c r="B4648" s="186"/>
      <c r="C4648" s="186"/>
      <c r="D4648" s="186"/>
    </row>
    <row r="4649">
      <c r="B4649" s="186"/>
      <c r="C4649" s="186"/>
      <c r="D4649" s="186"/>
    </row>
    <row r="4650">
      <c r="B4650" s="186"/>
      <c r="C4650" s="186"/>
      <c r="D4650" s="186"/>
    </row>
    <row r="4651">
      <c r="B4651" s="186"/>
      <c r="C4651" s="186"/>
      <c r="D4651" s="186"/>
    </row>
    <row r="4652">
      <c r="B4652" s="186"/>
      <c r="C4652" s="186"/>
      <c r="D4652" s="186"/>
    </row>
    <row r="4653">
      <c r="B4653" s="186"/>
      <c r="C4653" s="186"/>
      <c r="D4653" s="186"/>
    </row>
    <row r="4654">
      <c r="B4654" s="186"/>
      <c r="C4654" s="186"/>
      <c r="D4654" s="186"/>
    </row>
    <row r="4655">
      <c r="B4655" s="186"/>
      <c r="C4655" s="186"/>
      <c r="D4655" s="186"/>
    </row>
    <row r="4656">
      <c r="B4656" s="186"/>
      <c r="C4656" s="186"/>
      <c r="D4656" s="186"/>
    </row>
    <row r="4657">
      <c r="B4657" s="186"/>
      <c r="C4657" s="186"/>
      <c r="D4657" s="186"/>
    </row>
    <row r="4658">
      <c r="B4658" s="186"/>
      <c r="C4658" s="186"/>
      <c r="D4658" s="186"/>
    </row>
    <row r="4659">
      <c r="B4659" s="186"/>
      <c r="C4659" s="186"/>
      <c r="D4659" s="186"/>
    </row>
    <row r="4660">
      <c r="B4660" s="186"/>
      <c r="C4660" s="186"/>
      <c r="D4660" s="186"/>
    </row>
    <row r="4661">
      <c r="B4661" s="186"/>
      <c r="C4661" s="186"/>
      <c r="D4661" s="186"/>
    </row>
    <row r="4662">
      <c r="B4662" s="186"/>
      <c r="C4662" s="186"/>
      <c r="D4662" s="186"/>
    </row>
    <row r="4663">
      <c r="B4663" s="186"/>
      <c r="C4663" s="186"/>
      <c r="D4663" s="186"/>
    </row>
    <row r="4664">
      <c r="B4664" s="186"/>
      <c r="C4664" s="186"/>
      <c r="D4664" s="186"/>
    </row>
    <row r="4665">
      <c r="B4665" s="186"/>
      <c r="C4665" s="186"/>
      <c r="D4665" s="186"/>
    </row>
    <row r="4666">
      <c r="B4666" s="186"/>
      <c r="C4666" s="186"/>
      <c r="D4666" s="186"/>
    </row>
    <row r="4667">
      <c r="B4667" s="186"/>
      <c r="C4667" s="186"/>
      <c r="D4667" s="186"/>
    </row>
    <row r="4668">
      <c r="B4668" s="186"/>
      <c r="C4668" s="186"/>
      <c r="D4668" s="186"/>
    </row>
    <row r="4669">
      <c r="B4669" s="186"/>
      <c r="C4669" s="186"/>
      <c r="D4669" s="186"/>
    </row>
    <row r="4670">
      <c r="B4670" s="186"/>
      <c r="C4670" s="186"/>
      <c r="D4670" s="186"/>
    </row>
    <row r="4671">
      <c r="B4671" s="186"/>
      <c r="C4671" s="186"/>
      <c r="D4671" s="186"/>
    </row>
    <row r="4672">
      <c r="B4672" s="186"/>
      <c r="C4672" s="186"/>
      <c r="D4672" s="186"/>
    </row>
    <row r="4673">
      <c r="B4673" s="186"/>
      <c r="C4673" s="186"/>
      <c r="D4673" s="186"/>
    </row>
    <row r="4674">
      <c r="B4674" s="186"/>
      <c r="C4674" s="186"/>
      <c r="D4674" s="186"/>
    </row>
    <row r="4675">
      <c r="B4675" s="186"/>
      <c r="C4675" s="186"/>
      <c r="D4675" s="186"/>
    </row>
    <row r="4676">
      <c r="B4676" s="186"/>
      <c r="C4676" s="186"/>
      <c r="D4676" s="186"/>
    </row>
    <row r="4677">
      <c r="B4677" s="186"/>
      <c r="C4677" s="186"/>
      <c r="D4677" s="186"/>
    </row>
    <row r="4678">
      <c r="B4678" s="186"/>
      <c r="C4678" s="186"/>
      <c r="D4678" s="186"/>
    </row>
    <row r="4679">
      <c r="B4679" s="186"/>
      <c r="C4679" s="186"/>
      <c r="D4679" s="186"/>
    </row>
    <row r="4680">
      <c r="B4680" s="186"/>
      <c r="C4680" s="186"/>
      <c r="D4680" s="186"/>
    </row>
    <row r="4681">
      <c r="B4681" s="186"/>
      <c r="C4681" s="186"/>
      <c r="D4681" s="186"/>
    </row>
    <row r="4682">
      <c r="B4682" s="186"/>
      <c r="C4682" s="186"/>
      <c r="D4682" s="186"/>
    </row>
    <row r="4683">
      <c r="B4683" s="186"/>
      <c r="C4683" s="186"/>
      <c r="D4683" s="186"/>
    </row>
    <row r="4684">
      <c r="B4684" s="186"/>
      <c r="C4684" s="186"/>
      <c r="D4684" s="186"/>
    </row>
    <row r="4685">
      <c r="B4685" s="186"/>
      <c r="C4685" s="186"/>
      <c r="D4685" s="186"/>
    </row>
    <row r="4686">
      <c r="B4686" s="186"/>
      <c r="C4686" s="186"/>
      <c r="D4686" s="186"/>
    </row>
    <row r="4687">
      <c r="B4687" s="186"/>
      <c r="C4687" s="186"/>
      <c r="D4687" s="186"/>
    </row>
    <row r="4688">
      <c r="B4688" s="186"/>
      <c r="C4688" s="186"/>
      <c r="D4688" s="186"/>
    </row>
    <row r="4689">
      <c r="B4689" s="186"/>
      <c r="C4689" s="186"/>
      <c r="D4689" s="186"/>
    </row>
    <row r="4690">
      <c r="B4690" s="186"/>
      <c r="C4690" s="186"/>
      <c r="D4690" s="186"/>
    </row>
    <row r="4691">
      <c r="B4691" s="186"/>
      <c r="C4691" s="186"/>
      <c r="D4691" s="186"/>
    </row>
    <row r="4692">
      <c r="B4692" s="186"/>
      <c r="C4692" s="186"/>
      <c r="D4692" s="186"/>
    </row>
    <row r="4693">
      <c r="B4693" s="186"/>
      <c r="C4693" s="186"/>
      <c r="D4693" s="186"/>
    </row>
    <row r="4694">
      <c r="B4694" s="186"/>
      <c r="C4694" s="186"/>
      <c r="D4694" s="186"/>
    </row>
    <row r="4695">
      <c r="B4695" s="186"/>
      <c r="C4695" s="186"/>
      <c r="D4695" s="186"/>
    </row>
    <row r="4696">
      <c r="B4696" s="186"/>
      <c r="C4696" s="186"/>
      <c r="D4696" s="186"/>
    </row>
    <row r="4697">
      <c r="B4697" s="186"/>
      <c r="C4697" s="186"/>
      <c r="D4697" s="186"/>
    </row>
    <row r="4698">
      <c r="B4698" s="186"/>
      <c r="C4698" s="186"/>
      <c r="D4698" s="186"/>
    </row>
    <row r="4699">
      <c r="B4699" s="186"/>
      <c r="C4699" s="186"/>
      <c r="D4699" s="186"/>
    </row>
    <row r="4700">
      <c r="B4700" s="186"/>
      <c r="C4700" s="186"/>
      <c r="D4700" s="186"/>
    </row>
    <row r="4701">
      <c r="B4701" s="186"/>
      <c r="C4701" s="186"/>
      <c r="D4701" s="186"/>
    </row>
    <row r="4702">
      <c r="B4702" s="186"/>
      <c r="C4702" s="186"/>
      <c r="D4702" s="186"/>
    </row>
    <row r="4703">
      <c r="B4703" s="186"/>
      <c r="C4703" s="186"/>
      <c r="D4703" s="186"/>
    </row>
    <row r="4704">
      <c r="B4704" s="186"/>
      <c r="C4704" s="186"/>
      <c r="D4704" s="186"/>
    </row>
    <row r="4705">
      <c r="B4705" s="186"/>
      <c r="C4705" s="186"/>
      <c r="D4705" s="186"/>
    </row>
    <row r="4706">
      <c r="B4706" s="186"/>
      <c r="C4706" s="186"/>
      <c r="D4706" s="186"/>
    </row>
    <row r="4707">
      <c r="B4707" s="186"/>
      <c r="C4707" s="186"/>
      <c r="D4707" s="186"/>
    </row>
    <row r="4708">
      <c r="B4708" s="186"/>
      <c r="C4708" s="186"/>
      <c r="D4708" s="186"/>
    </row>
    <row r="4709">
      <c r="B4709" s="186"/>
      <c r="C4709" s="186"/>
      <c r="D4709" s="186"/>
    </row>
    <row r="4710">
      <c r="B4710" s="186"/>
      <c r="C4710" s="186"/>
      <c r="D4710" s="186"/>
    </row>
    <row r="4711">
      <c r="B4711" s="186"/>
      <c r="C4711" s="186"/>
      <c r="D4711" s="186"/>
    </row>
    <row r="4712">
      <c r="B4712" s="186"/>
      <c r="C4712" s="186"/>
      <c r="D4712" s="186"/>
    </row>
    <row r="4713">
      <c r="B4713" s="186"/>
      <c r="C4713" s="186"/>
      <c r="D4713" s="186"/>
    </row>
    <row r="4714">
      <c r="B4714" s="186"/>
      <c r="C4714" s="186"/>
      <c r="D4714" s="186"/>
    </row>
    <row r="4715">
      <c r="B4715" s="186"/>
      <c r="C4715" s="186"/>
      <c r="D4715" s="186"/>
    </row>
    <row r="4716">
      <c r="B4716" s="186"/>
      <c r="C4716" s="186"/>
      <c r="D4716" s="186"/>
    </row>
    <row r="4717">
      <c r="B4717" s="186"/>
      <c r="C4717" s="186"/>
      <c r="D4717" s="186"/>
    </row>
    <row r="4718">
      <c r="B4718" s="186"/>
      <c r="C4718" s="186"/>
      <c r="D4718" s="186"/>
    </row>
    <row r="4719">
      <c r="B4719" s="186"/>
      <c r="C4719" s="186"/>
      <c r="D4719" s="186"/>
    </row>
    <row r="4720">
      <c r="B4720" s="186"/>
      <c r="C4720" s="186"/>
      <c r="D4720" s="186"/>
    </row>
    <row r="4721">
      <c r="B4721" s="186"/>
      <c r="C4721" s="186"/>
      <c r="D4721" s="186"/>
    </row>
    <row r="4722">
      <c r="B4722" s="186"/>
      <c r="C4722" s="186"/>
      <c r="D4722" s="186"/>
    </row>
    <row r="4723">
      <c r="B4723" s="186"/>
      <c r="C4723" s="186"/>
      <c r="D4723" s="186"/>
    </row>
    <row r="4724">
      <c r="B4724" s="186"/>
      <c r="C4724" s="186"/>
      <c r="D4724" s="186"/>
    </row>
    <row r="4725">
      <c r="B4725" s="186"/>
      <c r="C4725" s="186"/>
      <c r="D4725" s="186"/>
    </row>
    <row r="4726">
      <c r="B4726" s="186"/>
      <c r="C4726" s="186"/>
      <c r="D4726" s="186"/>
    </row>
    <row r="4727">
      <c r="B4727" s="186"/>
      <c r="C4727" s="186"/>
      <c r="D4727" s="186"/>
    </row>
    <row r="4728">
      <c r="B4728" s="186"/>
      <c r="C4728" s="186"/>
      <c r="D4728" s="186"/>
    </row>
    <row r="4729">
      <c r="B4729" s="186"/>
      <c r="C4729" s="186"/>
      <c r="D4729" s="186"/>
    </row>
    <row r="4730">
      <c r="B4730" s="186"/>
      <c r="C4730" s="186"/>
      <c r="D4730" s="186"/>
    </row>
    <row r="4731">
      <c r="B4731" s="186"/>
      <c r="C4731" s="186"/>
      <c r="D4731" s="186"/>
    </row>
    <row r="4732">
      <c r="B4732" s="186"/>
      <c r="C4732" s="186"/>
      <c r="D4732" s="186"/>
    </row>
    <row r="4733">
      <c r="B4733" s="186"/>
      <c r="C4733" s="186"/>
      <c r="D4733" s="186"/>
    </row>
    <row r="4734">
      <c r="B4734" s="186"/>
      <c r="C4734" s="186"/>
      <c r="D4734" s="186"/>
    </row>
    <row r="4735">
      <c r="B4735" s="186"/>
      <c r="C4735" s="186"/>
      <c r="D4735" s="186"/>
    </row>
    <row r="4736">
      <c r="B4736" s="186"/>
      <c r="C4736" s="186"/>
      <c r="D4736" s="186"/>
    </row>
    <row r="4737">
      <c r="B4737" s="186"/>
      <c r="C4737" s="186"/>
      <c r="D4737" s="186"/>
    </row>
    <row r="4738">
      <c r="B4738" s="186"/>
      <c r="C4738" s="186"/>
      <c r="D4738" s="186"/>
    </row>
    <row r="4739">
      <c r="B4739" s="186"/>
      <c r="C4739" s="186"/>
      <c r="D4739" s="186"/>
    </row>
    <row r="4740">
      <c r="B4740" s="186"/>
      <c r="C4740" s="186"/>
      <c r="D4740" s="186"/>
    </row>
    <row r="4741">
      <c r="B4741" s="186"/>
      <c r="C4741" s="186"/>
      <c r="D4741" s="186"/>
    </row>
    <row r="4742">
      <c r="B4742" s="186"/>
      <c r="C4742" s="186"/>
      <c r="D4742" s="186"/>
    </row>
    <row r="4743">
      <c r="B4743" s="186"/>
      <c r="C4743" s="186"/>
      <c r="D4743" s="186"/>
    </row>
    <row r="4744">
      <c r="B4744" s="186"/>
      <c r="C4744" s="186"/>
      <c r="D4744" s="186"/>
    </row>
    <row r="4745">
      <c r="B4745" s="186"/>
      <c r="C4745" s="186"/>
      <c r="D4745" s="186"/>
    </row>
    <row r="4746">
      <c r="B4746" s="186"/>
      <c r="C4746" s="186"/>
      <c r="D4746" s="186"/>
    </row>
    <row r="4747">
      <c r="B4747" s="186"/>
      <c r="C4747" s="186"/>
      <c r="D4747" s="186"/>
    </row>
    <row r="4748">
      <c r="B4748" s="186"/>
      <c r="C4748" s="186"/>
      <c r="D4748" s="186"/>
    </row>
    <row r="4749">
      <c r="B4749" s="186"/>
      <c r="C4749" s="186"/>
      <c r="D4749" s="186"/>
    </row>
    <row r="4750">
      <c r="B4750" s="186"/>
      <c r="C4750" s="186"/>
      <c r="D4750" s="186"/>
    </row>
    <row r="4751">
      <c r="B4751" s="186"/>
      <c r="C4751" s="186"/>
      <c r="D4751" s="186"/>
    </row>
    <row r="4752">
      <c r="B4752" s="186"/>
      <c r="C4752" s="186"/>
      <c r="D4752" s="186"/>
    </row>
    <row r="4753">
      <c r="B4753" s="186"/>
      <c r="C4753" s="186"/>
      <c r="D4753" s="186"/>
    </row>
    <row r="4754">
      <c r="B4754" s="186"/>
      <c r="C4754" s="186"/>
      <c r="D4754" s="186"/>
    </row>
    <row r="4755">
      <c r="B4755" s="186"/>
      <c r="C4755" s="186"/>
      <c r="D4755" s="186"/>
    </row>
    <row r="4756">
      <c r="B4756" s="186"/>
      <c r="C4756" s="186"/>
      <c r="D4756" s="186"/>
    </row>
    <row r="4757">
      <c r="B4757" s="186"/>
      <c r="C4757" s="186"/>
      <c r="D4757" s="186"/>
    </row>
    <row r="4758">
      <c r="B4758" s="186"/>
      <c r="C4758" s="186"/>
      <c r="D4758" s="186"/>
    </row>
    <row r="4759">
      <c r="B4759" s="186"/>
      <c r="C4759" s="186"/>
      <c r="D4759" s="186"/>
    </row>
    <row r="4760">
      <c r="B4760" s="186"/>
      <c r="C4760" s="186"/>
      <c r="D4760" s="186"/>
    </row>
    <row r="4761">
      <c r="B4761" s="186"/>
      <c r="C4761" s="186"/>
      <c r="D4761" s="186"/>
    </row>
    <row r="4762">
      <c r="B4762" s="186"/>
      <c r="C4762" s="186"/>
      <c r="D4762" s="186"/>
    </row>
    <row r="4763">
      <c r="B4763" s="186"/>
      <c r="C4763" s="186"/>
      <c r="D4763" s="186"/>
    </row>
    <row r="4764">
      <c r="B4764" s="186"/>
      <c r="C4764" s="186"/>
      <c r="D4764" s="186"/>
    </row>
    <row r="4765">
      <c r="B4765" s="186"/>
      <c r="C4765" s="186"/>
      <c r="D4765" s="186"/>
    </row>
    <row r="4766">
      <c r="B4766" s="186"/>
      <c r="C4766" s="186"/>
      <c r="D4766" s="186"/>
    </row>
    <row r="4767">
      <c r="B4767" s="186"/>
      <c r="C4767" s="186"/>
      <c r="D4767" s="186"/>
    </row>
    <row r="4768">
      <c r="B4768" s="186"/>
      <c r="C4768" s="186"/>
      <c r="D4768" s="186"/>
    </row>
    <row r="4769">
      <c r="B4769" s="186"/>
      <c r="C4769" s="186"/>
      <c r="D4769" s="186"/>
    </row>
    <row r="4770">
      <c r="B4770" s="186"/>
      <c r="C4770" s="186"/>
      <c r="D4770" s="186"/>
    </row>
    <row r="4771">
      <c r="B4771" s="186"/>
      <c r="C4771" s="186"/>
      <c r="D4771" s="186"/>
    </row>
    <row r="4772">
      <c r="B4772" s="186"/>
      <c r="C4772" s="186"/>
      <c r="D4772" s="186"/>
    </row>
    <row r="4773">
      <c r="B4773" s="186"/>
      <c r="C4773" s="186"/>
      <c r="D4773" s="186"/>
    </row>
    <row r="4774">
      <c r="B4774" s="186"/>
      <c r="C4774" s="186"/>
      <c r="D4774" s="186"/>
    </row>
    <row r="4775">
      <c r="B4775" s="186"/>
      <c r="C4775" s="186"/>
      <c r="D4775" s="186"/>
    </row>
    <row r="4776">
      <c r="B4776" s="186"/>
      <c r="C4776" s="186"/>
      <c r="D4776" s="186"/>
    </row>
    <row r="4777">
      <c r="B4777" s="186"/>
      <c r="C4777" s="186"/>
      <c r="D4777" s="186"/>
    </row>
    <row r="4778">
      <c r="B4778" s="186"/>
      <c r="C4778" s="186"/>
      <c r="D4778" s="186"/>
    </row>
    <row r="4779">
      <c r="B4779" s="186"/>
      <c r="C4779" s="186"/>
      <c r="D4779" s="186"/>
    </row>
    <row r="4780">
      <c r="B4780" s="186"/>
      <c r="C4780" s="186"/>
      <c r="D4780" s="186"/>
    </row>
    <row r="4781">
      <c r="B4781" s="186"/>
      <c r="C4781" s="186"/>
      <c r="D4781" s="186"/>
    </row>
    <row r="4782">
      <c r="B4782" s="186"/>
      <c r="C4782" s="186"/>
      <c r="D4782" s="186"/>
    </row>
    <row r="4783">
      <c r="B4783" s="186"/>
      <c r="C4783" s="186"/>
      <c r="D4783" s="18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3" max="3" width="15.0"/>
    <col customWidth="1" min="4" max="4" width="39.5"/>
    <col customWidth="1" min="5" max="5" width="7.88"/>
    <col customWidth="1" min="6" max="6" width="24.88"/>
    <col customWidth="1" min="7" max="7" width="14.13"/>
    <col customWidth="1" min="8" max="8" width="32.5"/>
  </cols>
  <sheetData>
    <row r="1">
      <c r="A1" s="359" t="s">
        <v>2431</v>
      </c>
      <c r="B1" s="360" t="s">
        <v>0</v>
      </c>
      <c r="C1" s="360" t="s">
        <v>2854</v>
      </c>
      <c r="D1" s="359" t="s">
        <v>1</v>
      </c>
      <c r="E1" s="360" t="s">
        <v>2855</v>
      </c>
      <c r="F1" s="359" t="s">
        <v>2856</v>
      </c>
      <c r="G1" s="360" t="s">
        <v>2857</v>
      </c>
      <c r="H1" s="360" t="s">
        <v>2858</v>
      </c>
      <c r="I1" s="359" t="s">
        <v>2859</v>
      </c>
      <c r="J1" s="359" t="s">
        <v>2860</v>
      </c>
      <c r="K1" s="360" t="s">
        <v>2861</v>
      </c>
      <c r="L1" s="361" t="s">
        <v>2862</v>
      </c>
      <c r="M1" s="361" t="s">
        <v>2863</v>
      </c>
      <c r="N1" s="362" t="s">
        <v>2864</v>
      </c>
      <c r="O1" s="363"/>
      <c r="P1" s="363"/>
      <c r="Q1" s="363"/>
      <c r="R1" s="363"/>
      <c r="S1" s="363"/>
      <c r="T1" s="363"/>
      <c r="U1" s="363"/>
      <c r="V1" s="363"/>
      <c r="W1" s="363"/>
      <c r="X1" s="363"/>
      <c r="Y1" s="363"/>
      <c r="Z1" s="363"/>
      <c r="AA1" s="363"/>
    </row>
    <row r="2">
      <c r="A2" s="364" t="s">
        <v>2865</v>
      </c>
      <c r="B2" s="365" t="s">
        <v>2866</v>
      </c>
      <c r="C2" s="366"/>
      <c r="D2" s="366" t="s">
        <v>2867</v>
      </c>
      <c r="E2" s="365">
        <v>5900.0</v>
      </c>
      <c r="F2" s="367" t="s">
        <v>2868</v>
      </c>
      <c r="G2" s="368" t="s">
        <v>2869</v>
      </c>
      <c r="H2" s="366" t="s">
        <v>2870</v>
      </c>
      <c r="I2" s="367"/>
      <c r="J2" s="369" t="s">
        <v>264</v>
      </c>
      <c r="K2" s="369"/>
      <c r="L2" s="370"/>
      <c r="M2" s="370"/>
      <c r="N2" s="370"/>
      <c r="O2" s="363"/>
      <c r="P2" s="363"/>
      <c r="Q2" s="363"/>
      <c r="R2" s="363"/>
      <c r="S2" s="363"/>
      <c r="T2" s="363"/>
      <c r="U2" s="363"/>
      <c r="V2" s="363"/>
      <c r="W2" s="363"/>
      <c r="X2" s="363"/>
      <c r="Y2" s="363"/>
      <c r="Z2" s="363"/>
      <c r="AA2" s="363"/>
    </row>
    <row r="3">
      <c r="A3" s="177"/>
      <c r="B3" s="371" t="s">
        <v>2871</v>
      </c>
      <c r="C3" s="367"/>
      <c r="D3" s="367" t="s">
        <v>2872</v>
      </c>
      <c r="E3" s="371">
        <v>1200.0</v>
      </c>
      <c r="F3" s="367" t="s">
        <v>2868</v>
      </c>
      <c r="G3" s="177"/>
      <c r="H3" s="367" t="s">
        <v>2870</v>
      </c>
      <c r="I3" s="367"/>
      <c r="J3" s="369" t="s">
        <v>264</v>
      </c>
      <c r="K3" s="369"/>
      <c r="L3" s="370"/>
      <c r="M3" s="370"/>
      <c r="N3" s="370"/>
      <c r="O3" s="363"/>
      <c r="P3" s="363"/>
      <c r="Q3" s="363"/>
      <c r="R3" s="363"/>
      <c r="S3" s="363"/>
      <c r="T3" s="363"/>
      <c r="U3" s="363"/>
      <c r="V3" s="363"/>
      <c r="W3" s="363"/>
      <c r="X3" s="363"/>
      <c r="Y3" s="363"/>
      <c r="Z3" s="363"/>
      <c r="AA3" s="363"/>
    </row>
    <row r="4">
      <c r="A4" s="177"/>
      <c r="B4" s="371" t="s">
        <v>2873</v>
      </c>
      <c r="C4" s="367"/>
      <c r="D4" s="367" t="s">
        <v>2874</v>
      </c>
      <c r="E4" s="371">
        <v>200.0</v>
      </c>
      <c r="F4" s="367" t="s">
        <v>2868</v>
      </c>
      <c r="G4" s="177"/>
      <c r="H4" s="367" t="s">
        <v>2870</v>
      </c>
      <c r="I4" s="367"/>
      <c r="J4" s="369" t="s">
        <v>264</v>
      </c>
      <c r="K4" s="369"/>
      <c r="L4" s="370"/>
      <c r="M4" s="370"/>
      <c r="N4" s="370"/>
      <c r="O4" s="363"/>
      <c r="P4" s="363"/>
      <c r="Q4" s="363"/>
      <c r="R4" s="363"/>
      <c r="S4" s="363"/>
      <c r="T4" s="363"/>
      <c r="U4" s="363"/>
      <c r="V4" s="363"/>
      <c r="W4" s="363"/>
      <c r="X4" s="363"/>
      <c r="Y4" s="363"/>
      <c r="Z4" s="363"/>
      <c r="AA4" s="363"/>
    </row>
    <row r="5">
      <c r="A5" s="177"/>
      <c r="B5" s="371" t="s">
        <v>2875</v>
      </c>
      <c r="C5" s="367"/>
      <c r="D5" s="367" t="s">
        <v>2876</v>
      </c>
      <c r="E5" s="371">
        <v>200.0</v>
      </c>
      <c r="F5" s="367" t="s">
        <v>2868</v>
      </c>
      <c r="G5" s="177"/>
      <c r="H5" s="367" t="s">
        <v>2870</v>
      </c>
      <c r="I5" s="367"/>
      <c r="J5" s="369" t="s">
        <v>264</v>
      </c>
      <c r="K5" s="369"/>
      <c r="L5" s="370"/>
      <c r="M5" s="370"/>
      <c r="N5" s="370"/>
      <c r="O5" s="363"/>
      <c r="P5" s="363"/>
      <c r="Q5" s="363"/>
      <c r="R5" s="363"/>
      <c r="S5" s="363"/>
      <c r="T5" s="363"/>
      <c r="U5" s="363"/>
      <c r="V5" s="363"/>
      <c r="W5" s="363"/>
      <c r="X5" s="363"/>
      <c r="Y5" s="363"/>
      <c r="Z5" s="363"/>
      <c r="AA5" s="363"/>
    </row>
    <row r="6">
      <c r="A6" s="177"/>
      <c r="B6" s="371" t="s">
        <v>2877</v>
      </c>
      <c r="C6" s="367"/>
      <c r="D6" s="367" t="s">
        <v>2878</v>
      </c>
      <c r="E6" s="371">
        <v>200.0</v>
      </c>
      <c r="F6" s="367" t="s">
        <v>2868</v>
      </c>
      <c r="G6" s="177"/>
      <c r="H6" s="367" t="s">
        <v>2870</v>
      </c>
      <c r="I6" s="367"/>
      <c r="J6" s="369" t="s">
        <v>264</v>
      </c>
      <c r="K6" s="369"/>
      <c r="L6" s="370"/>
      <c r="M6" s="370"/>
      <c r="N6" s="370"/>
      <c r="O6" s="363"/>
      <c r="P6" s="363"/>
      <c r="Q6" s="363"/>
      <c r="R6" s="363"/>
      <c r="S6" s="363"/>
      <c r="T6" s="363"/>
      <c r="U6" s="363"/>
      <c r="V6" s="363"/>
      <c r="W6" s="363"/>
      <c r="X6" s="363"/>
      <c r="Y6" s="363"/>
      <c r="Z6" s="363"/>
      <c r="AA6" s="363"/>
    </row>
    <row r="7">
      <c r="A7" s="177"/>
      <c r="B7" s="371" t="s">
        <v>2879</v>
      </c>
      <c r="C7" s="367"/>
      <c r="D7" s="367" t="s">
        <v>2880</v>
      </c>
      <c r="E7" s="371">
        <v>200.0</v>
      </c>
      <c r="F7" s="367" t="s">
        <v>2868</v>
      </c>
      <c r="G7" s="177"/>
      <c r="H7" s="367" t="s">
        <v>2870</v>
      </c>
      <c r="I7" s="367"/>
      <c r="J7" s="369" t="s">
        <v>264</v>
      </c>
      <c r="K7" s="369"/>
      <c r="L7" s="370"/>
      <c r="M7" s="370"/>
      <c r="N7" s="370"/>
      <c r="O7" s="363"/>
      <c r="P7" s="363"/>
      <c r="Q7" s="363"/>
      <c r="R7" s="363"/>
      <c r="S7" s="363"/>
      <c r="T7" s="363"/>
      <c r="U7" s="363"/>
      <c r="V7" s="363"/>
      <c r="W7" s="363"/>
      <c r="X7" s="363"/>
      <c r="Y7" s="363"/>
      <c r="Z7" s="363"/>
      <c r="AA7" s="363"/>
    </row>
    <row r="8">
      <c r="A8" s="177"/>
      <c r="B8" s="371" t="s">
        <v>2881</v>
      </c>
      <c r="C8" s="367"/>
      <c r="D8" s="367" t="s">
        <v>2882</v>
      </c>
      <c r="E8" s="371">
        <v>400.0</v>
      </c>
      <c r="F8" s="367" t="s">
        <v>2868</v>
      </c>
      <c r="G8" s="177"/>
      <c r="H8" s="367" t="s">
        <v>2870</v>
      </c>
      <c r="I8" s="367"/>
      <c r="J8" s="369" t="s">
        <v>264</v>
      </c>
      <c r="K8" s="369"/>
      <c r="L8" s="370"/>
      <c r="M8" s="370"/>
      <c r="N8" s="370"/>
      <c r="O8" s="363"/>
      <c r="P8" s="363"/>
      <c r="Q8" s="363"/>
      <c r="R8" s="363"/>
      <c r="S8" s="363"/>
      <c r="T8" s="363"/>
      <c r="U8" s="363"/>
      <c r="V8" s="363"/>
      <c r="W8" s="363"/>
      <c r="X8" s="363"/>
      <c r="Y8" s="363"/>
      <c r="Z8" s="363"/>
      <c r="AA8" s="363"/>
    </row>
    <row r="9">
      <c r="A9" s="177"/>
      <c r="B9" s="371" t="s">
        <v>2883</v>
      </c>
      <c r="C9" s="367"/>
      <c r="D9" s="367" t="s">
        <v>2884</v>
      </c>
      <c r="E9" s="371">
        <v>400.0</v>
      </c>
      <c r="F9" s="367" t="s">
        <v>2868</v>
      </c>
      <c r="G9" s="177"/>
      <c r="H9" s="367" t="s">
        <v>2870</v>
      </c>
      <c r="I9" s="367"/>
      <c r="J9" s="369" t="s">
        <v>264</v>
      </c>
      <c r="K9" s="369"/>
      <c r="L9" s="370"/>
      <c r="M9" s="370"/>
      <c r="N9" s="370"/>
      <c r="O9" s="363"/>
      <c r="P9" s="363"/>
      <c r="Q9" s="363"/>
      <c r="R9" s="363"/>
      <c r="S9" s="363"/>
      <c r="T9" s="363"/>
      <c r="U9" s="363"/>
      <c r="V9" s="363"/>
      <c r="W9" s="363"/>
      <c r="X9" s="363"/>
      <c r="Y9" s="363"/>
      <c r="Z9" s="363"/>
      <c r="AA9" s="363"/>
    </row>
    <row r="10">
      <c r="A10" s="177"/>
      <c r="B10" s="371" t="s">
        <v>2885</v>
      </c>
      <c r="C10" s="367"/>
      <c r="D10" s="367" t="s">
        <v>2886</v>
      </c>
      <c r="E10" s="371">
        <v>1100.0</v>
      </c>
      <c r="F10" s="372" t="s">
        <v>2868</v>
      </c>
      <c r="G10" s="177"/>
      <c r="H10" s="372" t="s">
        <v>2887</v>
      </c>
      <c r="I10" s="372"/>
      <c r="J10" s="369" t="s">
        <v>264</v>
      </c>
      <c r="K10" s="369"/>
      <c r="L10" s="370"/>
      <c r="M10" s="370"/>
      <c r="N10" s="370"/>
      <c r="O10" s="363"/>
      <c r="P10" s="363"/>
      <c r="Q10" s="363"/>
      <c r="R10" s="363"/>
      <c r="S10" s="363"/>
      <c r="T10" s="363"/>
      <c r="U10" s="363"/>
      <c r="V10" s="363"/>
      <c r="W10" s="363"/>
      <c r="X10" s="363"/>
      <c r="Y10" s="363"/>
      <c r="Z10" s="363"/>
      <c r="AA10" s="363"/>
    </row>
    <row r="11">
      <c r="A11" s="177"/>
      <c r="B11" s="371" t="s">
        <v>2888</v>
      </c>
      <c r="C11" s="367"/>
      <c r="D11" s="367" t="s">
        <v>2889</v>
      </c>
      <c r="E11" s="371">
        <v>1100.0</v>
      </c>
      <c r="F11" s="372" t="s">
        <v>2868</v>
      </c>
      <c r="G11" s="177"/>
      <c r="H11" s="372" t="s">
        <v>2887</v>
      </c>
      <c r="I11" s="372"/>
      <c r="J11" s="369" t="s">
        <v>264</v>
      </c>
      <c r="K11" s="369"/>
      <c r="L11" s="370"/>
      <c r="M11" s="370"/>
      <c r="N11" s="370"/>
      <c r="O11" s="363"/>
      <c r="P11" s="363"/>
      <c r="Q11" s="363"/>
      <c r="R11" s="363"/>
      <c r="S11" s="363"/>
      <c r="T11" s="363"/>
      <c r="U11" s="363"/>
      <c r="V11" s="363"/>
      <c r="W11" s="363"/>
      <c r="X11" s="363"/>
      <c r="Y11" s="363"/>
      <c r="Z11" s="363"/>
      <c r="AA11" s="363"/>
    </row>
    <row r="12">
      <c r="A12" s="177"/>
      <c r="B12" s="371" t="s">
        <v>2890</v>
      </c>
      <c r="C12" s="367"/>
      <c r="D12" s="367" t="s">
        <v>2891</v>
      </c>
      <c r="E12" s="371">
        <v>1100.0</v>
      </c>
      <c r="F12" s="372" t="s">
        <v>2868</v>
      </c>
      <c r="G12" s="177"/>
      <c r="H12" s="372" t="s">
        <v>2887</v>
      </c>
      <c r="I12" s="372"/>
      <c r="J12" s="369" t="s">
        <v>264</v>
      </c>
      <c r="K12" s="369"/>
      <c r="L12" s="370"/>
      <c r="M12" s="370"/>
      <c r="N12" s="370"/>
      <c r="O12" s="363"/>
      <c r="P12" s="363"/>
      <c r="Q12" s="363"/>
      <c r="R12" s="363"/>
      <c r="S12" s="363"/>
      <c r="T12" s="363"/>
      <c r="U12" s="363"/>
      <c r="V12" s="363"/>
      <c r="W12" s="363"/>
      <c r="X12" s="363"/>
      <c r="Y12" s="363"/>
      <c r="Z12" s="363"/>
      <c r="AA12" s="363"/>
    </row>
    <row r="13">
      <c r="A13" s="177"/>
      <c r="B13" s="371" t="s">
        <v>2892</v>
      </c>
      <c r="C13" s="367"/>
      <c r="D13" s="367" t="s">
        <v>2893</v>
      </c>
      <c r="E13" s="371">
        <v>1100.0</v>
      </c>
      <c r="F13" s="372" t="s">
        <v>2868</v>
      </c>
      <c r="G13" s="177"/>
      <c r="H13" s="372" t="s">
        <v>2887</v>
      </c>
      <c r="I13" s="372"/>
      <c r="J13" s="369" t="s">
        <v>264</v>
      </c>
      <c r="K13" s="369"/>
      <c r="L13" s="370"/>
      <c r="M13" s="370"/>
      <c r="N13" s="370"/>
      <c r="O13" s="363"/>
      <c r="P13" s="363"/>
      <c r="Q13" s="363"/>
      <c r="R13" s="363"/>
      <c r="S13" s="363"/>
      <c r="T13" s="363"/>
      <c r="U13" s="363"/>
      <c r="V13" s="363"/>
      <c r="W13" s="363"/>
      <c r="X13" s="363"/>
      <c r="Y13" s="363"/>
      <c r="Z13" s="363"/>
      <c r="AA13" s="363"/>
    </row>
    <row r="14">
      <c r="A14" s="177"/>
      <c r="B14" s="371" t="s">
        <v>2894</v>
      </c>
      <c r="C14" s="367"/>
      <c r="D14" s="367" t="s">
        <v>2895</v>
      </c>
      <c r="E14" s="371">
        <v>2112.0</v>
      </c>
      <c r="F14" s="372" t="s">
        <v>2868</v>
      </c>
      <c r="G14" s="177"/>
      <c r="H14" s="372" t="s">
        <v>2887</v>
      </c>
      <c r="I14" s="372"/>
      <c r="J14" s="369" t="s">
        <v>264</v>
      </c>
      <c r="K14" s="369"/>
      <c r="L14" s="370"/>
      <c r="M14" s="370"/>
      <c r="N14" s="370"/>
      <c r="O14" s="363"/>
      <c r="P14" s="363"/>
      <c r="Q14" s="363"/>
      <c r="R14" s="363"/>
      <c r="S14" s="363"/>
      <c r="T14" s="363"/>
      <c r="U14" s="363"/>
      <c r="V14" s="363"/>
      <c r="W14" s="363"/>
      <c r="X14" s="363"/>
      <c r="Y14" s="363"/>
      <c r="Z14" s="363"/>
      <c r="AA14" s="363"/>
    </row>
    <row r="15">
      <c r="A15" s="178"/>
      <c r="B15" s="371" t="s">
        <v>2896</v>
      </c>
      <c r="C15" s="367"/>
      <c r="D15" s="367" t="s">
        <v>2897</v>
      </c>
      <c r="E15" s="371">
        <v>2112.0</v>
      </c>
      <c r="F15" s="372" t="s">
        <v>2868</v>
      </c>
      <c r="G15" s="178"/>
      <c r="H15" s="372" t="s">
        <v>2887</v>
      </c>
      <c r="I15" s="372"/>
      <c r="J15" s="369" t="s">
        <v>264</v>
      </c>
      <c r="K15" s="369"/>
      <c r="L15" s="370"/>
      <c r="M15" s="370"/>
      <c r="N15" s="370"/>
      <c r="O15" s="363"/>
      <c r="P15" s="363"/>
      <c r="Q15" s="363"/>
      <c r="R15" s="363"/>
      <c r="S15" s="363"/>
      <c r="T15" s="363"/>
      <c r="U15" s="363"/>
      <c r="V15" s="363"/>
      <c r="W15" s="363"/>
      <c r="X15" s="363"/>
      <c r="Y15" s="363"/>
      <c r="Z15" s="363"/>
      <c r="AA15" s="363"/>
    </row>
    <row r="16">
      <c r="A16" s="373" t="s">
        <v>2898</v>
      </c>
      <c r="B16" s="374" t="s">
        <v>2899</v>
      </c>
      <c r="C16" s="375"/>
      <c r="D16" s="375" t="s">
        <v>2900</v>
      </c>
      <c r="E16" s="374">
        <v>2300.0</v>
      </c>
      <c r="F16" s="376" t="s">
        <v>2868</v>
      </c>
      <c r="G16" s="377" t="s">
        <v>2869</v>
      </c>
      <c r="H16" s="376" t="s">
        <v>2901</v>
      </c>
      <c r="I16" s="376"/>
      <c r="J16" s="369" t="s">
        <v>264</v>
      </c>
      <c r="K16" s="369"/>
      <c r="L16" s="370"/>
      <c r="M16" s="370"/>
      <c r="N16" s="370"/>
      <c r="O16" s="363"/>
      <c r="P16" s="363"/>
      <c r="Q16" s="363"/>
      <c r="R16" s="363"/>
      <c r="S16" s="363"/>
      <c r="T16" s="363"/>
      <c r="U16" s="363"/>
      <c r="V16" s="363"/>
      <c r="W16" s="363"/>
      <c r="X16" s="363"/>
      <c r="Y16" s="363"/>
      <c r="Z16" s="363"/>
      <c r="AA16" s="363"/>
    </row>
    <row r="17">
      <c r="A17" s="364" t="s">
        <v>2902</v>
      </c>
      <c r="B17" s="371" t="s">
        <v>2903</v>
      </c>
      <c r="C17" s="367"/>
      <c r="D17" s="367" t="s">
        <v>2904</v>
      </c>
      <c r="E17" s="371">
        <v>1092.0</v>
      </c>
      <c r="F17" s="367" t="s">
        <v>2868</v>
      </c>
      <c r="G17" s="368" t="s">
        <v>2869</v>
      </c>
      <c r="H17" s="367" t="s">
        <v>2905</v>
      </c>
      <c r="I17" s="367"/>
      <c r="J17" s="369" t="s">
        <v>264</v>
      </c>
      <c r="K17" s="369"/>
      <c r="L17" s="370"/>
      <c r="M17" s="370"/>
      <c r="N17" s="370"/>
      <c r="O17" s="363"/>
      <c r="P17" s="363"/>
      <c r="Q17" s="363"/>
      <c r="R17" s="363"/>
      <c r="S17" s="363"/>
      <c r="T17" s="363"/>
      <c r="U17" s="363"/>
      <c r="V17" s="363"/>
      <c r="W17" s="363"/>
      <c r="X17" s="363"/>
      <c r="Y17" s="363"/>
      <c r="Z17" s="363"/>
      <c r="AA17" s="363"/>
    </row>
    <row r="18">
      <c r="A18" s="177"/>
      <c r="B18" s="371" t="s">
        <v>2906</v>
      </c>
      <c r="C18" s="367"/>
      <c r="D18" s="367" t="s">
        <v>2907</v>
      </c>
      <c r="E18" s="371">
        <v>896.0</v>
      </c>
      <c r="F18" s="367" t="s">
        <v>2868</v>
      </c>
      <c r="G18" s="177"/>
      <c r="H18" s="367" t="s">
        <v>2905</v>
      </c>
      <c r="I18" s="367"/>
      <c r="J18" s="369" t="s">
        <v>264</v>
      </c>
      <c r="K18" s="369"/>
      <c r="L18" s="370"/>
      <c r="M18" s="370"/>
      <c r="N18" s="370"/>
      <c r="O18" s="363"/>
      <c r="P18" s="363"/>
      <c r="Q18" s="363"/>
      <c r="R18" s="363"/>
      <c r="S18" s="363"/>
      <c r="T18" s="363"/>
      <c r="U18" s="363"/>
      <c r="V18" s="363"/>
      <c r="W18" s="363"/>
      <c r="X18" s="363"/>
      <c r="Y18" s="363"/>
      <c r="Z18" s="363"/>
      <c r="AA18" s="363"/>
    </row>
    <row r="19">
      <c r="A19" s="178"/>
      <c r="B19" s="371" t="s">
        <v>2908</v>
      </c>
      <c r="C19" s="367"/>
      <c r="D19" s="367" t="s">
        <v>2909</v>
      </c>
      <c r="E19" s="371">
        <v>812.0</v>
      </c>
      <c r="F19" s="367" t="s">
        <v>2868</v>
      </c>
      <c r="G19" s="178"/>
      <c r="H19" s="367" t="s">
        <v>2905</v>
      </c>
      <c r="I19" s="367"/>
      <c r="J19" s="369" t="s">
        <v>264</v>
      </c>
      <c r="K19" s="369"/>
      <c r="L19" s="370"/>
      <c r="M19" s="370"/>
      <c r="N19" s="370"/>
      <c r="O19" s="363"/>
      <c r="P19" s="363"/>
      <c r="Q19" s="363"/>
      <c r="R19" s="363"/>
      <c r="S19" s="363"/>
      <c r="T19" s="363"/>
      <c r="U19" s="363"/>
      <c r="V19" s="363"/>
      <c r="W19" s="363"/>
      <c r="X19" s="363"/>
      <c r="Y19" s="363"/>
      <c r="Z19" s="363"/>
      <c r="AA19" s="363"/>
    </row>
    <row r="20">
      <c r="A20" s="373" t="s">
        <v>2910</v>
      </c>
      <c r="B20" s="374" t="s">
        <v>2911</v>
      </c>
      <c r="C20" s="375"/>
      <c r="D20" s="375" t="s">
        <v>2912</v>
      </c>
      <c r="E20" s="374">
        <v>1600.0</v>
      </c>
      <c r="F20" s="376" t="s">
        <v>2868</v>
      </c>
      <c r="G20" s="378" t="s">
        <v>2913</v>
      </c>
      <c r="H20" s="376" t="s">
        <v>2914</v>
      </c>
      <c r="I20" s="376"/>
      <c r="J20" s="369" t="s">
        <v>264</v>
      </c>
      <c r="K20" s="369"/>
      <c r="L20" s="370"/>
      <c r="M20" s="370"/>
      <c r="N20" s="370"/>
      <c r="O20" s="363"/>
      <c r="P20" s="363"/>
      <c r="Q20" s="363"/>
      <c r="R20" s="363"/>
      <c r="S20" s="363"/>
      <c r="T20" s="363"/>
      <c r="U20" s="363"/>
      <c r="V20" s="363"/>
      <c r="W20" s="363"/>
      <c r="X20" s="363"/>
      <c r="Y20" s="363"/>
      <c r="Z20" s="363"/>
      <c r="AA20" s="363"/>
    </row>
    <row r="21">
      <c r="A21" s="379" t="s">
        <v>2915</v>
      </c>
      <c r="B21" s="371" t="s">
        <v>2916</v>
      </c>
      <c r="C21" s="367"/>
      <c r="D21" s="367" t="s">
        <v>2917</v>
      </c>
      <c r="E21" s="371">
        <v>4000.0</v>
      </c>
      <c r="F21" s="367" t="s">
        <v>2868</v>
      </c>
      <c r="G21" s="377" t="s">
        <v>2869</v>
      </c>
      <c r="H21" s="367" t="s">
        <v>2918</v>
      </c>
      <c r="I21" s="367"/>
      <c r="J21" s="369" t="s">
        <v>264</v>
      </c>
      <c r="K21" s="369"/>
      <c r="L21" s="370"/>
      <c r="M21" s="370"/>
      <c r="N21" s="370"/>
      <c r="O21" s="363"/>
      <c r="P21" s="363"/>
      <c r="Q21" s="363"/>
      <c r="R21" s="363"/>
      <c r="S21" s="363"/>
      <c r="T21" s="363"/>
      <c r="U21" s="363"/>
      <c r="V21" s="363"/>
      <c r="W21" s="363"/>
      <c r="X21" s="363"/>
      <c r="Y21" s="363"/>
      <c r="Z21" s="363"/>
      <c r="AA21" s="363"/>
    </row>
    <row r="22">
      <c r="A22" s="380" t="s">
        <v>2919</v>
      </c>
      <c r="B22" s="381" t="s">
        <v>2920</v>
      </c>
      <c r="C22" s="372"/>
      <c r="D22" s="372" t="s">
        <v>2921</v>
      </c>
      <c r="E22" s="381">
        <v>2400.0</v>
      </c>
      <c r="F22" s="381" t="s">
        <v>2922</v>
      </c>
      <c r="G22" s="377" t="s">
        <v>2869</v>
      </c>
      <c r="H22" s="372" t="s">
        <v>2918</v>
      </c>
      <c r="I22" s="381"/>
      <c r="J22" s="369" t="s">
        <v>264</v>
      </c>
      <c r="K22" s="369"/>
      <c r="L22" s="370"/>
      <c r="M22" s="370"/>
      <c r="N22" s="370"/>
      <c r="O22" s="363"/>
      <c r="P22" s="363"/>
      <c r="Q22" s="363"/>
      <c r="R22" s="363"/>
      <c r="S22" s="363"/>
      <c r="T22" s="363"/>
      <c r="U22" s="363"/>
      <c r="V22" s="363"/>
      <c r="W22" s="363"/>
      <c r="X22" s="363"/>
      <c r="Y22" s="363"/>
      <c r="Z22" s="363"/>
      <c r="AA22" s="363"/>
    </row>
    <row r="23">
      <c r="A23" s="382" t="s">
        <v>2923</v>
      </c>
      <c r="B23" s="383" t="s">
        <v>2924</v>
      </c>
      <c r="C23" s="384"/>
      <c r="D23" s="384" t="s">
        <v>2925</v>
      </c>
      <c r="E23" s="383">
        <v>2000.0</v>
      </c>
      <c r="F23" s="383" t="s">
        <v>2926</v>
      </c>
      <c r="G23" s="377" t="s">
        <v>2869</v>
      </c>
      <c r="H23" s="384" t="s">
        <v>2927</v>
      </c>
      <c r="I23" s="383" t="s">
        <v>2928</v>
      </c>
      <c r="J23" s="369" t="s">
        <v>264</v>
      </c>
      <c r="K23" s="369"/>
      <c r="L23" s="370"/>
      <c r="M23" s="370"/>
      <c r="N23" s="370"/>
      <c r="O23" s="363"/>
      <c r="P23" s="363"/>
      <c r="Q23" s="363"/>
      <c r="R23" s="363"/>
      <c r="S23" s="363"/>
      <c r="T23" s="363"/>
      <c r="U23" s="363"/>
      <c r="V23" s="363"/>
      <c r="W23" s="363"/>
      <c r="X23" s="363"/>
      <c r="Y23" s="363"/>
      <c r="Z23" s="363"/>
      <c r="AA23" s="363"/>
    </row>
    <row r="24">
      <c r="A24" s="177"/>
      <c r="B24" s="383" t="s">
        <v>2929</v>
      </c>
      <c r="C24" s="384"/>
      <c r="D24" s="384" t="s">
        <v>2930</v>
      </c>
      <c r="E24" s="383">
        <v>900.0</v>
      </c>
      <c r="F24" s="383" t="s">
        <v>2926</v>
      </c>
      <c r="G24" s="377" t="s">
        <v>2869</v>
      </c>
      <c r="H24" s="384" t="s">
        <v>2927</v>
      </c>
      <c r="I24" s="383" t="s">
        <v>2928</v>
      </c>
      <c r="J24" s="369" t="s">
        <v>264</v>
      </c>
      <c r="K24" s="369"/>
      <c r="L24" s="370"/>
      <c r="M24" s="370"/>
      <c r="N24" s="370"/>
      <c r="O24" s="363"/>
      <c r="P24" s="363"/>
      <c r="Q24" s="363"/>
      <c r="R24" s="363"/>
      <c r="S24" s="363"/>
      <c r="T24" s="363"/>
      <c r="U24" s="363"/>
      <c r="V24" s="363"/>
      <c r="W24" s="363"/>
      <c r="X24" s="363"/>
      <c r="Y24" s="363"/>
      <c r="Z24" s="363"/>
      <c r="AA24" s="363"/>
    </row>
    <row r="25">
      <c r="A25" s="177"/>
      <c r="B25" s="383" t="s">
        <v>2931</v>
      </c>
      <c r="C25" s="384"/>
      <c r="D25" s="384" t="s">
        <v>2932</v>
      </c>
      <c r="E25" s="383">
        <v>2100.0</v>
      </c>
      <c r="F25" s="383" t="s">
        <v>2926</v>
      </c>
      <c r="G25" s="377" t="s">
        <v>2869</v>
      </c>
      <c r="H25" s="384" t="s">
        <v>2927</v>
      </c>
      <c r="I25" s="383" t="s">
        <v>2928</v>
      </c>
      <c r="J25" s="369" t="s">
        <v>264</v>
      </c>
      <c r="K25" s="369"/>
      <c r="L25" s="370"/>
      <c r="M25" s="370"/>
      <c r="N25" s="370"/>
      <c r="O25" s="363"/>
      <c r="P25" s="363"/>
      <c r="Q25" s="363"/>
      <c r="R25" s="363"/>
      <c r="S25" s="363"/>
      <c r="T25" s="363"/>
      <c r="U25" s="363"/>
      <c r="V25" s="363"/>
      <c r="W25" s="363"/>
      <c r="X25" s="363"/>
      <c r="Y25" s="363"/>
      <c r="Z25" s="363"/>
      <c r="AA25" s="363"/>
    </row>
    <row r="26">
      <c r="A26" s="178"/>
      <c r="B26" s="383" t="s">
        <v>2933</v>
      </c>
      <c r="C26" s="384"/>
      <c r="D26" s="384" t="s">
        <v>2934</v>
      </c>
      <c r="E26" s="383">
        <v>900.0</v>
      </c>
      <c r="F26" s="383" t="s">
        <v>2926</v>
      </c>
      <c r="G26" s="377" t="s">
        <v>2869</v>
      </c>
      <c r="H26" s="384" t="s">
        <v>2927</v>
      </c>
      <c r="I26" s="383" t="s">
        <v>2928</v>
      </c>
      <c r="J26" s="369" t="s">
        <v>264</v>
      </c>
      <c r="K26" s="369"/>
      <c r="L26" s="370"/>
      <c r="M26" s="370"/>
      <c r="N26" s="370"/>
      <c r="O26" s="363"/>
      <c r="P26" s="363"/>
      <c r="Q26" s="363"/>
      <c r="R26" s="363"/>
      <c r="S26" s="363"/>
      <c r="T26" s="363"/>
      <c r="U26" s="363"/>
      <c r="V26" s="363"/>
      <c r="W26" s="363"/>
      <c r="X26" s="363"/>
      <c r="Y26" s="363"/>
      <c r="Z26" s="363"/>
      <c r="AA26" s="363"/>
    </row>
    <row r="27">
      <c r="A27" s="380" t="s">
        <v>2935</v>
      </c>
      <c r="B27" s="381" t="s">
        <v>2936</v>
      </c>
      <c r="C27" s="372"/>
      <c r="D27" s="372" t="s">
        <v>245</v>
      </c>
      <c r="E27" s="381">
        <v>200.0</v>
      </c>
      <c r="F27" s="385" t="s">
        <v>2937</v>
      </c>
      <c r="G27" s="377" t="s">
        <v>2869</v>
      </c>
      <c r="H27" s="372" t="s">
        <v>2938</v>
      </c>
      <c r="I27" s="385"/>
      <c r="J27" s="369" t="s">
        <v>264</v>
      </c>
      <c r="K27" s="369"/>
      <c r="L27" s="370"/>
      <c r="M27" s="370"/>
      <c r="N27" s="370"/>
      <c r="O27" s="363"/>
      <c r="P27" s="363"/>
      <c r="Q27" s="363"/>
      <c r="R27" s="363"/>
      <c r="S27" s="363"/>
      <c r="T27" s="363"/>
      <c r="U27" s="363"/>
      <c r="V27" s="363"/>
      <c r="W27" s="363"/>
      <c r="X27" s="363"/>
      <c r="Y27" s="363"/>
      <c r="Z27" s="363"/>
      <c r="AA27" s="363"/>
    </row>
    <row r="28">
      <c r="A28" s="386" t="s">
        <v>2939</v>
      </c>
      <c r="B28" s="383" t="s">
        <v>2940</v>
      </c>
      <c r="C28" s="384"/>
      <c r="D28" s="384" t="s">
        <v>2941</v>
      </c>
      <c r="E28" s="383">
        <v>5000.0</v>
      </c>
      <c r="F28" s="383" t="s">
        <v>2942</v>
      </c>
      <c r="G28" s="377" t="s">
        <v>2869</v>
      </c>
      <c r="H28" s="384" t="s">
        <v>2943</v>
      </c>
      <c r="I28" s="383"/>
      <c r="J28" s="369" t="s">
        <v>264</v>
      </c>
      <c r="K28" s="369"/>
      <c r="L28" s="370"/>
      <c r="M28" s="370"/>
      <c r="N28" s="370"/>
      <c r="O28" s="363"/>
      <c r="P28" s="363"/>
      <c r="Q28" s="363"/>
      <c r="R28" s="363"/>
      <c r="S28" s="363"/>
      <c r="T28" s="363"/>
      <c r="U28" s="363"/>
      <c r="V28" s="363"/>
      <c r="W28" s="363"/>
      <c r="X28" s="363"/>
      <c r="Y28" s="363"/>
      <c r="Z28" s="363"/>
      <c r="AA28" s="363"/>
    </row>
    <row r="29">
      <c r="A29" s="380" t="s">
        <v>2944</v>
      </c>
      <c r="B29" s="381" t="s">
        <v>258</v>
      </c>
      <c r="C29" s="372"/>
      <c r="D29" s="372" t="s">
        <v>261</v>
      </c>
      <c r="E29" s="381">
        <v>3800.0</v>
      </c>
      <c r="F29" s="387" t="s">
        <v>2945</v>
      </c>
      <c r="G29" s="377" t="s">
        <v>2869</v>
      </c>
      <c r="H29" s="372" t="s">
        <v>2918</v>
      </c>
      <c r="I29" s="385" t="s">
        <v>2946</v>
      </c>
      <c r="J29" s="369" t="s">
        <v>264</v>
      </c>
      <c r="K29" s="369"/>
      <c r="L29" s="370"/>
      <c r="M29" s="370"/>
      <c r="N29" s="370"/>
      <c r="O29" s="363"/>
      <c r="P29" s="363"/>
      <c r="Q29" s="363"/>
      <c r="R29" s="363"/>
      <c r="S29" s="363"/>
      <c r="T29" s="363"/>
      <c r="U29" s="363"/>
      <c r="V29" s="363"/>
      <c r="W29" s="363"/>
      <c r="X29" s="363"/>
      <c r="Y29" s="363"/>
      <c r="Z29" s="363"/>
      <c r="AA29" s="363"/>
    </row>
    <row r="30">
      <c r="A30" s="386" t="s">
        <v>2947</v>
      </c>
      <c r="B30" s="383" t="s">
        <v>278</v>
      </c>
      <c r="C30" s="384"/>
      <c r="D30" s="384" t="s">
        <v>281</v>
      </c>
      <c r="E30" s="383">
        <v>4000.0</v>
      </c>
      <c r="F30" s="383" t="s">
        <v>2948</v>
      </c>
      <c r="G30" s="377" t="s">
        <v>2869</v>
      </c>
      <c r="H30" s="384" t="s">
        <v>2918</v>
      </c>
      <c r="I30" s="383" t="s">
        <v>2949</v>
      </c>
      <c r="J30" s="369" t="s">
        <v>264</v>
      </c>
      <c r="K30" s="369"/>
      <c r="L30" s="370"/>
      <c r="M30" s="370"/>
      <c r="N30" s="370"/>
      <c r="O30" s="363"/>
      <c r="P30" s="363"/>
      <c r="Q30" s="363"/>
      <c r="R30" s="363"/>
      <c r="S30" s="363"/>
      <c r="T30" s="363"/>
      <c r="U30" s="363"/>
      <c r="V30" s="363"/>
      <c r="W30" s="363"/>
      <c r="X30" s="363"/>
      <c r="Y30" s="363"/>
      <c r="Z30" s="363"/>
      <c r="AA30" s="363"/>
    </row>
    <row r="31">
      <c r="A31" s="388" t="s">
        <v>2950</v>
      </c>
      <c r="B31" s="381" t="s">
        <v>306</v>
      </c>
      <c r="C31" s="372"/>
      <c r="D31" s="372" t="s">
        <v>307</v>
      </c>
      <c r="E31" s="381">
        <v>2000.0</v>
      </c>
      <c r="F31" s="385" t="s">
        <v>2951</v>
      </c>
      <c r="G31" s="377" t="s">
        <v>2869</v>
      </c>
      <c r="H31" s="372" t="s">
        <v>2938</v>
      </c>
      <c r="I31" s="385"/>
      <c r="J31" s="385" t="s">
        <v>264</v>
      </c>
      <c r="K31" s="385"/>
      <c r="L31" s="370"/>
      <c r="M31" s="370"/>
      <c r="N31" s="370"/>
      <c r="O31" s="363"/>
      <c r="P31" s="363"/>
      <c r="Q31" s="363"/>
      <c r="R31" s="363"/>
      <c r="S31" s="363"/>
      <c r="T31" s="363"/>
      <c r="U31" s="363"/>
      <c r="V31" s="363"/>
      <c r="W31" s="363"/>
      <c r="X31" s="363"/>
      <c r="Y31" s="363"/>
      <c r="Z31" s="363"/>
      <c r="AA31" s="363"/>
    </row>
    <row r="32">
      <c r="A32" s="178"/>
      <c r="B32" s="381" t="s">
        <v>298</v>
      </c>
      <c r="C32" s="372"/>
      <c r="D32" s="372" t="s">
        <v>300</v>
      </c>
      <c r="E32" s="381">
        <v>1000.0</v>
      </c>
      <c r="F32" s="385" t="s">
        <v>2951</v>
      </c>
      <c r="G32" s="377" t="s">
        <v>2869</v>
      </c>
      <c r="H32" s="372" t="s">
        <v>2938</v>
      </c>
      <c r="I32" s="385"/>
      <c r="J32" s="385" t="s">
        <v>264</v>
      </c>
      <c r="K32" s="385"/>
      <c r="L32" s="370"/>
      <c r="M32" s="370"/>
      <c r="N32" s="370"/>
      <c r="O32" s="363"/>
      <c r="P32" s="363"/>
      <c r="Q32" s="363"/>
      <c r="R32" s="363"/>
      <c r="S32" s="363"/>
      <c r="T32" s="363"/>
      <c r="U32" s="363"/>
      <c r="V32" s="363"/>
      <c r="W32" s="363"/>
      <c r="X32" s="363"/>
      <c r="Y32" s="363"/>
      <c r="Z32" s="363"/>
      <c r="AA32" s="363"/>
    </row>
    <row r="33">
      <c r="A33" s="389" t="s">
        <v>2952</v>
      </c>
      <c r="B33" s="383" t="s">
        <v>2953</v>
      </c>
      <c r="C33" s="384"/>
      <c r="D33" s="384" t="s">
        <v>311</v>
      </c>
      <c r="E33" s="383">
        <v>2.464</v>
      </c>
      <c r="F33" s="386" t="s">
        <v>2954</v>
      </c>
      <c r="G33" s="377" t="s">
        <v>2869</v>
      </c>
      <c r="H33" s="384" t="s">
        <v>2918</v>
      </c>
      <c r="I33" s="390"/>
      <c r="J33" s="383" t="s">
        <v>264</v>
      </c>
      <c r="K33" s="383"/>
      <c r="L33" s="370"/>
      <c r="M33" s="370"/>
      <c r="N33" s="370"/>
      <c r="O33" s="363"/>
      <c r="P33" s="363"/>
      <c r="Q33" s="363"/>
      <c r="R33" s="363"/>
      <c r="S33" s="363"/>
      <c r="T33" s="363"/>
      <c r="U33" s="363"/>
      <c r="V33" s="363"/>
      <c r="W33" s="363"/>
      <c r="X33" s="363"/>
      <c r="Y33" s="363"/>
      <c r="Z33" s="363"/>
      <c r="AA33" s="363"/>
    </row>
    <row r="34">
      <c r="A34" s="178"/>
      <c r="B34" s="383" t="s">
        <v>331</v>
      </c>
      <c r="C34" s="384"/>
      <c r="D34" s="384" t="s">
        <v>333</v>
      </c>
      <c r="E34" s="383">
        <v>900.0</v>
      </c>
      <c r="F34" s="386" t="s">
        <v>2955</v>
      </c>
      <c r="G34" s="377" t="s">
        <v>2869</v>
      </c>
      <c r="H34" s="384" t="s">
        <v>2918</v>
      </c>
      <c r="I34" s="390"/>
      <c r="J34" s="383" t="s">
        <v>264</v>
      </c>
      <c r="K34" s="383"/>
      <c r="L34" s="370"/>
      <c r="M34" s="370"/>
      <c r="N34" s="370"/>
      <c r="O34" s="363"/>
      <c r="P34" s="363"/>
      <c r="Q34" s="363"/>
      <c r="R34" s="363"/>
      <c r="S34" s="363"/>
      <c r="T34" s="363"/>
      <c r="U34" s="363"/>
      <c r="V34" s="363"/>
      <c r="W34" s="363"/>
      <c r="X34" s="363"/>
      <c r="Y34" s="363"/>
      <c r="Z34" s="363"/>
      <c r="AA34" s="363"/>
    </row>
    <row r="35">
      <c r="A35" s="380" t="str">
        <f>IFERROR(__xludf.DUMMYFUNCTION("IFERROR(VLOOKUP(B35,importrange(""https://docs.google.com/spreadsheets/d/1v_iOR1nc8ubTAFeKKptx7vqb8ZCFD1aCr7cMnjuWpzY/edit#gid=1500027362"",""Cons!K:ad""),20,0),""Sem processo"")"),"Sem processo")</f>
        <v>Sem processo</v>
      </c>
      <c r="B35" s="381" t="s">
        <v>335</v>
      </c>
      <c r="C35" s="372"/>
      <c r="D35" s="372" t="s">
        <v>337</v>
      </c>
      <c r="E35" s="381">
        <v>2128.0</v>
      </c>
      <c r="F35" s="391" t="s">
        <v>2954</v>
      </c>
      <c r="G35" s="377" t="s">
        <v>2869</v>
      </c>
      <c r="H35" s="372" t="s">
        <v>2918</v>
      </c>
      <c r="I35" s="370"/>
      <c r="J35" s="385" t="s">
        <v>264</v>
      </c>
      <c r="K35" s="385"/>
      <c r="L35" s="370"/>
      <c r="M35" s="370"/>
      <c r="N35" s="370"/>
      <c r="O35" s="363"/>
      <c r="P35" s="363"/>
      <c r="Q35" s="363"/>
      <c r="R35" s="363"/>
      <c r="S35" s="363"/>
      <c r="T35" s="363"/>
      <c r="U35" s="363"/>
      <c r="V35" s="363"/>
      <c r="W35" s="363"/>
      <c r="X35" s="363"/>
      <c r="Y35" s="363"/>
      <c r="Z35" s="363"/>
      <c r="AA35" s="363"/>
    </row>
    <row r="36">
      <c r="A36" s="392" t="str">
        <f>IFERROR(__xludf.DUMMYFUNCTION("IFERROR(VLOOKUP(B36,importrange(""https://docs.google.com/spreadsheets/d/1v_iOR1nc8ubTAFeKKptx7vqb8ZCFD1aCr7cMnjuWpzY/edit#gid=1500027362"",""Cons!K:ad""),20,0),""Sem processo"")"),"Sem processo")</f>
        <v>Sem processo</v>
      </c>
      <c r="B36" s="383" t="s">
        <v>339</v>
      </c>
      <c r="C36" s="384"/>
      <c r="D36" s="384" t="s">
        <v>340</v>
      </c>
      <c r="E36" s="383" t="str">
        <f>VLOOKUP(R[0]C[-2],importrange("https://docs.google.com/spreadsheets/d/12s7E_njIG4vm-jcfRvO2GFI57qnFtJ3rSMb93tiG3Rk/edit?ts=5c746abb#gid=0","Página1!A:I"),9,0)</f>
        <v>#ERROR!</v>
      </c>
      <c r="F36" s="383" t="s">
        <v>2956</v>
      </c>
      <c r="G36" s="377" t="s">
        <v>2869</v>
      </c>
      <c r="H36" s="384" t="s">
        <v>2918</v>
      </c>
      <c r="I36" s="390"/>
      <c r="J36" s="383" t="s">
        <v>264</v>
      </c>
      <c r="K36" s="383"/>
      <c r="L36" s="370"/>
      <c r="M36" s="370"/>
      <c r="N36" s="370"/>
      <c r="O36" s="363"/>
      <c r="P36" s="363"/>
      <c r="Q36" s="363"/>
      <c r="R36" s="363"/>
      <c r="S36" s="363"/>
      <c r="T36" s="363"/>
      <c r="U36" s="363"/>
      <c r="V36" s="363"/>
      <c r="W36" s="363"/>
      <c r="X36" s="363"/>
      <c r="Y36" s="363"/>
      <c r="Z36" s="363"/>
      <c r="AA36" s="363"/>
    </row>
    <row r="37">
      <c r="A37" s="178"/>
      <c r="B37" s="383" t="s">
        <v>346</v>
      </c>
      <c r="C37" s="384"/>
      <c r="D37" s="384" t="s">
        <v>347</v>
      </c>
      <c r="E37" s="383" t="str">
        <f>VLOOKUP(R[0]C[-2],importrange("https://docs.google.com/spreadsheets/d/12s7E_njIG4vm-jcfRvO2GFI57qnFtJ3rSMb93tiG3Rk/edit?ts=5c746abb#gid=0","Página1!A:I"),9,0)</f>
        <v>#ERROR!</v>
      </c>
      <c r="F37" s="383" t="s">
        <v>2956</v>
      </c>
      <c r="G37" s="377" t="s">
        <v>2869</v>
      </c>
      <c r="H37" s="384" t="s">
        <v>2918</v>
      </c>
      <c r="I37" s="390"/>
      <c r="J37" s="383" t="s">
        <v>264</v>
      </c>
      <c r="K37" s="383"/>
      <c r="L37" s="370"/>
      <c r="M37" s="370"/>
      <c r="N37" s="370"/>
      <c r="O37" s="363"/>
      <c r="P37" s="363"/>
      <c r="Q37" s="363"/>
      <c r="R37" s="363"/>
      <c r="S37" s="363"/>
      <c r="T37" s="363"/>
      <c r="U37" s="363"/>
      <c r="V37" s="363"/>
      <c r="W37" s="363"/>
      <c r="X37" s="363"/>
      <c r="Y37" s="363"/>
      <c r="Z37" s="363"/>
      <c r="AA37" s="363"/>
    </row>
    <row r="38">
      <c r="A38" s="380" t="str">
        <f>IFERROR(__xludf.DUMMYFUNCTION("IFERROR(VLOOKUP(B38,importrange(""https://docs.google.com/spreadsheets/d/1v_iOR1nc8ubTAFeKKptx7vqb8ZCFD1aCr7cMnjuWpzY/edit#gid=1500027362"",""Cons!K:ad""),20,0),""Sem processo"")"),"Sem processo")</f>
        <v>Sem processo</v>
      </c>
      <c r="B38" s="381" t="s">
        <v>350</v>
      </c>
      <c r="C38" s="372"/>
      <c r="D38" s="372" t="s">
        <v>2957</v>
      </c>
      <c r="E38" s="381" t="str">
        <f>VLOOKUP(R[0]C[-2],importrange("https://docs.google.com/spreadsheets/d/12s7E_njIG4vm-jcfRvO2GFI57qnFtJ3rSMb93tiG3Rk/edit?ts=5c746abb#gid=0","Página1!A:I"),9,0)</f>
        <v>#ERROR!</v>
      </c>
      <c r="F38" s="391" t="s">
        <v>2958</v>
      </c>
      <c r="G38" s="377" t="s">
        <v>2869</v>
      </c>
      <c r="H38" s="372" t="s">
        <v>2918</v>
      </c>
      <c r="I38" s="370"/>
      <c r="J38" s="369"/>
      <c r="K38" s="369"/>
      <c r="L38" s="370"/>
      <c r="M38" s="370"/>
      <c r="N38" s="370"/>
      <c r="O38" s="363"/>
      <c r="P38" s="363"/>
      <c r="Q38" s="363"/>
      <c r="R38" s="363"/>
      <c r="S38" s="363"/>
      <c r="T38" s="363"/>
      <c r="U38" s="363"/>
      <c r="V38" s="363"/>
      <c r="W38" s="363"/>
      <c r="X38" s="363"/>
      <c r="Y38" s="363"/>
      <c r="Z38" s="363"/>
      <c r="AA38" s="363"/>
    </row>
    <row r="39">
      <c r="A39" s="388" t="str">
        <f>IFERROR(__xludf.DUMMYFUNCTION("IFERROR(VLOOKUP(B39,importrange(""https://docs.google.com/spreadsheets/d/1v_iOR1nc8ubTAFeKKptx7vqb8ZCFD1aCr7cMnjuWpzY/edit#gid=1500027362"",""Cons!K:ad""),20,0),""Sem processo"")"),"Sem processo")</f>
        <v>Sem processo</v>
      </c>
      <c r="B39" s="380" t="s">
        <v>356</v>
      </c>
      <c r="C39" s="372"/>
      <c r="D39" s="372" t="s">
        <v>2959</v>
      </c>
      <c r="E39" s="381" t="str">
        <f>IFERROR(__xludf.DUMMYFUNCTION("VLOOKUP(B39,importrange(""https://docs.google.com/spreadsheets/d/12s7E_njIG4vm-jcfRvO2GFI57qnFtJ3rSMb93tiG3Rk/edit?ts=5c746abb#gid=0"",""Página1!A:I""),9,0)"),"#REF!")</f>
        <v>#REF!</v>
      </c>
      <c r="F39" s="393" t="s">
        <v>2960</v>
      </c>
      <c r="G39" s="377" t="s">
        <v>2869</v>
      </c>
      <c r="H39" s="381" t="s">
        <v>2918</v>
      </c>
      <c r="I39" s="394"/>
      <c r="J39" s="369"/>
      <c r="K39" s="369"/>
      <c r="L39" s="370"/>
      <c r="M39" s="370"/>
      <c r="N39" s="370"/>
      <c r="O39" s="363"/>
      <c r="P39" s="363"/>
      <c r="Q39" s="363"/>
      <c r="R39" s="363"/>
      <c r="S39" s="363"/>
      <c r="T39" s="363"/>
      <c r="U39" s="363"/>
      <c r="V39" s="363"/>
      <c r="W39" s="363"/>
      <c r="X39" s="363"/>
      <c r="Y39" s="363"/>
      <c r="Z39" s="363"/>
      <c r="AA39" s="363"/>
    </row>
    <row r="40">
      <c r="A40" s="383" t="str">
        <f>IFERROR(__xludf.DUMMYFUNCTION("IFERROR(VLOOKUP(B40,importrange(""https://docs.google.com/spreadsheets/d/1v_iOR1nc8ubTAFeKKptx7vqb8ZCFD1aCr7cMnjuWpzY/edit#gid=1500027362"",""Cons!K:ad""),20,0),""Sem processo"")"),"Sem processo")</f>
        <v>Sem processo</v>
      </c>
      <c r="B40" s="383" t="s">
        <v>450</v>
      </c>
      <c r="C40" s="384"/>
      <c r="D40" s="384" t="s">
        <v>452</v>
      </c>
      <c r="E40" s="383" t="str">
        <f>IFERROR(__xludf.DUMMYFUNCTION("VLOOKUP(B40,importrange(""https://docs.google.com/spreadsheets/d/12s7E_njIG4vm-jcfRvO2GFI57qnFtJ3rSMb93tiG3Rk/edit?ts=5c746abb#gid=0"",""Página1!A:I""),9,0)"),"#REF!")</f>
        <v>#REF!</v>
      </c>
      <c r="F40" s="395" t="s">
        <v>2960</v>
      </c>
      <c r="G40" s="377" t="s">
        <v>2869</v>
      </c>
      <c r="H40" s="384" t="s">
        <v>2918</v>
      </c>
      <c r="I40" s="370"/>
      <c r="J40" s="369"/>
      <c r="K40" s="369"/>
      <c r="L40" s="370"/>
      <c r="M40" s="370"/>
      <c r="N40" s="370"/>
      <c r="O40" s="363"/>
      <c r="P40" s="363"/>
      <c r="Q40" s="363"/>
      <c r="R40" s="363"/>
      <c r="S40" s="363"/>
      <c r="T40" s="363"/>
      <c r="U40" s="363"/>
      <c r="V40" s="363"/>
      <c r="W40" s="363"/>
      <c r="X40" s="363"/>
      <c r="Y40" s="363"/>
      <c r="Z40" s="363"/>
      <c r="AA40" s="363"/>
    </row>
    <row r="41">
      <c r="A41" s="388" t="str">
        <f>IFERROR(__xludf.DUMMYFUNCTION("IFERROR(VLOOKUP(B41,importrange(""https://docs.google.com/spreadsheets/d/1v_iOR1nc8ubTAFeKKptx7vqb8ZCFD1aCr7cMnjuWpzY/edit#gid=1500027362"",""Cons!K:ad""),20,0),""Sem processo"")"),"Sem processo")</f>
        <v>Sem processo</v>
      </c>
      <c r="B41" s="381" t="s">
        <v>383</v>
      </c>
      <c r="C41" s="372"/>
      <c r="D41" s="372" t="s">
        <v>2961</v>
      </c>
      <c r="E41" s="381" t="str">
        <f>IFERROR(__xludf.DUMMYFUNCTION("VLOOKUP(B41,importrange(""https://docs.google.com/spreadsheets/d/12s7E_njIG4vm-jcfRvO2GFI57qnFtJ3rSMb93tiG3Rk/edit?ts=5c746abb#gid=0"",""Página1!A:I""),9,0)"),"#REF!")</f>
        <v>#REF!</v>
      </c>
      <c r="F41" s="391" t="s">
        <v>2962</v>
      </c>
      <c r="G41" s="377" t="s">
        <v>2869</v>
      </c>
      <c r="H41" s="372" t="s">
        <v>2918</v>
      </c>
      <c r="I41" s="370"/>
      <c r="J41" s="369"/>
      <c r="K41" s="369"/>
      <c r="L41" s="370"/>
      <c r="M41" s="370"/>
      <c r="N41" s="370"/>
      <c r="O41" s="363"/>
      <c r="P41" s="363"/>
      <c r="Q41" s="363"/>
      <c r="R41" s="363"/>
      <c r="S41" s="363"/>
      <c r="T41" s="363"/>
      <c r="U41" s="363"/>
      <c r="V41" s="363"/>
      <c r="W41" s="363"/>
      <c r="X41" s="363"/>
      <c r="Y41" s="363"/>
      <c r="Z41" s="363"/>
      <c r="AA41" s="363"/>
    </row>
    <row r="42">
      <c r="A42" s="178"/>
      <c r="B42" s="381" t="s">
        <v>395</v>
      </c>
      <c r="C42" s="372"/>
      <c r="D42" s="372" t="s">
        <v>397</v>
      </c>
      <c r="E42" s="381" t="str">
        <f>IFERROR(__xludf.DUMMYFUNCTION("VLOOKUP(B42,importrange(""https://docs.google.com/spreadsheets/d/12s7E_njIG4vm-jcfRvO2GFI57qnFtJ3rSMb93tiG3Rk/edit?ts=5c746abb#gid=0"",""Página1!A:I""),9,0)"),"#REF!")</f>
        <v>#REF!</v>
      </c>
      <c r="F42" s="391" t="s">
        <v>2962</v>
      </c>
      <c r="G42" s="377" t="s">
        <v>2869</v>
      </c>
      <c r="H42" s="372" t="s">
        <v>2918</v>
      </c>
      <c r="I42" s="370"/>
      <c r="J42" s="369"/>
      <c r="K42" s="369"/>
      <c r="L42" s="370"/>
      <c r="M42" s="370"/>
      <c r="N42" s="370"/>
      <c r="O42" s="363"/>
      <c r="P42" s="363"/>
      <c r="Q42" s="363"/>
      <c r="R42" s="363"/>
      <c r="S42" s="363"/>
      <c r="T42" s="363"/>
      <c r="U42" s="363"/>
      <c r="V42" s="363"/>
      <c r="W42" s="363"/>
      <c r="X42" s="363"/>
      <c r="Y42" s="363"/>
      <c r="Z42" s="363"/>
      <c r="AA42" s="363"/>
    </row>
    <row r="43">
      <c r="A43" s="386" t="s">
        <v>2963</v>
      </c>
      <c r="B43" s="383" t="s">
        <v>481</v>
      </c>
      <c r="C43" s="384"/>
      <c r="D43" s="384" t="s">
        <v>483</v>
      </c>
      <c r="E43" s="383">
        <v>500.0</v>
      </c>
      <c r="F43" s="395"/>
      <c r="G43" s="377" t="s">
        <v>2869</v>
      </c>
      <c r="H43" s="384" t="s">
        <v>2964</v>
      </c>
      <c r="I43" s="390"/>
      <c r="J43" s="383"/>
      <c r="K43" s="383"/>
      <c r="L43" s="390"/>
      <c r="M43" s="390"/>
      <c r="N43" s="390"/>
      <c r="O43" s="396"/>
      <c r="P43" s="396"/>
      <c r="Q43" s="396"/>
      <c r="R43" s="396"/>
      <c r="S43" s="396"/>
      <c r="T43" s="396"/>
      <c r="U43" s="396"/>
      <c r="V43" s="396"/>
      <c r="W43" s="396"/>
      <c r="X43" s="396"/>
      <c r="Y43" s="396"/>
      <c r="Z43" s="396"/>
      <c r="AA43" s="396"/>
    </row>
    <row r="44">
      <c r="A44" s="386" t="s">
        <v>2965</v>
      </c>
      <c r="B44" s="383" t="s">
        <v>458</v>
      </c>
      <c r="C44" s="384"/>
      <c r="D44" s="384" t="s">
        <v>2966</v>
      </c>
      <c r="E44" s="383">
        <v>1050.0</v>
      </c>
      <c r="F44" s="395"/>
      <c r="G44" s="377" t="s">
        <v>2869</v>
      </c>
      <c r="H44" s="384" t="s">
        <v>2964</v>
      </c>
      <c r="I44" s="390"/>
      <c r="J44" s="383"/>
      <c r="K44" s="383"/>
      <c r="L44" s="390"/>
      <c r="M44" s="390"/>
      <c r="N44" s="390"/>
      <c r="O44" s="396"/>
      <c r="P44" s="396"/>
      <c r="Q44" s="396"/>
      <c r="R44" s="396"/>
      <c r="S44" s="396"/>
      <c r="T44" s="396"/>
      <c r="U44" s="396"/>
      <c r="V44" s="396"/>
      <c r="W44" s="396"/>
      <c r="X44" s="396"/>
      <c r="Y44" s="396"/>
      <c r="Z44" s="396"/>
      <c r="AA44" s="396"/>
    </row>
    <row r="45">
      <c r="A45" s="397" t="s">
        <v>2967</v>
      </c>
      <c r="B45" s="398" t="s">
        <v>488</v>
      </c>
      <c r="C45" s="399"/>
      <c r="D45" s="399" t="s">
        <v>2968</v>
      </c>
      <c r="E45" s="398">
        <v>1500.0</v>
      </c>
      <c r="F45" s="400" t="s">
        <v>2969</v>
      </c>
      <c r="G45" s="377" t="s">
        <v>2869</v>
      </c>
      <c r="H45" s="399" t="s">
        <v>2918</v>
      </c>
      <c r="I45" s="401"/>
      <c r="J45" s="398" t="s">
        <v>2970</v>
      </c>
      <c r="K45" s="398"/>
      <c r="L45" s="401"/>
      <c r="M45" s="401"/>
      <c r="N45" s="401"/>
      <c r="O45" s="402"/>
      <c r="P45" s="402"/>
      <c r="Q45" s="402"/>
      <c r="R45" s="402"/>
      <c r="S45" s="402"/>
      <c r="T45" s="402"/>
      <c r="U45" s="402"/>
      <c r="V45" s="402"/>
      <c r="W45" s="402"/>
      <c r="X45" s="402"/>
      <c r="Y45" s="402"/>
      <c r="Z45" s="402"/>
      <c r="AA45" s="402"/>
    </row>
    <row r="46">
      <c r="A46" s="403" t="s">
        <v>2971</v>
      </c>
      <c r="B46" s="383" t="s">
        <v>605</v>
      </c>
      <c r="C46" s="384"/>
      <c r="D46" s="384" t="s">
        <v>2972</v>
      </c>
      <c r="E46" s="383">
        <v>4000.0</v>
      </c>
      <c r="F46" s="395" t="s">
        <v>2973</v>
      </c>
      <c r="G46" s="377" t="s">
        <v>2869</v>
      </c>
      <c r="H46" s="384" t="s">
        <v>2918</v>
      </c>
      <c r="I46" s="390"/>
      <c r="J46" s="383"/>
      <c r="K46" s="383"/>
      <c r="L46" s="390"/>
      <c r="M46" s="390"/>
      <c r="N46" s="390"/>
      <c r="O46" s="396"/>
      <c r="P46" s="396"/>
      <c r="Q46" s="396"/>
      <c r="R46" s="396"/>
      <c r="S46" s="396"/>
      <c r="T46" s="396"/>
      <c r="U46" s="396"/>
      <c r="V46" s="396"/>
      <c r="W46" s="396"/>
      <c r="X46" s="396"/>
      <c r="Y46" s="396"/>
      <c r="Z46" s="396"/>
      <c r="AA46" s="396"/>
    </row>
    <row r="47">
      <c r="A47" s="403" t="s">
        <v>2971</v>
      </c>
      <c r="B47" s="383" t="s">
        <v>617</v>
      </c>
      <c r="C47" s="384"/>
      <c r="D47" s="384" t="s">
        <v>2974</v>
      </c>
      <c r="E47" s="383">
        <v>6500.0</v>
      </c>
      <c r="F47" s="395" t="s">
        <v>2973</v>
      </c>
      <c r="G47" s="377" t="s">
        <v>2869</v>
      </c>
      <c r="H47" s="384" t="s">
        <v>2918</v>
      </c>
      <c r="I47" s="390"/>
      <c r="J47" s="383"/>
      <c r="K47" s="383"/>
      <c r="L47" s="390"/>
      <c r="M47" s="390"/>
      <c r="N47" s="390"/>
      <c r="O47" s="396"/>
      <c r="P47" s="396"/>
      <c r="Q47" s="396"/>
      <c r="R47" s="396"/>
      <c r="S47" s="396"/>
      <c r="T47" s="396"/>
      <c r="U47" s="396"/>
      <c r="V47" s="396"/>
      <c r="W47" s="396"/>
      <c r="X47" s="396"/>
      <c r="Y47" s="396"/>
      <c r="Z47" s="396"/>
      <c r="AA47" s="396"/>
    </row>
    <row r="48">
      <c r="A48" s="403" t="s">
        <v>2971</v>
      </c>
      <c r="B48" s="383" t="s">
        <v>450</v>
      </c>
      <c r="C48" s="384"/>
      <c r="D48" s="384" t="s">
        <v>452</v>
      </c>
      <c r="E48" s="395">
        <v>34.0</v>
      </c>
      <c r="F48" s="395" t="s">
        <v>2975</v>
      </c>
      <c r="G48" s="377" t="s">
        <v>2869</v>
      </c>
      <c r="H48" s="384" t="s">
        <v>2918</v>
      </c>
      <c r="I48" s="390"/>
      <c r="J48" s="383"/>
      <c r="K48" s="383"/>
      <c r="L48" s="390"/>
      <c r="M48" s="390"/>
      <c r="N48" s="390"/>
      <c r="O48" s="363"/>
      <c r="P48" s="363"/>
      <c r="Q48" s="363"/>
      <c r="R48" s="363"/>
      <c r="S48" s="363"/>
      <c r="T48" s="363"/>
      <c r="U48" s="363"/>
      <c r="V48" s="363"/>
      <c r="W48" s="363"/>
      <c r="X48" s="363"/>
      <c r="Y48" s="363"/>
      <c r="Z48" s="363"/>
      <c r="AA48" s="363"/>
    </row>
    <row r="49">
      <c r="A49" s="397" t="s">
        <v>2976</v>
      </c>
      <c r="B49" s="398">
        <v>1.0040038E8</v>
      </c>
      <c r="C49" s="399"/>
      <c r="D49" s="399" t="s">
        <v>2977</v>
      </c>
      <c r="E49" s="398">
        <v>25000.0</v>
      </c>
      <c r="F49" s="400" t="s">
        <v>2978</v>
      </c>
      <c r="G49" s="377" t="s">
        <v>2869</v>
      </c>
      <c r="H49" s="399" t="s">
        <v>2918</v>
      </c>
      <c r="I49" s="401"/>
      <c r="J49" s="404" t="s">
        <v>264</v>
      </c>
      <c r="K49" s="405">
        <v>44630.0</v>
      </c>
      <c r="L49" s="401"/>
      <c r="M49" s="401"/>
      <c r="N49" s="401"/>
      <c r="O49" s="402"/>
      <c r="P49" s="402"/>
      <c r="Q49" s="402"/>
      <c r="R49" s="402"/>
      <c r="S49" s="402"/>
      <c r="T49" s="402"/>
      <c r="U49" s="402"/>
      <c r="V49" s="402"/>
      <c r="W49" s="402"/>
      <c r="X49" s="402"/>
      <c r="Y49" s="402"/>
      <c r="Z49" s="402"/>
      <c r="AA49" s="402"/>
    </row>
    <row r="50">
      <c r="A50" s="406" t="s">
        <v>2979</v>
      </c>
      <c r="B50" s="395" t="s">
        <v>866</v>
      </c>
      <c r="C50" s="407"/>
      <c r="D50" s="407" t="s">
        <v>867</v>
      </c>
      <c r="E50" s="395">
        <v>5000.0</v>
      </c>
      <c r="F50" s="403" t="s">
        <v>2973</v>
      </c>
      <c r="G50" s="377" t="s">
        <v>2869</v>
      </c>
      <c r="H50" s="408" t="s">
        <v>2980</v>
      </c>
      <c r="I50" s="390"/>
      <c r="J50" s="383"/>
      <c r="K50" s="383"/>
      <c r="L50" s="390"/>
      <c r="M50" s="390"/>
      <c r="N50" s="390"/>
      <c r="O50" s="363"/>
      <c r="P50" s="363"/>
      <c r="Q50" s="363"/>
      <c r="R50" s="363"/>
      <c r="S50" s="363"/>
      <c r="T50" s="363"/>
      <c r="U50" s="363"/>
      <c r="V50" s="363"/>
      <c r="W50" s="363"/>
      <c r="X50" s="363"/>
      <c r="Y50" s="363"/>
      <c r="Z50" s="363"/>
      <c r="AA50" s="363"/>
    </row>
    <row r="51">
      <c r="A51" s="400" t="s">
        <v>2981</v>
      </c>
      <c r="B51" s="398">
        <v>1.00400402E8</v>
      </c>
      <c r="C51" s="409"/>
      <c r="D51" s="409" t="s">
        <v>1538</v>
      </c>
      <c r="E51" s="404">
        <v>1700.0</v>
      </c>
      <c r="F51" s="400" t="s">
        <v>2982</v>
      </c>
      <c r="G51" s="377" t="s">
        <v>2869</v>
      </c>
      <c r="H51" s="409" t="s">
        <v>2983</v>
      </c>
      <c r="I51" s="401"/>
      <c r="J51" s="404" t="s">
        <v>264</v>
      </c>
      <c r="K51" s="405">
        <v>44800.0</v>
      </c>
      <c r="L51" s="401"/>
      <c r="M51" s="401"/>
      <c r="N51" s="401"/>
      <c r="O51" s="402"/>
      <c r="P51" s="402"/>
      <c r="Q51" s="402"/>
      <c r="R51" s="402"/>
      <c r="S51" s="402"/>
      <c r="T51" s="402"/>
      <c r="U51" s="402"/>
      <c r="V51" s="402"/>
      <c r="W51" s="402"/>
      <c r="X51" s="402"/>
      <c r="Y51" s="402"/>
      <c r="Z51" s="402"/>
      <c r="AA51" s="402"/>
    </row>
    <row r="52">
      <c r="A52" s="389" t="s">
        <v>2984</v>
      </c>
      <c r="B52" s="383">
        <v>1.00400402E8</v>
      </c>
      <c r="C52" s="408"/>
      <c r="D52" s="408" t="s">
        <v>1538</v>
      </c>
      <c r="E52" s="395">
        <v>2660.0</v>
      </c>
      <c r="F52" s="410" t="s">
        <v>2982</v>
      </c>
      <c r="G52" s="377" t="s">
        <v>2869</v>
      </c>
      <c r="H52" s="408" t="s">
        <v>2983</v>
      </c>
      <c r="I52" s="390"/>
      <c r="J52" s="395" t="s">
        <v>264</v>
      </c>
      <c r="K52" s="411">
        <v>44800.0</v>
      </c>
      <c r="L52" s="390"/>
      <c r="M52" s="390"/>
      <c r="N52" s="390"/>
      <c r="O52" s="402"/>
      <c r="P52" s="402"/>
      <c r="Q52" s="402"/>
      <c r="R52" s="402"/>
      <c r="S52" s="402"/>
      <c r="T52" s="402"/>
      <c r="U52" s="402"/>
      <c r="V52" s="402"/>
      <c r="W52" s="402"/>
      <c r="X52" s="402"/>
      <c r="Y52" s="402"/>
      <c r="Z52" s="402"/>
      <c r="AA52" s="402"/>
    </row>
    <row r="53">
      <c r="A53" s="178"/>
      <c r="B53" s="383">
        <v>1.00400403E8</v>
      </c>
      <c r="C53" s="408"/>
      <c r="D53" s="408" t="s">
        <v>1531</v>
      </c>
      <c r="E53" s="395">
        <v>7020.0</v>
      </c>
      <c r="F53" s="178"/>
      <c r="G53" s="377" t="s">
        <v>2869</v>
      </c>
      <c r="H53" s="408" t="s">
        <v>2983</v>
      </c>
      <c r="I53" s="390"/>
      <c r="J53" s="395" t="s">
        <v>264</v>
      </c>
      <c r="K53" s="411">
        <v>44800.0</v>
      </c>
      <c r="L53" s="390"/>
      <c r="M53" s="390"/>
      <c r="N53" s="390"/>
      <c r="O53" s="402"/>
      <c r="P53" s="402"/>
      <c r="Q53" s="402"/>
      <c r="R53" s="402"/>
      <c r="S53" s="402"/>
      <c r="T53" s="402"/>
      <c r="U53" s="402"/>
      <c r="V53" s="402"/>
      <c r="W53" s="402"/>
      <c r="X53" s="402"/>
      <c r="Y53" s="402"/>
      <c r="Z53" s="402"/>
      <c r="AA53" s="402"/>
    </row>
    <row r="54">
      <c r="A54" s="400" t="s">
        <v>2985</v>
      </c>
      <c r="B54" s="404" t="s">
        <v>900</v>
      </c>
      <c r="C54" s="412">
        <v>7.898458230604E12</v>
      </c>
      <c r="D54" s="409" t="str">
        <f>IFERROR(__xludf.DUMMYFUNCTION("VLOOKUP(B54,importrange(""https://docs.google.com/spreadsheets/d/12s7E_njIG4vm-jcfRvO2GFI57qnFtJ3rSMb93tiG3Rk/edit?ts=5c746abb#gid=0"",""Página1!A:P""),10,0)"),"#REF!")</f>
        <v>#REF!</v>
      </c>
      <c r="E54" s="404">
        <v>18000.0</v>
      </c>
      <c r="F54" s="400" t="s">
        <v>2986</v>
      </c>
      <c r="G54" s="377" t="s">
        <v>2869</v>
      </c>
      <c r="H54" s="409" t="s">
        <v>2987</v>
      </c>
      <c r="I54" s="401"/>
      <c r="J54" s="404" t="s">
        <v>264</v>
      </c>
      <c r="K54" s="405">
        <v>44872.0</v>
      </c>
      <c r="L54" s="401"/>
      <c r="M54" s="401"/>
      <c r="N54" s="401"/>
      <c r="O54" s="402"/>
      <c r="P54" s="402"/>
      <c r="Q54" s="402"/>
      <c r="R54" s="402"/>
      <c r="S54" s="402"/>
      <c r="T54" s="402"/>
      <c r="U54" s="402"/>
      <c r="V54" s="402"/>
      <c r="W54" s="402"/>
      <c r="X54" s="402"/>
      <c r="Y54" s="402"/>
      <c r="Z54" s="402"/>
      <c r="AA54" s="402"/>
    </row>
    <row r="55">
      <c r="A55" s="413"/>
      <c r="B55" s="414"/>
      <c r="C55" s="413"/>
      <c r="D55" s="413"/>
      <c r="E55" s="413"/>
      <c r="F55" s="415"/>
      <c r="G55" s="416"/>
      <c r="H55" s="417"/>
      <c r="I55" s="415"/>
      <c r="J55" s="415"/>
      <c r="K55" s="415"/>
      <c r="L55" s="415"/>
      <c r="M55" s="415"/>
      <c r="N55" s="415"/>
      <c r="O55" s="418"/>
      <c r="P55" s="418"/>
      <c r="Q55" s="418"/>
      <c r="R55" s="418"/>
      <c r="S55" s="418"/>
      <c r="T55" s="418"/>
      <c r="U55" s="418"/>
      <c r="V55" s="418"/>
      <c r="W55" s="418"/>
      <c r="X55" s="418"/>
      <c r="Y55" s="418"/>
      <c r="Z55" s="418"/>
      <c r="AA55" s="418"/>
    </row>
    <row r="56">
      <c r="A56" s="415"/>
      <c r="B56" s="415"/>
      <c r="C56" s="415"/>
      <c r="D56" s="415"/>
      <c r="E56" s="415"/>
      <c r="F56" s="415"/>
      <c r="G56" s="415"/>
      <c r="H56" s="415"/>
      <c r="I56" s="415"/>
      <c r="J56" s="415"/>
      <c r="K56" s="415"/>
      <c r="L56" s="415"/>
      <c r="M56" s="415"/>
      <c r="N56" s="415"/>
      <c r="O56" s="418"/>
      <c r="P56" s="418"/>
      <c r="Q56" s="418"/>
      <c r="R56" s="418"/>
      <c r="S56" s="418"/>
      <c r="T56" s="418"/>
      <c r="U56" s="418"/>
      <c r="V56" s="418"/>
      <c r="W56" s="418"/>
      <c r="X56" s="418"/>
      <c r="Y56" s="418"/>
      <c r="Z56" s="418"/>
      <c r="AA56" s="418"/>
    </row>
    <row r="57">
      <c r="A57" s="415"/>
      <c r="B57" s="415"/>
      <c r="C57" s="415"/>
      <c r="D57" s="415"/>
      <c r="E57" s="415"/>
      <c r="F57" s="415"/>
      <c r="G57" s="415"/>
      <c r="H57" s="415"/>
      <c r="I57" s="415"/>
      <c r="J57" s="415"/>
      <c r="K57" s="415"/>
      <c r="L57" s="415"/>
      <c r="M57" s="415"/>
      <c r="N57" s="415"/>
      <c r="O57" s="418"/>
      <c r="P57" s="418"/>
      <c r="Q57" s="418"/>
      <c r="R57" s="418"/>
      <c r="S57" s="418"/>
      <c r="T57" s="418"/>
      <c r="U57" s="418"/>
      <c r="V57" s="418"/>
      <c r="W57" s="418"/>
      <c r="X57" s="418"/>
      <c r="Y57" s="418"/>
      <c r="Z57" s="418"/>
      <c r="AA57" s="418"/>
    </row>
    <row r="58">
      <c r="A58" s="415"/>
      <c r="B58" s="415"/>
      <c r="C58" s="415"/>
      <c r="D58" s="415"/>
      <c r="E58" s="415"/>
      <c r="F58" s="415"/>
      <c r="G58" s="415"/>
      <c r="H58" s="415"/>
      <c r="I58" s="415"/>
      <c r="J58" s="415"/>
      <c r="K58" s="415"/>
      <c r="L58" s="415"/>
      <c r="M58" s="415"/>
      <c r="N58" s="415"/>
      <c r="O58" s="418"/>
      <c r="P58" s="418"/>
      <c r="Q58" s="418"/>
      <c r="R58" s="418"/>
      <c r="S58" s="418"/>
      <c r="T58" s="418"/>
      <c r="U58" s="418"/>
      <c r="V58" s="418"/>
      <c r="W58" s="418"/>
      <c r="X58" s="418"/>
      <c r="Y58" s="418"/>
      <c r="Z58" s="418"/>
      <c r="AA58" s="418"/>
    </row>
    <row r="59">
      <c r="A59" s="415"/>
      <c r="B59" s="415"/>
      <c r="C59" s="415"/>
      <c r="D59" s="415"/>
      <c r="E59" s="415"/>
      <c r="F59" s="415"/>
      <c r="G59" s="415"/>
      <c r="H59" s="415"/>
      <c r="I59" s="415"/>
      <c r="J59" s="415"/>
      <c r="K59" s="415"/>
      <c r="L59" s="415"/>
      <c r="M59" s="415"/>
      <c r="N59" s="415"/>
      <c r="O59" s="418"/>
      <c r="P59" s="418"/>
      <c r="Q59" s="418"/>
      <c r="R59" s="418"/>
      <c r="S59" s="418"/>
      <c r="T59" s="418"/>
      <c r="U59" s="418"/>
      <c r="V59" s="418"/>
      <c r="W59" s="418"/>
      <c r="X59" s="418"/>
      <c r="Y59" s="418"/>
      <c r="Z59" s="418"/>
      <c r="AA59" s="418"/>
    </row>
    <row r="60">
      <c r="A60" s="415"/>
      <c r="B60" s="415"/>
      <c r="C60" s="415"/>
      <c r="D60" s="415"/>
      <c r="E60" s="415"/>
      <c r="F60" s="415"/>
      <c r="G60" s="415"/>
      <c r="H60" s="415"/>
      <c r="I60" s="415"/>
      <c r="J60" s="415"/>
      <c r="K60" s="415"/>
      <c r="L60" s="415"/>
      <c r="M60" s="415"/>
      <c r="N60" s="415"/>
      <c r="O60" s="418"/>
      <c r="P60" s="418"/>
      <c r="Q60" s="418"/>
      <c r="R60" s="418"/>
      <c r="S60" s="418"/>
      <c r="T60" s="418"/>
      <c r="U60" s="418"/>
      <c r="V60" s="418"/>
      <c r="W60" s="418"/>
      <c r="X60" s="418"/>
      <c r="Y60" s="418"/>
      <c r="Z60" s="418"/>
      <c r="AA60" s="418"/>
    </row>
    <row r="61">
      <c r="A61" s="415"/>
      <c r="B61" s="415"/>
      <c r="C61" s="415"/>
      <c r="D61" s="415"/>
      <c r="E61" s="415"/>
      <c r="F61" s="415"/>
      <c r="G61" s="415"/>
      <c r="H61" s="415"/>
      <c r="I61" s="415"/>
      <c r="J61" s="415"/>
      <c r="K61" s="415"/>
      <c r="L61" s="415"/>
      <c r="M61" s="415"/>
      <c r="N61" s="415"/>
      <c r="O61" s="418"/>
      <c r="P61" s="418"/>
      <c r="Q61" s="418"/>
      <c r="R61" s="418"/>
      <c r="S61" s="418"/>
      <c r="T61" s="418"/>
      <c r="U61" s="418"/>
      <c r="V61" s="418"/>
      <c r="W61" s="418"/>
      <c r="X61" s="418"/>
      <c r="Y61" s="418"/>
      <c r="Z61" s="418"/>
      <c r="AA61" s="418"/>
    </row>
    <row r="62">
      <c r="A62" s="415"/>
      <c r="B62" s="415"/>
      <c r="C62" s="415"/>
      <c r="D62" s="415"/>
      <c r="E62" s="415"/>
      <c r="F62" s="415"/>
      <c r="G62" s="415"/>
      <c r="H62" s="415"/>
      <c r="I62" s="415"/>
      <c r="J62" s="415"/>
      <c r="K62" s="415"/>
      <c r="L62" s="415"/>
      <c r="M62" s="415"/>
      <c r="N62" s="415"/>
      <c r="O62" s="418"/>
      <c r="P62" s="418"/>
      <c r="Q62" s="418"/>
      <c r="R62" s="418"/>
      <c r="S62" s="418"/>
      <c r="T62" s="418"/>
      <c r="U62" s="418"/>
      <c r="V62" s="418"/>
      <c r="W62" s="418"/>
      <c r="X62" s="418"/>
      <c r="Y62" s="418"/>
      <c r="Z62" s="418"/>
      <c r="AA62" s="418"/>
    </row>
    <row r="63">
      <c r="A63" s="415"/>
      <c r="B63" s="415"/>
      <c r="C63" s="415"/>
      <c r="D63" s="415"/>
      <c r="E63" s="415"/>
      <c r="F63" s="415"/>
      <c r="G63" s="415"/>
      <c r="H63" s="415"/>
      <c r="I63" s="415"/>
      <c r="J63" s="415"/>
      <c r="K63" s="415"/>
      <c r="L63" s="415"/>
      <c r="M63" s="415"/>
      <c r="N63" s="415"/>
      <c r="O63" s="418"/>
      <c r="P63" s="418"/>
      <c r="Q63" s="418"/>
      <c r="R63" s="418"/>
      <c r="S63" s="418"/>
      <c r="T63" s="418"/>
      <c r="U63" s="418"/>
      <c r="V63" s="418"/>
      <c r="W63" s="418"/>
      <c r="X63" s="418"/>
      <c r="Y63" s="418"/>
      <c r="Z63" s="418"/>
      <c r="AA63" s="418"/>
    </row>
    <row r="64">
      <c r="A64" s="415"/>
      <c r="B64" s="415"/>
      <c r="C64" s="415"/>
      <c r="D64" s="415"/>
      <c r="E64" s="415"/>
      <c r="F64" s="415"/>
      <c r="G64" s="415"/>
      <c r="H64" s="415"/>
      <c r="I64" s="415"/>
      <c r="J64" s="415"/>
      <c r="K64" s="415"/>
      <c r="L64" s="415"/>
      <c r="M64" s="415"/>
      <c r="N64" s="415"/>
      <c r="O64" s="418"/>
      <c r="P64" s="418"/>
      <c r="Q64" s="418"/>
      <c r="R64" s="418"/>
      <c r="S64" s="418"/>
      <c r="T64" s="418"/>
      <c r="U64" s="418"/>
      <c r="V64" s="418"/>
      <c r="W64" s="418"/>
      <c r="X64" s="418"/>
      <c r="Y64" s="418"/>
      <c r="Z64" s="418"/>
      <c r="AA64" s="418"/>
    </row>
    <row r="65">
      <c r="A65" s="415"/>
      <c r="B65" s="415"/>
      <c r="C65" s="415"/>
      <c r="D65" s="415"/>
      <c r="E65" s="415"/>
      <c r="F65" s="415"/>
      <c r="G65" s="415"/>
      <c r="H65" s="415"/>
      <c r="I65" s="415"/>
      <c r="J65" s="415"/>
      <c r="K65" s="415"/>
      <c r="L65" s="415"/>
      <c r="M65" s="415"/>
      <c r="N65" s="415"/>
      <c r="O65" s="418"/>
      <c r="P65" s="418"/>
      <c r="Q65" s="418"/>
      <c r="R65" s="418"/>
      <c r="S65" s="418"/>
      <c r="T65" s="418"/>
      <c r="U65" s="418"/>
      <c r="V65" s="418"/>
      <c r="W65" s="418"/>
      <c r="X65" s="418"/>
      <c r="Y65" s="418"/>
      <c r="Z65" s="418"/>
      <c r="AA65" s="418"/>
    </row>
    <row r="66">
      <c r="A66" s="415"/>
      <c r="B66" s="415"/>
      <c r="C66" s="415"/>
      <c r="D66" s="415"/>
      <c r="E66" s="415"/>
      <c r="F66" s="415"/>
      <c r="G66" s="415"/>
      <c r="H66" s="415"/>
      <c r="I66" s="415"/>
      <c r="J66" s="415"/>
      <c r="K66" s="415"/>
      <c r="L66" s="415"/>
      <c r="M66" s="415"/>
      <c r="N66" s="415"/>
      <c r="O66" s="418"/>
      <c r="P66" s="418"/>
      <c r="Q66" s="418"/>
      <c r="R66" s="418"/>
      <c r="S66" s="418"/>
      <c r="T66" s="418"/>
      <c r="U66" s="418"/>
      <c r="V66" s="418"/>
      <c r="W66" s="418"/>
      <c r="X66" s="418"/>
      <c r="Y66" s="418"/>
      <c r="Z66" s="418"/>
      <c r="AA66" s="418"/>
    </row>
    <row r="67">
      <c r="A67" s="415"/>
      <c r="B67" s="415"/>
      <c r="C67" s="415"/>
      <c r="D67" s="415"/>
      <c r="E67" s="415"/>
      <c r="F67" s="415"/>
      <c r="G67" s="415"/>
      <c r="H67" s="415"/>
      <c r="I67" s="415"/>
      <c r="J67" s="415"/>
      <c r="K67" s="415"/>
      <c r="L67" s="415"/>
      <c r="M67" s="415"/>
      <c r="N67" s="415"/>
      <c r="O67" s="418"/>
      <c r="P67" s="418"/>
      <c r="Q67" s="418"/>
      <c r="R67" s="418"/>
      <c r="S67" s="418"/>
      <c r="T67" s="418"/>
      <c r="U67" s="418"/>
      <c r="V67" s="418"/>
      <c r="W67" s="418"/>
      <c r="X67" s="418"/>
      <c r="Y67" s="418"/>
      <c r="Z67" s="418"/>
      <c r="AA67" s="418"/>
    </row>
    <row r="68">
      <c r="A68" s="415"/>
      <c r="B68" s="415"/>
      <c r="C68" s="415"/>
      <c r="D68" s="415"/>
      <c r="E68" s="415"/>
      <c r="F68" s="415"/>
      <c r="G68" s="415"/>
      <c r="H68" s="415"/>
      <c r="I68" s="415"/>
      <c r="J68" s="415"/>
      <c r="K68" s="415"/>
      <c r="L68" s="415"/>
      <c r="M68" s="415"/>
      <c r="N68" s="415"/>
      <c r="O68" s="418"/>
      <c r="P68" s="418"/>
      <c r="Q68" s="418"/>
      <c r="R68" s="418"/>
      <c r="S68" s="418"/>
      <c r="T68" s="418"/>
      <c r="U68" s="418"/>
      <c r="V68" s="418"/>
      <c r="W68" s="418"/>
      <c r="X68" s="418"/>
      <c r="Y68" s="418"/>
      <c r="Z68" s="418"/>
      <c r="AA68" s="418"/>
    </row>
    <row r="69">
      <c r="A69" s="415"/>
      <c r="B69" s="415"/>
      <c r="C69" s="415"/>
      <c r="D69" s="415"/>
      <c r="E69" s="415"/>
      <c r="F69" s="415"/>
      <c r="G69" s="415"/>
      <c r="H69" s="415"/>
      <c r="I69" s="415"/>
      <c r="J69" s="415"/>
      <c r="K69" s="415"/>
      <c r="L69" s="415"/>
      <c r="M69" s="415"/>
      <c r="N69" s="415"/>
      <c r="O69" s="418"/>
      <c r="P69" s="418"/>
      <c r="Q69" s="418"/>
      <c r="R69" s="418"/>
      <c r="S69" s="418"/>
      <c r="T69" s="418"/>
      <c r="U69" s="418"/>
      <c r="V69" s="418"/>
      <c r="W69" s="418"/>
      <c r="X69" s="418"/>
      <c r="Y69" s="418"/>
      <c r="Z69" s="418"/>
      <c r="AA69" s="418"/>
    </row>
    <row r="70">
      <c r="A70" s="415"/>
      <c r="B70" s="415"/>
      <c r="C70" s="415"/>
      <c r="D70" s="415"/>
      <c r="E70" s="415"/>
      <c r="F70" s="415"/>
      <c r="G70" s="415"/>
      <c r="H70" s="415"/>
      <c r="I70" s="415"/>
      <c r="J70" s="415"/>
      <c r="K70" s="415"/>
      <c r="L70" s="415"/>
      <c r="M70" s="415"/>
      <c r="N70" s="415"/>
      <c r="O70" s="418"/>
      <c r="P70" s="418"/>
      <c r="Q70" s="418"/>
      <c r="R70" s="418"/>
      <c r="S70" s="418"/>
      <c r="T70" s="418"/>
      <c r="U70" s="418"/>
      <c r="V70" s="418"/>
      <c r="W70" s="418"/>
      <c r="X70" s="418"/>
      <c r="Y70" s="418"/>
      <c r="Z70" s="418"/>
      <c r="AA70" s="418"/>
    </row>
    <row r="71">
      <c r="A71" s="415"/>
      <c r="B71" s="415"/>
      <c r="C71" s="415"/>
      <c r="D71" s="415"/>
      <c r="E71" s="415"/>
      <c r="F71" s="415"/>
      <c r="G71" s="415"/>
      <c r="H71" s="415"/>
      <c r="I71" s="415"/>
      <c r="J71" s="415"/>
      <c r="K71" s="415"/>
      <c r="L71" s="415"/>
      <c r="M71" s="415"/>
      <c r="N71" s="415"/>
      <c r="O71" s="418"/>
      <c r="P71" s="418"/>
      <c r="Q71" s="418"/>
      <c r="R71" s="418"/>
      <c r="S71" s="418"/>
      <c r="T71" s="418"/>
      <c r="U71" s="418"/>
      <c r="V71" s="418"/>
      <c r="W71" s="418"/>
      <c r="X71" s="418"/>
      <c r="Y71" s="418"/>
      <c r="Z71" s="418"/>
      <c r="AA71" s="418"/>
    </row>
    <row r="72">
      <c r="A72" s="415"/>
      <c r="B72" s="415"/>
      <c r="C72" s="415"/>
      <c r="D72" s="415"/>
      <c r="E72" s="415"/>
      <c r="F72" s="415"/>
      <c r="G72" s="415"/>
      <c r="H72" s="415"/>
      <c r="I72" s="415"/>
      <c r="J72" s="415"/>
      <c r="K72" s="415"/>
      <c r="L72" s="415"/>
      <c r="M72" s="415"/>
      <c r="N72" s="415"/>
      <c r="O72" s="418"/>
      <c r="P72" s="418"/>
      <c r="Q72" s="418"/>
      <c r="R72" s="418"/>
      <c r="S72" s="418"/>
      <c r="T72" s="418"/>
      <c r="U72" s="418"/>
      <c r="V72" s="418"/>
      <c r="W72" s="418"/>
      <c r="X72" s="418"/>
      <c r="Y72" s="418"/>
      <c r="Z72" s="418"/>
      <c r="AA72" s="418"/>
    </row>
    <row r="73">
      <c r="A73" s="415"/>
      <c r="B73" s="415"/>
      <c r="C73" s="415"/>
      <c r="D73" s="415"/>
      <c r="E73" s="415"/>
      <c r="F73" s="415"/>
      <c r="G73" s="415"/>
      <c r="H73" s="415"/>
      <c r="I73" s="415"/>
      <c r="J73" s="415"/>
      <c r="K73" s="415"/>
      <c r="L73" s="415"/>
      <c r="M73" s="415"/>
      <c r="N73" s="415"/>
      <c r="O73" s="418"/>
      <c r="P73" s="418"/>
      <c r="Q73" s="418"/>
      <c r="R73" s="418"/>
      <c r="S73" s="418"/>
      <c r="T73" s="418"/>
      <c r="U73" s="418"/>
      <c r="V73" s="418"/>
      <c r="W73" s="418"/>
      <c r="X73" s="418"/>
      <c r="Y73" s="418"/>
      <c r="Z73" s="418"/>
      <c r="AA73" s="418"/>
    </row>
    <row r="74">
      <c r="A74" s="415"/>
      <c r="B74" s="415"/>
      <c r="C74" s="415"/>
      <c r="D74" s="415"/>
      <c r="E74" s="415"/>
      <c r="F74" s="415"/>
      <c r="G74" s="415"/>
      <c r="H74" s="415"/>
      <c r="I74" s="415"/>
      <c r="J74" s="415"/>
      <c r="K74" s="415"/>
      <c r="L74" s="415"/>
      <c r="M74" s="415"/>
      <c r="N74" s="415"/>
      <c r="O74" s="418"/>
      <c r="P74" s="418"/>
      <c r="Q74" s="418"/>
      <c r="R74" s="418"/>
      <c r="S74" s="418"/>
      <c r="T74" s="418"/>
      <c r="U74" s="418"/>
      <c r="V74" s="418"/>
      <c r="W74" s="418"/>
      <c r="X74" s="418"/>
      <c r="Y74" s="418"/>
      <c r="Z74" s="418"/>
      <c r="AA74" s="418"/>
    </row>
    <row r="75">
      <c r="A75" s="415"/>
      <c r="B75" s="415"/>
      <c r="C75" s="415"/>
      <c r="D75" s="415"/>
      <c r="E75" s="415"/>
      <c r="F75" s="415"/>
      <c r="G75" s="415"/>
      <c r="H75" s="415"/>
      <c r="I75" s="415"/>
      <c r="J75" s="415"/>
      <c r="K75" s="415"/>
      <c r="L75" s="415"/>
      <c r="M75" s="415"/>
      <c r="N75" s="415"/>
      <c r="O75" s="418"/>
      <c r="P75" s="418"/>
      <c r="Q75" s="418"/>
      <c r="R75" s="418"/>
      <c r="S75" s="418"/>
      <c r="T75" s="418"/>
      <c r="U75" s="418"/>
      <c r="V75" s="418"/>
      <c r="W75" s="418"/>
      <c r="X75" s="418"/>
      <c r="Y75" s="418"/>
      <c r="Z75" s="418"/>
      <c r="AA75" s="418"/>
    </row>
    <row r="76">
      <c r="A76" s="415"/>
      <c r="B76" s="415"/>
      <c r="C76" s="415"/>
      <c r="D76" s="415"/>
      <c r="E76" s="415"/>
      <c r="F76" s="415"/>
      <c r="G76" s="415"/>
      <c r="H76" s="415"/>
      <c r="I76" s="415"/>
      <c r="J76" s="415"/>
      <c r="K76" s="415"/>
      <c r="L76" s="415"/>
      <c r="M76" s="415"/>
      <c r="N76" s="415"/>
      <c r="O76" s="418"/>
      <c r="P76" s="418"/>
      <c r="Q76" s="418"/>
      <c r="R76" s="418"/>
      <c r="S76" s="418"/>
      <c r="T76" s="418"/>
      <c r="U76" s="418"/>
      <c r="V76" s="418"/>
      <c r="W76" s="418"/>
      <c r="X76" s="418"/>
      <c r="Y76" s="418"/>
      <c r="Z76" s="418"/>
      <c r="AA76" s="418"/>
    </row>
    <row r="77">
      <c r="A77" s="415"/>
      <c r="B77" s="415"/>
      <c r="C77" s="415"/>
      <c r="D77" s="415"/>
      <c r="E77" s="415"/>
      <c r="F77" s="415"/>
      <c r="G77" s="415"/>
      <c r="H77" s="415"/>
      <c r="I77" s="415"/>
      <c r="J77" s="415"/>
      <c r="K77" s="415"/>
      <c r="L77" s="415"/>
      <c r="M77" s="415"/>
      <c r="N77" s="415"/>
      <c r="O77" s="418"/>
      <c r="P77" s="418"/>
      <c r="Q77" s="418"/>
      <c r="R77" s="418"/>
      <c r="S77" s="418"/>
      <c r="T77" s="418"/>
      <c r="U77" s="418"/>
      <c r="V77" s="418"/>
      <c r="W77" s="418"/>
      <c r="X77" s="418"/>
      <c r="Y77" s="418"/>
      <c r="Z77" s="418"/>
      <c r="AA77" s="418"/>
    </row>
    <row r="78">
      <c r="A78" s="415"/>
      <c r="B78" s="415"/>
      <c r="C78" s="415"/>
      <c r="D78" s="415"/>
      <c r="E78" s="415"/>
      <c r="F78" s="415"/>
      <c r="G78" s="415"/>
      <c r="H78" s="415"/>
      <c r="I78" s="415"/>
      <c r="J78" s="415"/>
      <c r="K78" s="415"/>
      <c r="L78" s="415"/>
      <c r="M78" s="415"/>
      <c r="N78" s="415"/>
      <c r="O78" s="418"/>
      <c r="P78" s="418"/>
      <c r="Q78" s="418"/>
      <c r="R78" s="418"/>
      <c r="S78" s="418"/>
      <c r="T78" s="418"/>
      <c r="U78" s="418"/>
      <c r="V78" s="418"/>
      <c r="W78" s="418"/>
      <c r="X78" s="418"/>
      <c r="Y78" s="418"/>
      <c r="Z78" s="418"/>
      <c r="AA78" s="418"/>
    </row>
    <row r="79">
      <c r="A79" s="415"/>
      <c r="B79" s="415"/>
      <c r="C79" s="415"/>
      <c r="D79" s="415"/>
      <c r="E79" s="415"/>
      <c r="F79" s="415"/>
      <c r="G79" s="415"/>
      <c r="H79" s="415"/>
      <c r="I79" s="415"/>
      <c r="J79" s="415"/>
      <c r="K79" s="415"/>
      <c r="L79" s="415"/>
      <c r="M79" s="415"/>
      <c r="N79" s="415"/>
      <c r="O79" s="418"/>
      <c r="P79" s="418"/>
      <c r="Q79" s="418"/>
      <c r="R79" s="418"/>
      <c r="S79" s="418"/>
      <c r="T79" s="418"/>
      <c r="U79" s="418"/>
      <c r="V79" s="418"/>
      <c r="W79" s="418"/>
      <c r="X79" s="418"/>
      <c r="Y79" s="418"/>
      <c r="Z79" s="418"/>
      <c r="AA79" s="418"/>
    </row>
    <row r="80">
      <c r="A80" s="415"/>
      <c r="B80" s="415"/>
      <c r="C80" s="415"/>
      <c r="D80" s="415"/>
      <c r="E80" s="415"/>
      <c r="F80" s="415"/>
      <c r="G80" s="415"/>
      <c r="H80" s="415"/>
      <c r="I80" s="415"/>
      <c r="J80" s="415"/>
      <c r="K80" s="415"/>
      <c r="L80" s="415"/>
      <c r="M80" s="415"/>
      <c r="N80" s="415"/>
      <c r="O80" s="418"/>
      <c r="P80" s="418"/>
      <c r="Q80" s="418"/>
      <c r="R80" s="418"/>
      <c r="S80" s="418"/>
      <c r="T80" s="418"/>
      <c r="U80" s="418"/>
      <c r="V80" s="418"/>
      <c r="W80" s="418"/>
      <c r="X80" s="418"/>
      <c r="Y80" s="418"/>
      <c r="Z80" s="418"/>
      <c r="AA80" s="418"/>
    </row>
    <row r="81">
      <c r="A81" s="415"/>
      <c r="B81" s="415"/>
      <c r="C81" s="415"/>
      <c r="D81" s="415"/>
      <c r="E81" s="415"/>
      <c r="F81" s="415"/>
      <c r="G81" s="415"/>
      <c r="H81" s="415"/>
      <c r="I81" s="415"/>
      <c r="J81" s="415"/>
      <c r="K81" s="415"/>
      <c r="L81" s="415"/>
      <c r="M81" s="415"/>
      <c r="N81" s="415"/>
      <c r="O81" s="418"/>
      <c r="P81" s="418"/>
      <c r="Q81" s="418"/>
      <c r="R81" s="418"/>
      <c r="S81" s="418"/>
      <c r="T81" s="418"/>
      <c r="U81" s="418"/>
      <c r="V81" s="418"/>
      <c r="W81" s="418"/>
      <c r="X81" s="418"/>
      <c r="Y81" s="418"/>
      <c r="Z81" s="418"/>
      <c r="AA81" s="418"/>
    </row>
    <row r="82">
      <c r="A82" s="415"/>
      <c r="B82" s="415"/>
      <c r="C82" s="415"/>
      <c r="D82" s="415"/>
      <c r="E82" s="415"/>
      <c r="F82" s="415"/>
      <c r="G82" s="415"/>
      <c r="H82" s="415"/>
      <c r="I82" s="415"/>
      <c r="J82" s="415"/>
      <c r="K82" s="415"/>
      <c r="L82" s="415"/>
      <c r="M82" s="415"/>
      <c r="N82" s="415"/>
      <c r="O82" s="418"/>
      <c r="P82" s="418"/>
      <c r="Q82" s="418"/>
      <c r="R82" s="418"/>
      <c r="S82" s="418"/>
      <c r="T82" s="418"/>
      <c r="U82" s="418"/>
      <c r="V82" s="418"/>
      <c r="W82" s="418"/>
      <c r="X82" s="418"/>
      <c r="Y82" s="418"/>
      <c r="Z82" s="418"/>
      <c r="AA82" s="418"/>
    </row>
    <row r="83">
      <c r="A83" s="415"/>
      <c r="B83" s="415"/>
      <c r="C83" s="415"/>
      <c r="D83" s="415"/>
      <c r="E83" s="415"/>
      <c r="F83" s="415"/>
      <c r="G83" s="415"/>
      <c r="H83" s="415"/>
      <c r="I83" s="415"/>
      <c r="J83" s="415"/>
      <c r="K83" s="415"/>
      <c r="L83" s="415"/>
      <c r="M83" s="415"/>
      <c r="N83" s="415"/>
      <c r="O83" s="418"/>
      <c r="P83" s="418"/>
      <c r="Q83" s="418"/>
      <c r="R83" s="418"/>
      <c r="S83" s="418"/>
      <c r="T83" s="418"/>
      <c r="U83" s="418"/>
      <c r="V83" s="418"/>
      <c r="W83" s="418"/>
      <c r="X83" s="418"/>
      <c r="Y83" s="418"/>
      <c r="Z83" s="418"/>
      <c r="AA83" s="418"/>
    </row>
    <row r="84">
      <c r="A84" s="415"/>
      <c r="B84" s="415"/>
      <c r="C84" s="415"/>
      <c r="D84" s="415"/>
      <c r="E84" s="415"/>
      <c r="F84" s="415"/>
      <c r="G84" s="415"/>
      <c r="H84" s="415"/>
      <c r="I84" s="415"/>
      <c r="J84" s="415"/>
      <c r="K84" s="415"/>
      <c r="L84" s="415"/>
      <c r="M84" s="415"/>
      <c r="N84" s="415"/>
      <c r="O84" s="418"/>
      <c r="P84" s="418"/>
      <c r="Q84" s="418"/>
      <c r="R84" s="418"/>
      <c r="S84" s="418"/>
      <c r="T84" s="418"/>
      <c r="U84" s="418"/>
      <c r="V84" s="418"/>
      <c r="W84" s="418"/>
      <c r="X84" s="418"/>
      <c r="Y84" s="418"/>
      <c r="Z84" s="418"/>
      <c r="AA84" s="418"/>
    </row>
    <row r="85">
      <c r="A85" s="415"/>
      <c r="B85" s="415"/>
      <c r="C85" s="415"/>
      <c r="D85" s="415"/>
      <c r="E85" s="415"/>
      <c r="F85" s="415"/>
      <c r="G85" s="415"/>
      <c r="H85" s="415"/>
      <c r="I85" s="415"/>
      <c r="J85" s="415"/>
      <c r="K85" s="415"/>
      <c r="L85" s="415"/>
      <c r="M85" s="415"/>
      <c r="N85" s="415"/>
      <c r="O85" s="418"/>
      <c r="P85" s="418"/>
      <c r="Q85" s="418"/>
      <c r="R85" s="418"/>
      <c r="S85" s="418"/>
      <c r="T85" s="418"/>
      <c r="U85" s="418"/>
      <c r="V85" s="418"/>
      <c r="W85" s="418"/>
      <c r="X85" s="418"/>
      <c r="Y85" s="418"/>
      <c r="Z85" s="418"/>
      <c r="AA85" s="418"/>
    </row>
    <row r="86">
      <c r="A86" s="415"/>
      <c r="B86" s="415"/>
      <c r="C86" s="415"/>
      <c r="D86" s="415"/>
      <c r="E86" s="415"/>
      <c r="F86" s="415"/>
      <c r="G86" s="415"/>
      <c r="H86" s="415"/>
      <c r="I86" s="415"/>
      <c r="J86" s="415"/>
      <c r="K86" s="415"/>
      <c r="L86" s="415"/>
      <c r="M86" s="415"/>
      <c r="N86" s="415"/>
      <c r="O86" s="418"/>
      <c r="P86" s="418"/>
      <c r="Q86" s="418"/>
      <c r="R86" s="418"/>
      <c r="S86" s="418"/>
      <c r="T86" s="418"/>
      <c r="U86" s="418"/>
      <c r="V86" s="418"/>
      <c r="W86" s="418"/>
      <c r="X86" s="418"/>
      <c r="Y86" s="418"/>
      <c r="Z86" s="418"/>
      <c r="AA86" s="418"/>
    </row>
    <row r="87">
      <c r="A87" s="415"/>
      <c r="B87" s="415"/>
      <c r="C87" s="415"/>
      <c r="D87" s="415"/>
      <c r="E87" s="415"/>
      <c r="F87" s="415"/>
      <c r="G87" s="415"/>
      <c r="H87" s="415"/>
      <c r="I87" s="415"/>
      <c r="J87" s="415"/>
      <c r="K87" s="415"/>
      <c r="L87" s="415"/>
      <c r="M87" s="415"/>
      <c r="N87" s="415"/>
      <c r="O87" s="418"/>
      <c r="P87" s="418"/>
      <c r="Q87" s="418"/>
      <c r="R87" s="418"/>
      <c r="S87" s="418"/>
      <c r="T87" s="418"/>
      <c r="U87" s="418"/>
      <c r="V87" s="418"/>
      <c r="W87" s="418"/>
      <c r="X87" s="418"/>
      <c r="Y87" s="418"/>
      <c r="Z87" s="418"/>
      <c r="AA87" s="418"/>
    </row>
    <row r="88">
      <c r="A88" s="415"/>
      <c r="B88" s="415"/>
      <c r="C88" s="415"/>
      <c r="D88" s="415"/>
      <c r="E88" s="415"/>
      <c r="F88" s="415"/>
      <c r="G88" s="415"/>
      <c r="H88" s="415"/>
      <c r="I88" s="415"/>
      <c r="J88" s="415"/>
      <c r="K88" s="415"/>
      <c r="L88" s="415"/>
      <c r="M88" s="415"/>
      <c r="N88" s="415"/>
      <c r="O88" s="418"/>
      <c r="P88" s="418"/>
      <c r="Q88" s="418"/>
      <c r="R88" s="418"/>
      <c r="S88" s="418"/>
      <c r="T88" s="418"/>
      <c r="U88" s="418"/>
      <c r="V88" s="418"/>
      <c r="W88" s="418"/>
      <c r="X88" s="418"/>
      <c r="Y88" s="418"/>
      <c r="Z88" s="418"/>
      <c r="AA88" s="418"/>
    </row>
    <row r="89">
      <c r="A89" s="415"/>
      <c r="B89" s="415"/>
      <c r="C89" s="415"/>
      <c r="D89" s="415"/>
      <c r="E89" s="415"/>
      <c r="F89" s="415"/>
      <c r="G89" s="415"/>
      <c r="H89" s="415"/>
      <c r="I89" s="415"/>
      <c r="J89" s="415"/>
      <c r="K89" s="415"/>
      <c r="L89" s="415"/>
      <c r="M89" s="415"/>
      <c r="N89" s="415"/>
      <c r="O89" s="415"/>
      <c r="P89" s="415"/>
      <c r="Q89" s="415"/>
      <c r="R89" s="415"/>
      <c r="S89" s="415"/>
      <c r="T89" s="415"/>
      <c r="U89" s="415"/>
      <c r="V89" s="415"/>
      <c r="W89" s="415"/>
      <c r="X89" s="415"/>
      <c r="Y89" s="415"/>
      <c r="Z89" s="415"/>
      <c r="AA89" s="415"/>
    </row>
    <row r="90">
      <c r="A90" s="415"/>
      <c r="B90" s="415"/>
      <c r="C90" s="415"/>
      <c r="D90" s="415"/>
      <c r="E90" s="415"/>
      <c r="F90" s="415"/>
      <c r="G90" s="415"/>
      <c r="H90" s="415"/>
      <c r="I90" s="415"/>
      <c r="J90" s="415"/>
      <c r="K90" s="415"/>
      <c r="L90" s="415"/>
      <c r="M90" s="415"/>
      <c r="N90" s="415"/>
      <c r="O90" s="415"/>
      <c r="P90" s="415"/>
      <c r="Q90" s="415"/>
      <c r="R90" s="415"/>
      <c r="S90" s="415"/>
      <c r="T90" s="415"/>
      <c r="U90" s="415"/>
      <c r="V90" s="415"/>
      <c r="W90" s="415"/>
      <c r="X90" s="415"/>
      <c r="Y90" s="415"/>
      <c r="Z90" s="415"/>
      <c r="AA90" s="415"/>
    </row>
    <row r="91">
      <c r="A91" s="415"/>
      <c r="B91" s="415"/>
      <c r="C91" s="415"/>
      <c r="D91" s="415"/>
      <c r="E91" s="415"/>
      <c r="F91" s="415"/>
      <c r="G91" s="415"/>
      <c r="H91" s="415"/>
      <c r="I91" s="415"/>
      <c r="J91" s="415"/>
      <c r="K91" s="415"/>
      <c r="L91" s="415"/>
      <c r="M91" s="415"/>
      <c r="N91" s="415"/>
      <c r="O91" s="415"/>
      <c r="P91" s="415"/>
      <c r="Q91" s="415"/>
      <c r="R91" s="415"/>
      <c r="S91" s="415"/>
      <c r="T91" s="415"/>
      <c r="U91" s="415"/>
      <c r="V91" s="415"/>
      <c r="W91" s="415"/>
      <c r="X91" s="415"/>
      <c r="Y91" s="415"/>
      <c r="Z91" s="415"/>
      <c r="AA91" s="415"/>
    </row>
    <row r="92">
      <c r="A92" s="415"/>
      <c r="B92" s="415"/>
      <c r="C92" s="415"/>
      <c r="D92" s="415"/>
      <c r="E92" s="415"/>
      <c r="F92" s="415"/>
      <c r="G92" s="415"/>
      <c r="H92" s="415"/>
      <c r="I92" s="415"/>
      <c r="J92" s="415"/>
      <c r="K92" s="415"/>
      <c r="L92" s="415"/>
      <c r="M92" s="415"/>
      <c r="N92" s="415"/>
      <c r="O92" s="415"/>
      <c r="P92" s="415"/>
      <c r="Q92" s="415"/>
      <c r="R92" s="415"/>
      <c r="S92" s="415"/>
      <c r="T92" s="415"/>
      <c r="U92" s="415"/>
      <c r="V92" s="415"/>
      <c r="W92" s="415"/>
      <c r="X92" s="415"/>
      <c r="Y92" s="415"/>
      <c r="Z92" s="415"/>
      <c r="AA92" s="415"/>
    </row>
    <row r="93">
      <c r="A93" s="415"/>
      <c r="B93" s="415"/>
      <c r="C93" s="415"/>
      <c r="D93" s="415"/>
      <c r="E93" s="415"/>
      <c r="F93" s="415"/>
      <c r="G93" s="415"/>
      <c r="H93" s="415"/>
      <c r="I93" s="415"/>
      <c r="J93" s="415"/>
      <c r="K93" s="415"/>
      <c r="L93" s="415"/>
      <c r="M93" s="415"/>
      <c r="N93" s="415"/>
      <c r="O93" s="415"/>
      <c r="P93" s="415"/>
      <c r="Q93" s="415"/>
      <c r="R93" s="415"/>
      <c r="S93" s="415"/>
      <c r="T93" s="415"/>
      <c r="U93" s="415"/>
      <c r="V93" s="415"/>
      <c r="W93" s="415"/>
      <c r="X93" s="415"/>
      <c r="Y93" s="415"/>
      <c r="Z93" s="415"/>
      <c r="AA93" s="415"/>
    </row>
    <row r="94">
      <c r="A94" s="415"/>
      <c r="B94" s="415"/>
      <c r="C94" s="415"/>
      <c r="D94" s="415"/>
      <c r="E94" s="415"/>
      <c r="F94" s="415"/>
      <c r="G94" s="415"/>
      <c r="H94" s="415"/>
      <c r="I94" s="415"/>
      <c r="J94" s="415"/>
      <c r="K94" s="415"/>
      <c r="L94" s="415"/>
      <c r="M94" s="415"/>
      <c r="N94" s="415"/>
      <c r="O94" s="415"/>
      <c r="P94" s="415"/>
      <c r="Q94" s="415"/>
      <c r="R94" s="415"/>
      <c r="S94" s="415"/>
      <c r="T94" s="415"/>
      <c r="U94" s="415"/>
      <c r="V94" s="415"/>
      <c r="W94" s="415"/>
      <c r="X94" s="415"/>
      <c r="Y94" s="415"/>
      <c r="Z94" s="415"/>
      <c r="AA94" s="415"/>
    </row>
    <row r="95">
      <c r="A95" s="415"/>
      <c r="B95" s="415"/>
      <c r="C95" s="415"/>
      <c r="D95" s="415"/>
      <c r="E95" s="415"/>
      <c r="F95" s="415"/>
      <c r="G95" s="415"/>
      <c r="H95" s="415"/>
      <c r="I95" s="415"/>
      <c r="J95" s="415"/>
      <c r="K95" s="415"/>
      <c r="L95" s="415"/>
      <c r="M95" s="415"/>
      <c r="N95" s="415"/>
      <c r="O95" s="415"/>
      <c r="P95" s="415"/>
      <c r="Q95" s="415"/>
      <c r="R95" s="415"/>
      <c r="S95" s="415"/>
      <c r="T95" s="415"/>
      <c r="U95" s="415"/>
      <c r="V95" s="415"/>
      <c r="W95" s="415"/>
      <c r="X95" s="415"/>
      <c r="Y95" s="415"/>
      <c r="Z95" s="415"/>
      <c r="AA95" s="415"/>
    </row>
    <row r="96">
      <c r="A96" s="415"/>
      <c r="B96" s="415"/>
      <c r="C96" s="415"/>
      <c r="D96" s="415"/>
      <c r="E96" s="415"/>
      <c r="F96" s="415"/>
      <c r="G96" s="415"/>
      <c r="H96" s="415"/>
      <c r="I96" s="415"/>
      <c r="J96" s="415"/>
      <c r="K96" s="415"/>
      <c r="L96" s="415"/>
      <c r="M96" s="415"/>
      <c r="N96" s="415"/>
      <c r="O96" s="415"/>
      <c r="P96" s="415"/>
      <c r="Q96" s="415"/>
      <c r="R96" s="415"/>
      <c r="S96" s="415"/>
      <c r="T96" s="415"/>
      <c r="U96" s="415"/>
      <c r="V96" s="415"/>
      <c r="W96" s="415"/>
      <c r="X96" s="415"/>
      <c r="Y96" s="415"/>
      <c r="Z96" s="415"/>
      <c r="AA96" s="415"/>
    </row>
    <row r="97">
      <c r="A97" s="415"/>
      <c r="B97" s="415"/>
      <c r="C97" s="415"/>
      <c r="D97" s="415"/>
      <c r="E97" s="415"/>
      <c r="F97" s="415"/>
      <c r="G97" s="415"/>
      <c r="H97" s="415"/>
      <c r="I97" s="415"/>
      <c r="J97" s="415"/>
      <c r="K97" s="415"/>
      <c r="L97" s="415"/>
      <c r="M97" s="415"/>
      <c r="N97" s="415"/>
      <c r="O97" s="415"/>
      <c r="P97" s="415"/>
      <c r="Q97" s="415"/>
      <c r="R97" s="415"/>
      <c r="S97" s="415"/>
      <c r="T97" s="415"/>
      <c r="U97" s="415"/>
      <c r="V97" s="415"/>
      <c r="W97" s="415"/>
      <c r="X97" s="415"/>
      <c r="Y97" s="415"/>
      <c r="Z97" s="415"/>
      <c r="AA97" s="415"/>
    </row>
    <row r="98">
      <c r="A98" s="415"/>
      <c r="B98" s="415"/>
      <c r="C98" s="415"/>
      <c r="D98" s="415"/>
      <c r="E98" s="415"/>
      <c r="F98" s="415"/>
      <c r="G98" s="415"/>
      <c r="H98" s="415"/>
      <c r="I98" s="415"/>
      <c r="J98" s="415"/>
      <c r="K98" s="415"/>
      <c r="L98" s="415"/>
      <c r="M98" s="415"/>
      <c r="N98" s="415"/>
      <c r="O98" s="415"/>
      <c r="P98" s="415"/>
      <c r="Q98" s="415"/>
      <c r="R98" s="415"/>
      <c r="S98" s="415"/>
      <c r="T98" s="415"/>
      <c r="U98" s="415"/>
      <c r="V98" s="415"/>
      <c r="W98" s="415"/>
      <c r="X98" s="415"/>
      <c r="Y98" s="415"/>
      <c r="Z98" s="415"/>
      <c r="AA98" s="415"/>
    </row>
    <row r="99">
      <c r="A99" s="415"/>
      <c r="B99" s="415"/>
      <c r="C99" s="415"/>
      <c r="D99" s="415"/>
      <c r="E99" s="415"/>
      <c r="F99" s="415"/>
      <c r="G99" s="415"/>
      <c r="H99" s="415"/>
      <c r="I99" s="415"/>
      <c r="J99" s="415"/>
      <c r="K99" s="415"/>
      <c r="L99" s="415"/>
      <c r="M99" s="415"/>
      <c r="N99" s="415"/>
      <c r="O99" s="415"/>
      <c r="P99" s="415"/>
      <c r="Q99" s="415"/>
      <c r="R99" s="415"/>
      <c r="S99" s="415"/>
      <c r="T99" s="415"/>
      <c r="U99" s="415"/>
      <c r="V99" s="415"/>
      <c r="W99" s="415"/>
      <c r="X99" s="415"/>
      <c r="Y99" s="415"/>
      <c r="Z99" s="415"/>
      <c r="AA99" s="415"/>
    </row>
    <row r="100">
      <c r="A100" s="415"/>
      <c r="B100" s="415"/>
      <c r="C100" s="415"/>
      <c r="D100" s="415"/>
      <c r="E100" s="415"/>
      <c r="F100" s="415"/>
      <c r="G100" s="415"/>
      <c r="H100" s="415"/>
      <c r="I100" s="415"/>
      <c r="J100" s="415"/>
      <c r="K100" s="415"/>
      <c r="L100" s="415"/>
      <c r="M100" s="415"/>
      <c r="N100" s="415"/>
      <c r="O100" s="415"/>
      <c r="P100" s="415"/>
      <c r="Q100" s="415"/>
      <c r="R100" s="415"/>
      <c r="S100" s="415"/>
      <c r="T100" s="415"/>
      <c r="U100" s="415"/>
      <c r="V100" s="415"/>
      <c r="W100" s="415"/>
      <c r="X100" s="415"/>
      <c r="Y100" s="415"/>
      <c r="Z100" s="415"/>
      <c r="AA100" s="415"/>
    </row>
    <row r="101">
      <c r="A101" s="415"/>
      <c r="B101" s="415"/>
      <c r="C101" s="415"/>
      <c r="D101" s="415"/>
      <c r="E101" s="415"/>
      <c r="F101" s="415"/>
      <c r="G101" s="415"/>
      <c r="H101" s="415"/>
      <c r="I101" s="415"/>
      <c r="J101" s="415"/>
      <c r="K101" s="415"/>
      <c r="L101" s="415"/>
      <c r="M101" s="415"/>
      <c r="N101" s="415"/>
      <c r="O101" s="415"/>
      <c r="P101" s="415"/>
      <c r="Q101" s="415"/>
      <c r="R101" s="415"/>
      <c r="S101" s="415"/>
      <c r="T101" s="415"/>
      <c r="U101" s="415"/>
      <c r="V101" s="415"/>
      <c r="W101" s="415"/>
      <c r="X101" s="415"/>
      <c r="Y101" s="415"/>
      <c r="Z101" s="415"/>
      <c r="AA101" s="415"/>
    </row>
    <row r="102">
      <c r="A102" s="415"/>
      <c r="B102" s="415"/>
      <c r="C102" s="415"/>
      <c r="D102" s="415"/>
      <c r="E102" s="415"/>
      <c r="F102" s="415"/>
      <c r="G102" s="415"/>
      <c r="H102" s="415"/>
      <c r="I102" s="415"/>
      <c r="J102" s="415"/>
      <c r="K102" s="415"/>
      <c r="L102" s="415"/>
      <c r="M102" s="415"/>
      <c r="N102" s="415"/>
      <c r="O102" s="415"/>
      <c r="P102" s="415"/>
      <c r="Q102" s="415"/>
      <c r="R102" s="415"/>
      <c r="S102" s="415"/>
      <c r="T102" s="415"/>
      <c r="U102" s="415"/>
      <c r="V102" s="415"/>
      <c r="W102" s="415"/>
      <c r="X102" s="415"/>
      <c r="Y102" s="415"/>
      <c r="Z102" s="415"/>
      <c r="AA102" s="415"/>
    </row>
    <row r="103">
      <c r="A103" s="415"/>
      <c r="B103" s="415"/>
      <c r="C103" s="415"/>
      <c r="D103" s="415"/>
      <c r="E103" s="415"/>
      <c r="F103" s="415"/>
      <c r="G103" s="415"/>
      <c r="H103" s="415"/>
      <c r="I103" s="415"/>
      <c r="J103" s="415"/>
      <c r="K103" s="415"/>
      <c r="L103" s="415"/>
      <c r="M103" s="415"/>
      <c r="N103" s="415"/>
      <c r="O103" s="415"/>
      <c r="P103" s="415"/>
      <c r="Q103" s="415"/>
      <c r="R103" s="415"/>
      <c r="S103" s="415"/>
      <c r="T103" s="415"/>
      <c r="U103" s="415"/>
      <c r="V103" s="415"/>
      <c r="W103" s="415"/>
      <c r="X103" s="415"/>
      <c r="Y103" s="415"/>
      <c r="Z103" s="415"/>
      <c r="AA103" s="415"/>
    </row>
    <row r="104">
      <c r="A104" s="415"/>
      <c r="B104" s="415"/>
      <c r="C104" s="415"/>
      <c r="D104" s="415"/>
      <c r="E104" s="415"/>
      <c r="F104" s="415"/>
      <c r="G104" s="415"/>
      <c r="H104" s="415"/>
      <c r="I104" s="415"/>
      <c r="J104" s="415"/>
      <c r="K104" s="415"/>
      <c r="L104" s="415"/>
      <c r="M104" s="415"/>
      <c r="N104" s="415"/>
      <c r="O104" s="415"/>
      <c r="P104" s="415"/>
      <c r="Q104" s="415"/>
      <c r="R104" s="415"/>
      <c r="S104" s="415"/>
      <c r="T104" s="415"/>
      <c r="U104" s="415"/>
      <c r="V104" s="415"/>
      <c r="W104" s="415"/>
      <c r="X104" s="415"/>
      <c r="Y104" s="415"/>
      <c r="Z104" s="415"/>
      <c r="AA104" s="415"/>
    </row>
    <row r="105">
      <c r="A105" s="415"/>
      <c r="B105" s="415"/>
      <c r="C105" s="415"/>
      <c r="D105" s="415"/>
      <c r="E105" s="415"/>
      <c r="F105" s="415"/>
      <c r="G105" s="415"/>
      <c r="H105" s="415"/>
      <c r="I105" s="415"/>
      <c r="J105" s="415"/>
      <c r="K105" s="415"/>
      <c r="L105" s="415"/>
      <c r="M105" s="415"/>
      <c r="N105" s="415"/>
      <c r="O105" s="415"/>
      <c r="P105" s="415"/>
      <c r="Q105" s="415"/>
      <c r="R105" s="415"/>
      <c r="S105" s="415"/>
      <c r="T105" s="415"/>
      <c r="U105" s="415"/>
      <c r="V105" s="415"/>
      <c r="W105" s="415"/>
      <c r="X105" s="415"/>
      <c r="Y105" s="415"/>
      <c r="Z105" s="415"/>
      <c r="AA105" s="415"/>
    </row>
    <row r="106">
      <c r="A106" s="415"/>
      <c r="B106" s="415"/>
      <c r="C106" s="415"/>
      <c r="D106" s="415"/>
      <c r="E106" s="415"/>
      <c r="F106" s="415"/>
      <c r="G106" s="415"/>
      <c r="H106" s="415"/>
      <c r="I106" s="415"/>
      <c r="J106" s="415"/>
      <c r="K106" s="415"/>
      <c r="L106" s="415"/>
      <c r="M106" s="415"/>
      <c r="N106" s="415"/>
      <c r="O106" s="415"/>
      <c r="P106" s="415"/>
      <c r="Q106" s="415"/>
      <c r="R106" s="415"/>
      <c r="S106" s="415"/>
      <c r="T106" s="415"/>
      <c r="U106" s="415"/>
      <c r="V106" s="415"/>
      <c r="W106" s="415"/>
      <c r="X106" s="415"/>
      <c r="Y106" s="415"/>
      <c r="Z106" s="415"/>
      <c r="AA106" s="415"/>
    </row>
    <row r="107">
      <c r="A107" s="415"/>
      <c r="B107" s="415"/>
      <c r="C107" s="415"/>
      <c r="D107" s="415"/>
      <c r="E107" s="415"/>
      <c r="F107" s="415"/>
      <c r="G107" s="415"/>
      <c r="H107" s="415"/>
      <c r="I107" s="415"/>
      <c r="J107" s="415"/>
      <c r="K107" s="415"/>
      <c r="L107" s="415"/>
      <c r="M107" s="415"/>
      <c r="N107" s="415"/>
      <c r="O107" s="415"/>
      <c r="P107" s="415"/>
      <c r="Q107" s="415"/>
      <c r="R107" s="415"/>
      <c r="S107" s="415"/>
      <c r="T107" s="415"/>
      <c r="U107" s="415"/>
      <c r="V107" s="415"/>
      <c r="W107" s="415"/>
      <c r="X107" s="415"/>
      <c r="Y107" s="415"/>
      <c r="Z107" s="415"/>
      <c r="AA107" s="415"/>
    </row>
    <row r="108">
      <c r="A108" s="415"/>
      <c r="B108" s="415"/>
      <c r="C108" s="415"/>
      <c r="D108" s="415"/>
      <c r="E108" s="415"/>
      <c r="F108" s="415"/>
      <c r="G108" s="415"/>
      <c r="H108" s="415"/>
      <c r="I108" s="415"/>
      <c r="J108" s="415"/>
      <c r="K108" s="415"/>
      <c r="L108" s="415"/>
      <c r="M108" s="415"/>
      <c r="N108" s="415"/>
      <c r="O108" s="415"/>
      <c r="P108" s="415"/>
      <c r="Q108" s="415"/>
      <c r="R108" s="415"/>
      <c r="S108" s="415"/>
      <c r="T108" s="415"/>
      <c r="U108" s="415"/>
      <c r="V108" s="415"/>
      <c r="W108" s="415"/>
      <c r="X108" s="415"/>
      <c r="Y108" s="415"/>
      <c r="Z108" s="415"/>
      <c r="AA108" s="415"/>
    </row>
    <row r="109">
      <c r="A109" s="415"/>
      <c r="B109" s="415"/>
      <c r="C109" s="415"/>
      <c r="D109" s="415"/>
      <c r="E109" s="415"/>
      <c r="F109" s="415"/>
      <c r="G109" s="415"/>
      <c r="H109" s="415"/>
      <c r="I109" s="415"/>
      <c r="J109" s="415"/>
      <c r="K109" s="415"/>
      <c r="L109" s="415"/>
      <c r="M109" s="415"/>
      <c r="N109" s="415"/>
      <c r="O109" s="415"/>
      <c r="P109" s="415"/>
      <c r="Q109" s="415"/>
      <c r="R109" s="415"/>
      <c r="S109" s="415"/>
      <c r="T109" s="415"/>
      <c r="U109" s="415"/>
      <c r="V109" s="415"/>
      <c r="W109" s="415"/>
      <c r="X109" s="415"/>
      <c r="Y109" s="415"/>
      <c r="Z109" s="415"/>
      <c r="AA109" s="415"/>
    </row>
    <row r="110">
      <c r="A110" s="415"/>
      <c r="B110" s="415"/>
      <c r="C110" s="415"/>
      <c r="D110" s="415"/>
      <c r="E110" s="415"/>
      <c r="F110" s="415"/>
      <c r="G110" s="415"/>
      <c r="H110" s="415"/>
      <c r="I110" s="415"/>
      <c r="J110" s="415"/>
      <c r="K110" s="415"/>
      <c r="L110" s="415"/>
      <c r="M110" s="415"/>
      <c r="N110" s="415"/>
      <c r="O110" s="415"/>
      <c r="P110" s="415"/>
      <c r="Q110" s="415"/>
      <c r="R110" s="415"/>
      <c r="S110" s="415"/>
      <c r="T110" s="415"/>
      <c r="U110" s="415"/>
      <c r="V110" s="415"/>
      <c r="W110" s="415"/>
      <c r="X110" s="415"/>
      <c r="Y110" s="415"/>
      <c r="Z110" s="415"/>
      <c r="AA110" s="415"/>
    </row>
    <row r="111">
      <c r="A111" s="415"/>
      <c r="B111" s="415"/>
      <c r="C111" s="415"/>
      <c r="D111" s="415"/>
      <c r="E111" s="415"/>
      <c r="F111" s="415"/>
      <c r="G111" s="415"/>
      <c r="H111" s="415"/>
      <c r="I111" s="415"/>
      <c r="J111" s="415"/>
      <c r="K111" s="415"/>
      <c r="L111" s="415"/>
      <c r="M111" s="415"/>
      <c r="N111" s="415"/>
      <c r="O111" s="415"/>
      <c r="P111" s="415"/>
      <c r="Q111" s="415"/>
      <c r="R111" s="415"/>
      <c r="S111" s="415"/>
      <c r="T111" s="415"/>
      <c r="U111" s="415"/>
      <c r="V111" s="415"/>
      <c r="W111" s="415"/>
      <c r="X111" s="415"/>
      <c r="Y111" s="415"/>
      <c r="Z111" s="415"/>
      <c r="AA111" s="415"/>
    </row>
    <row r="112">
      <c r="A112" s="415"/>
      <c r="B112" s="415"/>
      <c r="C112" s="415"/>
      <c r="D112" s="415"/>
      <c r="E112" s="415"/>
      <c r="F112" s="415"/>
      <c r="G112" s="415"/>
      <c r="H112" s="415"/>
      <c r="I112" s="415"/>
      <c r="J112" s="415"/>
      <c r="K112" s="415"/>
      <c r="L112" s="415"/>
      <c r="M112" s="415"/>
      <c r="N112" s="415"/>
      <c r="O112" s="415"/>
      <c r="P112" s="415"/>
      <c r="Q112" s="415"/>
      <c r="R112" s="415"/>
      <c r="S112" s="415"/>
      <c r="T112" s="415"/>
      <c r="U112" s="415"/>
      <c r="V112" s="415"/>
      <c r="W112" s="415"/>
      <c r="X112" s="415"/>
      <c r="Y112" s="415"/>
      <c r="Z112" s="415"/>
      <c r="AA112" s="415"/>
    </row>
    <row r="113">
      <c r="A113" s="415"/>
      <c r="B113" s="415"/>
      <c r="C113" s="415"/>
      <c r="D113" s="415"/>
      <c r="E113" s="415"/>
      <c r="F113" s="415"/>
      <c r="G113" s="415"/>
      <c r="H113" s="415"/>
      <c r="I113" s="415"/>
      <c r="J113" s="415"/>
      <c r="K113" s="415"/>
      <c r="L113" s="415"/>
      <c r="M113" s="415"/>
      <c r="N113" s="415"/>
      <c r="O113" s="415"/>
      <c r="P113" s="415"/>
      <c r="Q113" s="415"/>
      <c r="R113" s="415"/>
      <c r="S113" s="415"/>
      <c r="T113" s="415"/>
      <c r="U113" s="415"/>
      <c r="V113" s="415"/>
      <c r="W113" s="415"/>
      <c r="X113" s="415"/>
      <c r="Y113" s="415"/>
      <c r="Z113" s="415"/>
      <c r="AA113" s="415"/>
    </row>
    <row r="114">
      <c r="A114" s="415"/>
      <c r="B114" s="415"/>
      <c r="C114" s="415"/>
      <c r="D114" s="415"/>
      <c r="E114" s="415"/>
      <c r="F114" s="415"/>
      <c r="G114" s="415"/>
      <c r="H114" s="415"/>
      <c r="I114" s="415"/>
      <c r="J114" s="415"/>
      <c r="K114" s="415"/>
      <c r="L114" s="415"/>
      <c r="M114" s="415"/>
      <c r="N114" s="415"/>
      <c r="O114" s="415"/>
      <c r="P114" s="415"/>
      <c r="Q114" s="415"/>
      <c r="R114" s="415"/>
      <c r="S114" s="415"/>
      <c r="T114" s="415"/>
      <c r="U114" s="415"/>
      <c r="V114" s="415"/>
      <c r="W114" s="415"/>
      <c r="X114" s="415"/>
      <c r="Y114" s="415"/>
      <c r="Z114" s="415"/>
      <c r="AA114" s="415"/>
    </row>
    <row r="115">
      <c r="A115" s="415"/>
      <c r="B115" s="415"/>
      <c r="C115" s="415"/>
      <c r="D115" s="415"/>
      <c r="E115" s="415"/>
      <c r="F115" s="415"/>
      <c r="G115" s="415"/>
      <c r="H115" s="415"/>
      <c r="I115" s="415"/>
      <c r="J115" s="415"/>
      <c r="K115" s="415"/>
      <c r="L115" s="415"/>
      <c r="M115" s="415"/>
      <c r="N115" s="415"/>
      <c r="O115" s="415"/>
      <c r="P115" s="415"/>
      <c r="Q115" s="415"/>
      <c r="R115" s="415"/>
      <c r="S115" s="415"/>
      <c r="T115" s="415"/>
      <c r="U115" s="415"/>
      <c r="V115" s="415"/>
      <c r="W115" s="415"/>
      <c r="X115" s="415"/>
      <c r="Y115" s="415"/>
      <c r="Z115" s="415"/>
      <c r="AA115" s="415"/>
    </row>
    <row r="116">
      <c r="A116" s="415"/>
      <c r="B116" s="415"/>
      <c r="C116" s="415"/>
      <c r="D116" s="415"/>
      <c r="E116" s="415"/>
      <c r="F116" s="415"/>
      <c r="G116" s="415"/>
      <c r="H116" s="415"/>
      <c r="I116" s="415"/>
      <c r="J116" s="415"/>
      <c r="K116" s="415"/>
      <c r="L116" s="415"/>
      <c r="M116" s="415"/>
      <c r="N116" s="415"/>
      <c r="O116" s="415"/>
      <c r="P116" s="415"/>
      <c r="Q116" s="415"/>
      <c r="R116" s="415"/>
      <c r="S116" s="415"/>
      <c r="T116" s="415"/>
      <c r="U116" s="415"/>
      <c r="V116" s="415"/>
      <c r="W116" s="415"/>
      <c r="X116" s="415"/>
      <c r="Y116" s="415"/>
      <c r="Z116" s="415"/>
      <c r="AA116" s="415"/>
    </row>
    <row r="117">
      <c r="A117" s="415"/>
      <c r="B117" s="415"/>
      <c r="C117" s="415"/>
      <c r="D117" s="415"/>
      <c r="E117" s="415"/>
      <c r="F117" s="415"/>
      <c r="G117" s="415"/>
      <c r="H117" s="415"/>
      <c r="I117" s="415"/>
      <c r="J117" s="415"/>
      <c r="K117" s="415"/>
      <c r="L117" s="415"/>
      <c r="M117" s="415"/>
      <c r="N117" s="415"/>
      <c r="O117" s="415"/>
      <c r="P117" s="415"/>
      <c r="Q117" s="415"/>
      <c r="R117" s="415"/>
      <c r="S117" s="415"/>
      <c r="T117" s="415"/>
      <c r="U117" s="415"/>
      <c r="V117" s="415"/>
      <c r="W117" s="415"/>
      <c r="X117" s="415"/>
      <c r="Y117" s="415"/>
      <c r="Z117" s="415"/>
      <c r="AA117" s="415"/>
    </row>
    <row r="118">
      <c r="A118" s="415"/>
      <c r="B118" s="415"/>
      <c r="C118" s="415"/>
      <c r="D118" s="415"/>
      <c r="E118" s="415"/>
      <c r="F118" s="415"/>
      <c r="G118" s="415"/>
      <c r="H118" s="415"/>
      <c r="I118" s="415"/>
      <c r="J118" s="415"/>
      <c r="K118" s="415"/>
      <c r="L118" s="415"/>
      <c r="M118" s="415"/>
      <c r="N118" s="415"/>
      <c r="O118" s="415"/>
      <c r="P118" s="415"/>
      <c r="Q118" s="415"/>
      <c r="R118" s="415"/>
      <c r="S118" s="415"/>
      <c r="T118" s="415"/>
      <c r="U118" s="415"/>
      <c r="V118" s="415"/>
      <c r="W118" s="415"/>
      <c r="X118" s="415"/>
      <c r="Y118" s="415"/>
      <c r="Z118" s="415"/>
      <c r="AA118" s="415"/>
    </row>
    <row r="119">
      <c r="A119" s="415"/>
      <c r="B119" s="415"/>
      <c r="C119" s="415"/>
      <c r="D119" s="415"/>
      <c r="E119" s="415"/>
      <c r="F119" s="415"/>
      <c r="G119" s="415"/>
      <c r="H119" s="415"/>
      <c r="I119" s="415"/>
      <c r="J119" s="415"/>
      <c r="K119" s="415"/>
      <c r="L119" s="415"/>
      <c r="M119" s="415"/>
      <c r="N119" s="415"/>
      <c r="O119" s="415"/>
      <c r="P119" s="415"/>
      <c r="Q119" s="415"/>
      <c r="R119" s="415"/>
      <c r="S119" s="415"/>
      <c r="T119" s="415"/>
      <c r="U119" s="415"/>
      <c r="V119" s="415"/>
      <c r="W119" s="415"/>
      <c r="X119" s="415"/>
      <c r="Y119" s="415"/>
      <c r="Z119" s="415"/>
      <c r="AA119" s="415"/>
    </row>
    <row r="120">
      <c r="A120" s="415"/>
      <c r="B120" s="415"/>
      <c r="C120" s="415"/>
      <c r="D120" s="415"/>
      <c r="E120" s="415"/>
      <c r="F120" s="415"/>
      <c r="G120" s="415"/>
      <c r="H120" s="415"/>
      <c r="I120" s="415"/>
      <c r="J120" s="415"/>
      <c r="K120" s="415"/>
      <c r="L120" s="415"/>
      <c r="M120" s="415"/>
      <c r="N120" s="415"/>
      <c r="O120" s="415"/>
      <c r="P120" s="415"/>
      <c r="Q120" s="415"/>
      <c r="R120" s="415"/>
      <c r="S120" s="415"/>
      <c r="T120" s="415"/>
      <c r="U120" s="415"/>
      <c r="V120" s="415"/>
      <c r="W120" s="415"/>
      <c r="X120" s="415"/>
      <c r="Y120" s="415"/>
      <c r="Z120" s="415"/>
      <c r="AA120" s="415"/>
    </row>
    <row r="121">
      <c r="A121" s="415"/>
      <c r="B121" s="415"/>
      <c r="C121" s="415"/>
      <c r="D121" s="415"/>
      <c r="E121" s="415"/>
      <c r="F121" s="415"/>
      <c r="G121" s="415"/>
      <c r="H121" s="415"/>
      <c r="I121" s="415"/>
      <c r="J121" s="415"/>
      <c r="K121" s="415"/>
      <c r="L121" s="415"/>
      <c r="M121" s="415"/>
      <c r="N121" s="415"/>
      <c r="O121" s="415"/>
      <c r="P121" s="415"/>
      <c r="Q121" s="415"/>
      <c r="R121" s="415"/>
      <c r="S121" s="415"/>
      <c r="T121" s="415"/>
      <c r="U121" s="415"/>
      <c r="V121" s="415"/>
      <c r="W121" s="415"/>
      <c r="X121" s="415"/>
      <c r="Y121" s="415"/>
      <c r="Z121" s="415"/>
      <c r="AA121" s="415"/>
    </row>
    <row r="122">
      <c r="A122" s="415"/>
      <c r="B122" s="415"/>
      <c r="C122" s="415"/>
      <c r="D122" s="415"/>
      <c r="E122" s="415"/>
      <c r="F122" s="415"/>
      <c r="G122" s="415"/>
      <c r="H122" s="415"/>
      <c r="I122" s="415"/>
      <c r="J122" s="415"/>
      <c r="K122" s="415"/>
      <c r="L122" s="415"/>
      <c r="M122" s="415"/>
      <c r="N122" s="415"/>
      <c r="O122" s="415"/>
      <c r="P122" s="415"/>
      <c r="Q122" s="415"/>
      <c r="R122" s="415"/>
      <c r="S122" s="415"/>
      <c r="T122" s="415"/>
      <c r="U122" s="415"/>
      <c r="V122" s="415"/>
      <c r="W122" s="415"/>
      <c r="X122" s="415"/>
      <c r="Y122" s="415"/>
      <c r="Z122" s="415"/>
      <c r="AA122" s="415"/>
    </row>
    <row r="123">
      <c r="A123" s="415"/>
      <c r="B123" s="415"/>
      <c r="C123" s="415"/>
      <c r="D123" s="415"/>
      <c r="E123" s="415"/>
      <c r="F123" s="415"/>
      <c r="G123" s="415"/>
      <c r="H123" s="415"/>
      <c r="I123" s="415"/>
      <c r="J123" s="415"/>
      <c r="K123" s="415"/>
      <c r="L123" s="415"/>
      <c r="M123" s="415"/>
      <c r="N123" s="415"/>
      <c r="O123" s="415"/>
      <c r="P123" s="415"/>
      <c r="Q123" s="415"/>
      <c r="R123" s="415"/>
      <c r="S123" s="415"/>
      <c r="T123" s="415"/>
      <c r="U123" s="415"/>
      <c r="V123" s="415"/>
      <c r="W123" s="415"/>
      <c r="X123" s="415"/>
      <c r="Y123" s="415"/>
      <c r="Z123" s="415"/>
      <c r="AA123" s="415"/>
    </row>
    <row r="124">
      <c r="A124" s="415"/>
      <c r="B124" s="415"/>
      <c r="C124" s="415"/>
      <c r="D124" s="415"/>
      <c r="E124" s="415"/>
      <c r="F124" s="415"/>
      <c r="G124" s="415"/>
      <c r="H124" s="415"/>
      <c r="I124" s="415"/>
      <c r="J124" s="415"/>
      <c r="K124" s="415"/>
      <c r="L124" s="415"/>
      <c r="M124" s="415"/>
      <c r="N124" s="415"/>
      <c r="O124" s="415"/>
      <c r="P124" s="415"/>
      <c r="Q124" s="415"/>
      <c r="R124" s="415"/>
      <c r="S124" s="415"/>
      <c r="T124" s="415"/>
      <c r="U124" s="415"/>
      <c r="V124" s="415"/>
      <c r="W124" s="415"/>
      <c r="X124" s="415"/>
      <c r="Y124" s="415"/>
      <c r="Z124" s="415"/>
      <c r="AA124" s="415"/>
    </row>
    <row r="125">
      <c r="A125" s="415"/>
      <c r="B125" s="415"/>
      <c r="C125" s="415"/>
      <c r="D125" s="415"/>
      <c r="E125" s="415"/>
      <c r="F125" s="415"/>
      <c r="G125" s="415"/>
      <c r="H125" s="415"/>
      <c r="I125" s="415"/>
      <c r="J125" s="415"/>
      <c r="K125" s="415"/>
      <c r="L125" s="415"/>
      <c r="M125" s="415"/>
      <c r="N125" s="415"/>
      <c r="O125" s="415"/>
      <c r="P125" s="415"/>
      <c r="Q125" s="415"/>
      <c r="R125" s="415"/>
      <c r="S125" s="415"/>
      <c r="T125" s="415"/>
      <c r="U125" s="415"/>
      <c r="V125" s="415"/>
      <c r="W125" s="415"/>
      <c r="X125" s="415"/>
      <c r="Y125" s="415"/>
      <c r="Z125" s="415"/>
      <c r="AA125" s="415"/>
    </row>
    <row r="126">
      <c r="A126" s="415"/>
      <c r="B126" s="415"/>
      <c r="C126" s="415"/>
      <c r="D126" s="415"/>
      <c r="E126" s="415"/>
      <c r="F126" s="415"/>
      <c r="G126" s="415"/>
      <c r="H126" s="415"/>
      <c r="I126" s="415"/>
      <c r="J126" s="415"/>
      <c r="K126" s="415"/>
      <c r="L126" s="415"/>
      <c r="M126" s="415"/>
      <c r="N126" s="415"/>
      <c r="O126" s="415"/>
      <c r="P126" s="415"/>
      <c r="Q126" s="415"/>
      <c r="R126" s="415"/>
      <c r="S126" s="415"/>
      <c r="T126" s="415"/>
      <c r="U126" s="415"/>
      <c r="V126" s="415"/>
      <c r="W126" s="415"/>
      <c r="X126" s="415"/>
      <c r="Y126" s="415"/>
      <c r="Z126" s="415"/>
      <c r="AA126" s="415"/>
    </row>
    <row r="127">
      <c r="A127" s="415"/>
      <c r="B127" s="415"/>
      <c r="C127" s="415"/>
      <c r="D127" s="415"/>
      <c r="E127" s="415"/>
      <c r="F127" s="415"/>
      <c r="G127" s="415"/>
      <c r="H127" s="415"/>
      <c r="I127" s="415"/>
      <c r="J127" s="415"/>
      <c r="K127" s="415"/>
      <c r="L127" s="415"/>
      <c r="M127" s="415"/>
      <c r="N127" s="415"/>
      <c r="O127" s="415"/>
      <c r="P127" s="415"/>
      <c r="Q127" s="415"/>
      <c r="R127" s="415"/>
      <c r="S127" s="415"/>
      <c r="T127" s="415"/>
      <c r="U127" s="415"/>
      <c r="V127" s="415"/>
      <c r="W127" s="415"/>
      <c r="X127" s="415"/>
      <c r="Y127" s="415"/>
      <c r="Z127" s="415"/>
      <c r="AA127" s="415"/>
    </row>
    <row r="128">
      <c r="A128" s="415"/>
      <c r="B128" s="415"/>
      <c r="C128" s="415"/>
      <c r="D128" s="415"/>
      <c r="E128" s="415"/>
      <c r="F128" s="415"/>
      <c r="G128" s="415"/>
      <c r="H128" s="415"/>
      <c r="I128" s="415"/>
      <c r="J128" s="415"/>
      <c r="K128" s="415"/>
      <c r="L128" s="415"/>
      <c r="M128" s="415"/>
      <c r="N128" s="415"/>
      <c r="O128" s="415"/>
      <c r="P128" s="415"/>
      <c r="Q128" s="415"/>
      <c r="R128" s="415"/>
      <c r="S128" s="415"/>
      <c r="T128" s="415"/>
      <c r="U128" s="415"/>
      <c r="V128" s="415"/>
      <c r="W128" s="415"/>
      <c r="X128" s="415"/>
      <c r="Y128" s="415"/>
      <c r="Z128" s="415"/>
      <c r="AA128" s="415"/>
    </row>
    <row r="129">
      <c r="A129" s="415"/>
      <c r="B129" s="415"/>
      <c r="C129" s="415"/>
      <c r="D129" s="415"/>
      <c r="E129" s="415"/>
      <c r="F129" s="415"/>
      <c r="G129" s="415"/>
      <c r="H129" s="415"/>
      <c r="I129" s="415"/>
      <c r="J129" s="415"/>
      <c r="K129" s="415"/>
      <c r="L129" s="415"/>
      <c r="M129" s="415"/>
      <c r="N129" s="415"/>
      <c r="O129" s="415"/>
      <c r="P129" s="415"/>
      <c r="Q129" s="415"/>
      <c r="R129" s="415"/>
      <c r="S129" s="415"/>
      <c r="T129" s="415"/>
      <c r="U129" s="415"/>
      <c r="V129" s="415"/>
      <c r="W129" s="415"/>
      <c r="X129" s="415"/>
      <c r="Y129" s="415"/>
      <c r="Z129" s="415"/>
      <c r="AA129" s="415"/>
    </row>
    <row r="130">
      <c r="A130" s="415"/>
      <c r="B130" s="415"/>
      <c r="C130" s="415"/>
      <c r="D130" s="415"/>
      <c r="E130" s="415"/>
      <c r="F130" s="415"/>
      <c r="G130" s="415"/>
      <c r="H130" s="415"/>
      <c r="I130" s="415"/>
      <c r="J130" s="415"/>
      <c r="K130" s="415"/>
      <c r="L130" s="415"/>
      <c r="M130" s="415"/>
      <c r="N130" s="415"/>
      <c r="O130" s="415"/>
      <c r="P130" s="415"/>
      <c r="Q130" s="415"/>
      <c r="R130" s="415"/>
      <c r="S130" s="415"/>
      <c r="T130" s="415"/>
      <c r="U130" s="415"/>
      <c r="V130" s="415"/>
      <c r="W130" s="415"/>
      <c r="X130" s="415"/>
      <c r="Y130" s="415"/>
      <c r="Z130" s="415"/>
      <c r="AA130" s="415"/>
    </row>
    <row r="131">
      <c r="A131" s="415"/>
      <c r="B131" s="415"/>
      <c r="C131" s="415"/>
      <c r="D131" s="415"/>
      <c r="E131" s="415"/>
      <c r="F131" s="415"/>
      <c r="G131" s="415"/>
      <c r="H131" s="415"/>
      <c r="I131" s="415"/>
      <c r="J131" s="415"/>
      <c r="K131" s="415"/>
      <c r="L131" s="415"/>
      <c r="M131" s="415"/>
      <c r="N131" s="415"/>
      <c r="O131" s="415"/>
      <c r="P131" s="415"/>
      <c r="Q131" s="415"/>
      <c r="R131" s="415"/>
      <c r="S131" s="415"/>
      <c r="T131" s="415"/>
      <c r="U131" s="415"/>
      <c r="V131" s="415"/>
      <c r="W131" s="415"/>
      <c r="X131" s="415"/>
      <c r="Y131" s="415"/>
      <c r="Z131" s="415"/>
      <c r="AA131" s="415"/>
    </row>
    <row r="132">
      <c r="A132" s="415"/>
      <c r="B132" s="415"/>
      <c r="C132" s="415"/>
      <c r="D132" s="415"/>
      <c r="E132" s="415"/>
      <c r="F132" s="415"/>
      <c r="G132" s="415"/>
      <c r="H132" s="415"/>
      <c r="I132" s="415"/>
      <c r="J132" s="415"/>
      <c r="K132" s="415"/>
      <c r="L132" s="415"/>
      <c r="M132" s="415"/>
      <c r="N132" s="415"/>
      <c r="O132" s="415"/>
      <c r="P132" s="415"/>
      <c r="Q132" s="415"/>
      <c r="R132" s="415"/>
      <c r="S132" s="415"/>
      <c r="T132" s="415"/>
      <c r="U132" s="415"/>
      <c r="V132" s="415"/>
      <c r="W132" s="415"/>
      <c r="X132" s="415"/>
      <c r="Y132" s="415"/>
      <c r="Z132" s="415"/>
      <c r="AA132" s="415"/>
    </row>
    <row r="133">
      <c r="A133" s="415"/>
      <c r="B133" s="415"/>
      <c r="C133" s="415"/>
      <c r="D133" s="415"/>
      <c r="E133" s="415"/>
      <c r="F133" s="415"/>
      <c r="G133" s="415"/>
      <c r="H133" s="415"/>
      <c r="I133" s="415"/>
      <c r="J133" s="415"/>
      <c r="K133" s="415"/>
      <c r="L133" s="415"/>
      <c r="M133" s="415"/>
      <c r="N133" s="415"/>
      <c r="O133" s="415"/>
      <c r="P133" s="415"/>
      <c r="Q133" s="415"/>
      <c r="R133" s="415"/>
      <c r="S133" s="415"/>
      <c r="T133" s="415"/>
      <c r="U133" s="415"/>
      <c r="V133" s="415"/>
      <c r="W133" s="415"/>
      <c r="X133" s="415"/>
      <c r="Y133" s="415"/>
      <c r="Z133" s="415"/>
      <c r="AA133" s="415"/>
    </row>
    <row r="134">
      <c r="A134" s="415"/>
      <c r="B134" s="415"/>
      <c r="C134" s="415"/>
      <c r="D134" s="415"/>
      <c r="E134" s="415"/>
      <c r="F134" s="415"/>
      <c r="G134" s="415"/>
      <c r="H134" s="415"/>
      <c r="I134" s="415"/>
      <c r="J134" s="415"/>
      <c r="K134" s="415"/>
      <c r="L134" s="415"/>
      <c r="M134" s="415"/>
      <c r="N134" s="415"/>
      <c r="O134" s="415"/>
      <c r="P134" s="415"/>
      <c r="Q134" s="415"/>
      <c r="R134" s="415"/>
      <c r="S134" s="415"/>
      <c r="T134" s="415"/>
      <c r="U134" s="415"/>
      <c r="V134" s="415"/>
      <c r="W134" s="415"/>
      <c r="X134" s="415"/>
      <c r="Y134" s="415"/>
      <c r="Z134" s="415"/>
      <c r="AA134" s="415"/>
    </row>
    <row r="135">
      <c r="A135" s="415"/>
      <c r="B135" s="415"/>
      <c r="C135" s="415"/>
      <c r="D135" s="415"/>
      <c r="E135" s="415"/>
      <c r="F135" s="415"/>
      <c r="G135" s="415"/>
      <c r="H135" s="415"/>
      <c r="I135" s="415"/>
      <c r="J135" s="415"/>
      <c r="K135" s="415"/>
      <c r="L135" s="415"/>
      <c r="M135" s="415"/>
      <c r="N135" s="415"/>
      <c r="O135" s="415"/>
      <c r="P135" s="415"/>
      <c r="Q135" s="415"/>
      <c r="R135" s="415"/>
      <c r="S135" s="415"/>
      <c r="T135" s="415"/>
      <c r="U135" s="415"/>
      <c r="V135" s="415"/>
      <c r="W135" s="415"/>
      <c r="X135" s="415"/>
      <c r="Y135" s="415"/>
      <c r="Z135" s="415"/>
      <c r="AA135" s="415"/>
    </row>
    <row r="136">
      <c r="A136" s="415"/>
      <c r="B136" s="415"/>
      <c r="C136" s="415"/>
      <c r="D136" s="415"/>
      <c r="E136" s="415"/>
      <c r="F136" s="415"/>
      <c r="G136" s="415"/>
      <c r="H136" s="415"/>
      <c r="I136" s="415"/>
      <c r="J136" s="415"/>
      <c r="K136" s="415"/>
      <c r="L136" s="415"/>
      <c r="M136" s="415"/>
      <c r="N136" s="415"/>
      <c r="O136" s="415"/>
      <c r="P136" s="415"/>
      <c r="Q136" s="415"/>
      <c r="R136" s="415"/>
      <c r="S136" s="415"/>
      <c r="T136" s="415"/>
      <c r="U136" s="415"/>
      <c r="V136" s="415"/>
      <c r="W136" s="415"/>
      <c r="X136" s="415"/>
      <c r="Y136" s="415"/>
      <c r="Z136" s="415"/>
      <c r="AA136" s="415"/>
    </row>
    <row r="137">
      <c r="A137" s="415"/>
      <c r="B137" s="415"/>
      <c r="C137" s="415"/>
      <c r="D137" s="415"/>
      <c r="E137" s="415"/>
      <c r="F137" s="415"/>
      <c r="G137" s="415"/>
      <c r="H137" s="415"/>
      <c r="I137" s="415"/>
      <c r="J137" s="415"/>
      <c r="K137" s="415"/>
      <c r="L137" s="415"/>
      <c r="M137" s="415"/>
      <c r="N137" s="415"/>
      <c r="O137" s="415"/>
      <c r="P137" s="415"/>
      <c r="Q137" s="415"/>
      <c r="R137" s="415"/>
      <c r="S137" s="415"/>
      <c r="T137" s="415"/>
      <c r="U137" s="415"/>
      <c r="V137" s="415"/>
      <c r="W137" s="415"/>
      <c r="X137" s="415"/>
      <c r="Y137" s="415"/>
      <c r="Z137" s="415"/>
      <c r="AA137" s="415"/>
    </row>
    <row r="138">
      <c r="A138" s="415"/>
      <c r="B138" s="415"/>
      <c r="C138" s="415"/>
      <c r="D138" s="415"/>
      <c r="E138" s="415"/>
      <c r="F138" s="415"/>
      <c r="G138" s="415"/>
      <c r="H138" s="415"/>
      <c r="I138" s="415"/>
      <c r="J138" s="415"/>
      <c r="K138" s="415"/>
      <c r="L138" s="415"/>
      <c r="M138" s="415"/>
      <c r="N138" s="415"/>
      <c r="O138" s="415"/>
      <c r="P138" s="415"/>
      <c r="Q138" s="415"/>
      <c r="R138" s="415"/>
      <c r="S138" s="415"/>
      <c r="T138" s="415"/>
      <c r="U138" s="415"/>
      <c r="V138" s="415"/>
      <c r="W138" s="415"/>
      <c r="X138" s="415"/>
      <c r="Y138" s="415"/>
      <c r="Z138" s="415"/>
      <c r="AA138" s="415"/>
    </row>
    <row r="139">
      <c r="A139" s="415"/>
      <c r="B139" s="415"/>
      <c r="C139" s="415"/>
      <c r="D139" s="415"/>
      <c r="E139" s="415"/>
      <c r="F139" s="415"/>
      <c r="G139" s="415"/>
      <c r="H139" s="415"/>
      <c r="I139" s="415"/>
      <c r="J139" s="415"/>
      <c r="K139" s="415"/>
      <c r="L139" s="415"/>
      <c r="M139" s="415"/>
      <c r="N139" s="415"/>
      <c r="O139" s="415"/>
      <c r="P139" s="415"/>
      <c r="Q139" s="415"/>
      <c r="R139" s="415"/>
      <c r="S139" s="415"/>
      <c r="T139" s="415"/>
      <c r="U139" s="415"/>
      <c r="V139" s="415"/>
      <c r="W139" s="415"/>
      <c r="X139" s="415"/>
      <c r="Y139" s="415"/>
      <c r="Z139" s="415"/>
      <c r="AA139" s="415"/>
    </row>
    <row r="140">
      <c r="A140" s="415"/>
      <c r="B140" s="415"/>
      <c r="C140" s="415"/>
      <c r="D140" s="415"/>
      <c r="E140" s="415"/>
      <c r="F140" s="415"/>
      <c r="G140" s="415"/>
      <c r="H140" s="415"/>
      <c r="I140" s="415"/>
      <c r="J140" s="415"/>
      <c r="K140" s="415"/>
      <c r="L140" s="415"/>
      <c r="M140" s="415"/>
      <c r="N140" s="415"/>
      <c r="O140" s="415"/>
      <c r="P140" s="415"/>
      <c r="Q140" s="415"/>
      <c r="R140" s="415"/>
      <c r="S140" s="415"/>
      <c r="T140" s="415"/>
      <c r="U140" s="415"/>
      <c r="V140" s="415"/>
      <c r="W140" s="415"/>
      <c r="X140" s="415"/>
      <c r="Y140" s="415"/>
      <c r="Z140" s="415"/>
      <c r="AA140" s="415"/>
    </row>
    <row r="141">
      <c r="A141" s="415"/>
      <c r="B141" s="415"/>
      <c r="C141" s="415"/>
      <c r="D141" s="415"/>
      <c r="E141" s="415"/>
      <c r="F141" s="415"/>
      <c r="G141" s="415"/>
      <c r="H141" s="415"/>
      <c r="I141" s="415"/>
      <c r="J141" s="415"/>
      <c r="K141" s="415"/>
      <c r="L141" s="415"/>
      <c r="M141" s="415"/>
      <c r="N141" s="415"/>
      <c r="O141" s="415"/>
      <c r="P141" s="415"/>
      <c r="Q141" s="415"/>
      <c r="R141" s="415"/>
      <c r="S141" s="415"/>
      <c r="T141" s="415"/>
      <c r="U141" s="415"/>
      <c r="V141" s="415"/>
      <c r="W141" s="415"/>
      <c r="X141" s="415"/>
      <c r="Y141" s="415"/>
      <c r="Z141" s="415"/>
      <c r="AA141" s="415"/>
    </row>
    <row r="142">
      <c r="A142" s="415"/>
      <c r="B142" s="415"/>
      <c r="C142" s="415"/>
      <c r="D142" s="415"/>
      <c r="E142" s="415"/>
      <c r="F142" s="415"/>
      <c r="G142" s="415"/>
      <c r="H142" s="415"/>
      <c r="I142" s="415"/>
      <c r="J142" s="415"/>
      <c r="K142" s="415"/>
      <c r="L142" s="415"/>
      <c r="M142" s="415"/>
      <c r="N142" s="415"/>
      <c r="O142" s="415"/>
      <c r="P142" s="415"/>
      <c r="Q142" s="415"/>
      <c r="R142" s="415"/>
      <c r="S142" s="415"/>
      <c r="T142" s="415"/>
      <c r="U142" s="415"/>
      <c r="V142" s="415"/>
      <c r="W142" s="415"/>
      <c r="X142" s="415"/>
      <c r="Y142" s="415"/>
      <c r="Z142" s="415"/>
      <c r="AA142" s="415"/>
    </row>
    <row r="143">
      <c r="A143" s="415"/>
      <c r="B143" s="415"/>
      <c r="C143" s="415"/>
      <c r="D143" s="415"/>
      <c r="E143" s="415"/>
      <c r="F143" s="415"/>
      <c r="G143" s="415"/>
      <c r="H143" s="415"/>
      <c r="I143" s="415"/>
      <c r="J143" s="415"/>
      <c r="K143" s="415"/>
      <c r="L143" s="415"/>
      <c r="M143" s="415"/>
      <c r="N143" s="415"/>
      <c r="O143" s="415"/>
      <c r="P143" s="415"/>
      <c r="Q143" s="415"/>
      <c r="R143" s="415"/>
      <c r="S143" s="415"/>
      <c r="T143" s="415"/>
      <c r="U143" s="415"/>
      <c r="V143" s="415"/>
      <c r="W143" s="415"/>
      <c r="X143" s="415"/>
      <c r="Y143" s="415"/>
      <c r="Z143" s="415"/>
      <c r="AA143" s="415"/>
    </row>
    <row r="144">
      <c r="A144" s="415"/>
      <c r="B144" s="415"/>
      <c r="C144" s="415"/>
      <c r="D144" s="415"/>
      <c r="E144" s="415"/>
      <c r="F144" s="415"/>
      <c r="G144" s="415"/>
      <c r="H144" s="415"/>
      <c r="I144" s="415"/>
      <c r="J144" s="415"/>
      <c r="K144" s="415"/>
      <c r="L144" s="415"/>
      <c r="M144" s="415"/>
      <c r="N144" s="415"/>
      <c r="O144" s="415"/>
      <c r="P144" s="415"/>
      <c r="Q144" s="415"/>
      <c r="R144" s="415"/>
      <c r="S144" s="415"/>
      <c r="T144" s="415"/>
      <c r="U144" s="415"/>
      <c r="V144" s="415"/>
      <c r="W144" s="415"/>
      <c r="X144" s="415"/>
      <c r="Y144" s="415"/>
      <c r="Z144" s="415"/>
      <c r="AA144" s="415"/>
    </row>
    <row r="145">
      <c r="A145" s="415"/>
      <c r="B145" s="415"/>
      <c r="C145" s="415"/>
      <c r="D145" s="415"/>
      <c r="E145" s="415"/>
      <c r="F145" s="415"/>
      <c r="G145" s="415"/>
      <c r="H145" s="415"/>
      <c r="I145" s="415"/>
      <c r="J145" s="415"/>
      <c r="K145" s="415"/>
      <c r="L145" s="415"/>
      <c r="M145" s="415"/>
      <c r="N145" s="415"/>
      <c r="O145" s="415"/>
      <c r="P145" s="415"/>
      <c r="Q145" s="415"/>
      <c r="R145" s="415"/>
      <c r="S145" s="415"/>
      <c r="T145" s="415"/>
      <c r="U145" s="415"/>
      <c r="V145" s="415"/>
      <c r="W145" s="415"/>
      <c r="X145" s="415"/>
      <c r="Y145" s="415"/>
      <c r="Z145" s="415"/>
      <c r="AA145" s="415"/>
    </row>
    <row r="146">
      <c r="A146" s="415"/>
      <c r="B146" s="415"/>
      <c r="C146" s="415"/>
      <c r="D146" s="415"/>
      <c r="E146" s="415"/>
      <c r="F146" s="415"/>
      <c r="G146" s="415"/>
      <c r="H146" s="415"/>
      <c r="I146" s="415"/>
      <c r="J146" s="415"/>
      <c r="K146" s="415"/>
      <c r="L146" s="415"/>
      <c r="M146" s="415"/>
      <c r="N146" s="415"/>
      <c r="O146" s="415"/>
      <c r="P146" s="415"/>
      <c r="Q146" s="415"/>
      <c r="R146" s="415"/>
      <c r="S146" s="415"/>
      <c r="T146" s="415"/>
      <c r="U146" s="415"/>
      <c r="V146" s="415"/>
      <c r="W146" s="415"/>
      <c r="X146" s="415"/>
      <c r="Y146" s="415"/>
      <c r="Z146" s="415"/>
      <c r="AA146" s="415"/>
    </row>
    <row r="147">
      <c r="A147" s="415"/>
      <c r="B147" s="415"/>
      <c r="C147" s="415"/>
      <c r="D147" s="415"/>
      <c r="E147" s="415"/>
      <c r="F147" s="415"/>
      <c r="G147" s="415"/>
      <c r="H147" s="415"/>
      <c r="I147" s="415"/>
      <c r="J147" s="415"/>
      <c r="K147" s="415"/>
      <c r="L147" s="415"/>
      <c r="M147" s="415"/>
      <c r="N147" s="415"/>
      <c r="O147" s="415"/>
      <c r="P147" s="415"/>
      <c r="Q147" s="415"/>
      <c r="R147" s="415"/>
      <c r="S147" s="415"/>
      <c r="T147" s="415"/>
      <c r="U147" s="415"/>
      <c r="V147" s="415"/>
      <c r="W147" s="415"/>
      <c r="X147" s="415"/>
      <c r="Y147" s="415"/>
      <c r="Z147" s="415"/>
      <c r="AA147" s="415"/>
    </row>
    <row r="148">
      <c r="A148" s="415"/>
      <c r="B148" s="415"/>
      <c r="C148" s="415"/>
      <c r="D148" s="415"/>
      <c r="E148" s="415"/>
      <c r="F148" s="415"/>
      <c r="G148" s="415"/>
      <c r="H148" s="415"/>
      <c r="I148" s="415"/>
      <c r="J148" s="415"/>
      <c r="K148" s="415"/>
      <c r="L148" s="415"/>
      <c r="M148" s="415"/>
      <c r="N148" s="415"/>
      <c r="O148" s="415"/>
      <c r="P148" s="415"/>
      <c r="Q148" s="415"/>
      <c r="R148" s="415"/>
      <c r="S148" s="415"/>
      <c r="T148" s="415"/>
      <c r="U148" s="415"/>
      <c r="V148" s="415"/>
      <c r="W148" s="415"/>
      <c r="X148" s="415"/>
      <c r="Y148" s="415"/>
      <c r="Z148" s="415"/>
      <c r="AA148" s="415"/>
    </row>
    <row r="149">
      <c r="A149" s="415"/>
      <c r="B149" s="415"/>
      <c r="C149" s="415"/>
      <c r="D149" s="415"/>
      <c r="E149" s="415"/>
      <c r="F149" s="415"/>
      <c r="G149" s="415"/>
      <c r="H149" s="415"/>
      <c r="I149" s="415"/>
      <c r="J149" s="415"/>
      <c r="K149" s="415"/>
      <c r="L149" s="415"/>
      <c r="M149" s="415"/>
      <c r="N149" s="415"/>
      <c r="O149" s="415"/>
      <c r="P149" s="415"/>
      <c r="Q149" s="415"/>
      <c r="R149" s="415"/>
      <c r="S149" s="415"/>
      <c r="T149" s="415"/>
      <c r="U149" s="415"/>
      <c r="V149" s="415"/>
      <c r="W149" s="415"/>
      <c r="X149" s="415"/>
      <c r="Y149" s="415"/>
      <c r="Z149" s="415"/>
      <c r="AA149" s="415"/>
    </row>
    <row r="150">
      <c r="A150" s="415"/>
      <c r="B150" s="415"/>
      <c r="C150" s="415"/>
      <c r="D150" s="415"/>
      <c r="E150" s="415"/>
      <c r="F150" s="415"/>
      <c r="G150" s="415"/>
      <c r="H150" s="415"/>
      <c r="I150" s="415"/>
      <c r="J150" s="415"/>
      <c r="K150" s="415"/>
      <c r="L150" s="415"/>
      <c r="M150" s="415"/>
      <c r="N150" s="415"/>
      <c r="O150" s="415"/>
      <c r="P150" s="415"/>
      <c r="Q150" s="415"/>
      <c r="R150" s="415"/>
      <c r="S150" s="415"/>
      <c r="T150" s="415"/>
      <c r="U150" s="415"/>
      <c r="V150" s="415"/>
      <c r="W150" s="415"/>
      <c r="X150" s="415"/>
      <c r="Y150" s="415"/>
      <c r="Z150" s="415"/>
      <c r="AA150" s="415"/>
    </row>
    <row r="151">
      <c r="A151" s="415"/>
      <c r="B151" s="415"/>
      <c r="C151" s="415"/>
      <c r="D151" s="415"/>
      <c r="E151" s="415"/>
      <c r="F151" s="415"/>
      <c r="G151" s="415"/>
      <c r="H151" s="415"/>
      <c r="I151" s="415"/>
      <c r="J151" s="415"/>
      <c r="K151" s="415"/>
      <c r="L151" s="415"/>
      <c r="M151" s="415"/>
      <c r="N151" s="415"/>
      <c r="O151" s="415"/>
      <c r="P151" s="415"/>
      <c r="Q151" s="415"/>
      <c r="R151" s="415"/>
      <c r="S151" s="415"/>
      <c r="T151" s="415"/>
      <c r="U151" s="415"/>
      <c r="V151" s="415"/>
      <c r="W151" s="415"/>
      <c r="X151" s="415"/>
      <c r="Y151" s="415"/>
      <c r="Z151" s="415"/>
      <c r="AA151" s="415"/>
    </row>
    <row r="152">
      <c r="A152" s="415"/>
      <c r="B152" s="415"/>
      <c r="C152" s="415"/>
      <c r="D152" s="415"/>
      <c r="E152" s="415"/>
      <c r="F152" s="415"/>
      <c r="G152" s="415"/>
      <c r="H152" s="415"/>
      <c r="I152" s="415"/>
      <c r="J152" s="415"/>
      <c r="K152" s="415"/>
      <c r="L152" s="415"/>
      <c r="M152" s="415"/>
      <c r="N152" s="415"/>
      <c r="O152" s="415"/>
      <c r="P152" s="415"/>
      <c r="Q152" s="415"/>
      <c r="R152" s="415"/>
      <c r="S152" s="415"/>
      <c r="T152" s="415"/>
      <c r="U152" s="415"/>
      <c r="V152" s="415"/>
      <c r="W152" s="415"/>
      <c r="X152" s="415"/>
      <c r="Y152" s="415"/>
      <c r="Z152" s="415"/>
      <c r="AA152" s="415"/>
    </row>
    <row r="153">
      <c r="A153" s="415"/>
      <c r="B153" s="415"/>
      <c r="C153" s="415"/>
      <c r="D153" s="415"/>
      <c r="E153" s="415"/>
      <c r="F153" s="415"/>
      <c r="G153" s="415"/>
      <c r="H153" s="415"/>
      <c r="I153" s="415"/>
      <c r="J153" s="415"/>
      <c r="K153" s="415"/>
      <c r="L153" s="415"/>
      <c r="M153" s="415"/>
      <c r="N153" s="415"/>
      <c r="O153" s="415"/>
      <c r="P153" s="415"/>
      <c r="Q153" s="415"/>
      <c r="R153" s="415"/>
      <c r="S153" s="415"/>
      <c r="T153" s="415"/>
      <c r="U153" s="415"/>
      <c r="V153" s="415"/>
      <c r="W153" s="415"/>
      <c r="X153" s="415"/>
      <c r="Y153" s="415"/>
      <c r="Z153" s="415"/>
      <c r="AA153" s="415"/>
    </row>
    <row r="154">
      <c r="A154" s="415"/>
      <c r="B154" s="415"/>
      <c r="C154" s="415"/>
      <c r="D154" s="415"/>
      <c r="E154" s="415"/>
      <c r="F154" s="415"/>
      <c r="G154" s="415"/>
      <c r="H154" s="415"/>
      <c r="I154" s="415"/>
      <c r="J154" s="415"/>
      <c r="K154" s="415"/>
      <c r="L154" s="415"/>
      <c r="M154" s="415"/>
      <c r="N154" s="415"/>
      <c r="O154" s="415"/>
      <c r="P154" s="415"/>
      <c r="Q154" s="415"/>
      <c r="R154" s="415"/>
      <c r="S154" s="415"/>
      <c r="T154" s="415"/>
      <c r="U154" s="415"/>
      <c r="V154" s="415"/>
      <c r="W154" s="415"/>
      <c r="X154" s="415"/>
      <c r="Y154" s="415"/>
      <c r="Z154" s="415"/>
      <c r="AA154" s="415"/>
    </row>
    <row r="155">
      <c r="A155" s="415"/>
      <c r="B155" s="415"/>
      <c r="C155" s="415"/>
      <c r="D155" s="415"/>
      <c r="E155" s="415"/>
      <c r="F155" s="415"/>
      <c r="G155" s="415"/>
      <c r="H155" s="415"/>
      <c r="I155" s="415"/>
      <c r="J155" s="415"/>
      <c r="K155" s="415"/>
      <c r="L155" s="415"/>
      <c r="M155" s="415"/>
      <c r="N155" s="415"/>
      <c r="O155" s="415"/>
      <c r="P155" s="415"/>
      <c r="Q155" s="415"/>
      <c r="R155" s="415"/>
      <c r="S155" s="415"/>
      <c r="T155" s="415"/>
      <c r="U155" s="415"/>
      <c r="V155" s="415"/>
      <c r="W155" s="415"/>
      <c r="X155" s="415"/>
      <c r="Y155" s="415"/>
      <c r="Z155" s="415"/>
      <c r="AA155" s="415"/>
    </row>
    <row r="156">
      <c r="A156" s="415"/>
      <c r="B156" s="415"/>
      <c r="C156" s="415"/>
      <c r="D156" s="415"/>
      <c r="E156" s="415"/>
      <c r="F156" s="415"/>
      <c r="G156" s="415"/>
      <c r="H156" s="415"/>
      <c r="I156" s="415"/>
      <c r="J156" s="415"/>
      <c r="K156" s="415"/>
      <c r="L156" s="415"/>
      <c r="M156" s="415"/>
      <c r="N156" s="415"/>
      <c r="O156" s="415"/>
      <c r="P156" s="415"/>
      <c r="Q156" s="415"/>
      <c r="R156" s="415"/>
      <c r="S156" s="415"/>
      <c r="T156" s="415"/>
      <c r="U156" s="415"/>
      <c r="V156" s="415"/>
      <c r="W156" s="415"/>
      <c r="X156" s="415"/>
      <c r="Y156" s="415"/>
      <c r="Z156" s="415"/>
      <c r="AA156" s="415"/>
    </row>
    <row r="157">
      <c r="A157" s="415"/>
      <c r="B157" s="415"/>
      <c r="C157" s="415"/>
      <c r="D157" s="415"/>
      <c r="E157" s="415"/>
      <c r="F157" s="415"/>
      <c r="G157" s="415"/>
      <c r="H157" s="415"/>
      <c r="I157" s="415"/>
      <c r="J157" s="415"/>
      <c r="K157" s="415"/>
      <c r="L157" s="415"/>
      <c r="M157" s="415"/>
      <c r="N157" s="415"/>
      <c r="O157" s="415"/>
      <c r="P157" s="415"/>
      <c r="Q157" s="415"/>
      <c r="R157" s="415"/>
      <c r="S157" s="415"/>
      <c r="T157" s="415"/>
      <c r="U157" s="415"/>
      <c r="V157" s="415"/>
      <c r="W157" s="415"/>
      <c r="X157" s="415"/>
      <c r="Y157" s="415"/>
      <c r="Z157" s="415"/>
      <c r="AA157" s="415"/>
    </row>
    <row r="158">
      <c r="A158" s="415"/>
      <c r="B158" s="415"/>
      <c r="C158" s="415"/>
      <c r="D158" s="415"/>
      <c r="E158" s="415"/>
      <c r="F158" s="415"/>
      <c r="G158" s="415"/>
      <c r="H158" s="415"/>
      <c r="I158" s="415"/>
      <c r="J158" s="415"/>
      <c r="K158" s="415"/>
      <c r="L158" s="415"/>
      <c r="M158" s="415"/>
      <c r="N158" s="415"/>
      <c r="O158" s="415"/>
      <c r="P158" s="415"/>
      <c r="Q158" s="415"/>
      <c r="R158" s="415"/>
      <c r="S158" s="415"/>
      <c r="T158" s="415"/>
      <c r="U158" s="415"/>
      <c r="V158" s="415"/>
      <c r="W158" s="415"/>
      <c r="X158" s="415"/>
      <c r="Y158" s="415"/>
      <c r="Z158" s="415"/>
      <c r="AA158" s="415"/>
    </row>
    <row r="159">
      <c r="A159" s="415"/>
      <c r="B159" s="415"/>
      <c r="C159" s="415"/>
      <c r="D159" s="415"/>
      <c r="E159" s="415"/>
      <c r="F159" s="415"/>
      <c r="G159" s="415"/>
      <c r="H159" s="415"/>
      <c r="I159" s="415"/>
      <c r="J159" s="415"/>
      <c r="K159" s="415"/>
      <c r="L159" s="415"/>
      <c r="M159" s="415"/>
      <c r="N159" s="415"/>
      <c r="O159" s="415"/>
      <c r="P159" s="415"/>
      <c r="Q159" s="415"/>
      <c r="R159" s="415"/>
      <c r="S159" s="415"/>
      <c r="T159" s="415"/>
      <c r="U159" s="415"/>
      <c r="V159" s="415"/>
      <c r="W159" s="415"/>
      <c r="X159" s="415"/>
      <c r="Y159" s="415"/>
      <c r="Z159" s="415"/>
      <c r="AA159" s="415"/>
    </row>
    <row r="160">
      <c r="A160" s="415"/>
      <c r="B160" s="415"/>
      <c r="C160" s="415"/>
      <c r="D160" s="415"/>
      <c r="E160" s="415"/>
      <c r="F160" s="415"/>
      <c r="G160" s="415"/>
      <c r="H160" s="415"/>
      <c r="I160" s="415"/>
      <c r="J160" s="415"/>
      <c r="K160" s="415"/>
      <c r="L160" s="415"/>
      <c r="M160" s="415"/>
      <c r="N160" s="415"/>
      <c r="O160" s="415"/>
      <c r="P160" s="415"/>
      <c r="Q160" s="415"/>
      <c r="R160" s="415"/>
      <c r="S160" s="415"/>
      <c r="T160" s="415"/>
      <c r="U160" s="415"/>
      <c r="V160" s="415"/>
      <c r="W160" s="415"/>
      <c r="X160" s="415"/>
      <c r="Y160" s="415"/>
      <c r="Z160" s="415"/>
      <c r="AA160" s="415"/>
    </row>
    <row r="161">
      <c r="A161" s="415"/>
      <c r="B161" s="415"/>
      <c r="C161" s="415"/>
      <c r="D161" s="415"/>
      <c r="E161" s="415"/>
      <c r="F161" s="415"/>
      <c r="G161" s="415"/>
      <c r="H161" s="415"/>
      <c r="I161" s="415"/>
      <c r="J161" s="415"/>
      <c r="K161" s="415"/>
      <c r="L161" s="415"/>
      <c r="M161" s="415"/>
      <c r="N161" s="415"/>
      <c r="O161" s="415"/>
      <c r="P161" s="415"/>
      <c r="Q161" s="415"/>
      <c r="R161" s="415"/>
      <c r="S161" s="415"/>
      <c r="T161" s="415"/>
      <c r="U161" s="415"/>
      <c r="V161" s="415"/>
      <c r="W161" s="415"/>
      <c r="X161" s="415"/>
      <c r="Y161" s="415"/>
      <c r="Z161" s="415"/>
      <c r="AA161" s="415"/>
    </row>
    <row r="162">
      <c r="A162" s="415"/>
      <c r="B162" s="415"/>
      <c r="C162" s="415"/>
      <c r="D162" s="415"/>
      <c r="E162" s="415"/>
      <c r="F162" s="415"/>
      <c r="G162" s="415"/>
      <c r="H162" s="415"/>
      <c r="I162" s="415"/>
      <c r="J162" s="415"/>
      <c r="K162" s="415"/>
      <c r="L162" s="415"/>
      <c r="M162" s="415"/>
      <c r="N162" s="415"/>
      <c r="O162" s="415"/>
      <c r="P162" s="415"/>
      <c r="Q162" s="415"/>
      <c r="R162" s="415"/>
      <c r="S162" s="415"/>
      <c r="T162" s="415"/>
      <c r="U162" s="415"/>
      <c r="V162" s="415"/>
      <c r="W162" s="415"/>
      <c r="X162" s="415"/>
      <c r="Y162" s="415"/>
      <c r="Z162" s="415"/>
      <c r="AA162" s="415"/>
    </row>
    <row r="163">
      <c r="A163" s="415"/>
      <c r="B163" s="415"/>
      <c r="C163" s="415"/>
      <c r="D163" s="415"/>
      <c r="E163" s="415"/>
      <c r="F163" s="415"/>
      <c r="G163" s="415"/>
      <c r="H163" s="415"/>
      <c r="I163" s="415"/>
      <c r="J163" s="415"/>
      <c r="K163" s="415"/>
      <c r="L163" s="415"/>
      <c r="M163" s="415"/>
      <c r="N163" s="415"/>
      <c r="O163" s="415"/>
      <c r="P163" s="415"/>
      <c r="Q163" s="415"/>
      <c r="R163" s="415"/>
      <c r="S163" s="415"/>
      <c r="T163" s="415"/>
      <c r="U163" s="415"/>
      <c r="V163" s="415"/>
      <c r="W163" s="415"/>
      <c r="X163" s="415"/>
      <c r="Y163" s="415"/>
      <c r="Z163" s="415"/>
      <c r="AA163" s="415"/>
    </row>
    <row r="164">
      <c r="A164" s="415"/>
      <c r="B164" s="415"/>
      <c r="C164" s="415"/>
      <c r="D164" s="415"/>
      <c r="E164" s="415"/>
      <c r="F164" s="415"/>
      <c r="G164" s="415"/>
      <c r="H164" s="415"/>
      <c r="I164" s="415"/>
      <c r="J164" s="415"/>
      <c r="K164" s="415"/>
      <c r="L164" s="415"/>
      <c r="M164" s="415"/>
      <c r="N164" s="415"/>
      <c r="O164" s="415"/>
      <c r="P164" s="415"/>
      <c r="Q164" s="415"/>
      <c r="R164" s="415"/>
      <c r="S164" s="415"/>
      <c r="T164" s="415"/>
      <c r="U164" s="415"/>
      <c r="V164" s="415"/>
      <c r="W164" s="415"/>
      <c r="X164" s="415"/>
      <c r="Y164" s="415"/>
      <c r="Z164" s="415"/>
      <c r="AA164" s="415"/>
    </row>
    <row r="165">
      <c r="A165" s="415"/>
      <c r="B165" s="415"/>
      <c r="C165" s="415"/>
      <c r="D165" s="415"/>
      <c r="E165" s="415"/>
      <c r="F165" s="415"/>
      <c r="G165" s="415"/>
      <c r="H165" s="415"/>
      <c r="I165" s="415"/>
      <c r="J165" s="415"/>
      <c r="K165" s="415"/>
      <c r="L165" s="415"/>
      <c r="M165" s="415"/>
      <c r="N165" s="415"/>
      <c r="O165" s="415"/>
      <c r="P165" s="415"/>
      <c r="Q165" s="415"/>
      <c r="R165" s="415"/>
      <c r="S165" s="415"/>
      <c r="T165" s="415"/>
      <c r="U165" s="415"/>
      <c r="V165" s="415"/>
      <c r="W165" s="415"/>
      <c r="X165" s="415"/>
      <c r="Y165" s="415"/>
      <c r="Z165" s="415"/>
      <c r="AA165" s="415"/>
    </row>
    <row r="166">
      <c r="A166" s="415"/>
      <c r="B166" s="415"/>
      <c r="C166" s="415"/>
      <c r="D166" s="415"/>
      <c r="E166" s="415"/>
      <c r="F166" s="415"/>
      <c r="G166" s="415"/>
      <c r="H166" s="415"/>
      <c r="I166" s="415"/>
      <c r="J166" s="415"/>
      <c r="K166" s="415"/>
      <c r="L166" s="415"/>
      <c r="M166" s="415"/>
      <c r="N166" s="415"/>
      <c r="O166" s="415"/>
      <c r="P166" s="415"/>
      <c r="Q166" s="415"/>
      <c r="R166" s="415"/>
      <c r="S166" s="415"/>
      <c r="T166" s="415"/>
      <c r="U166" s="415"/>
      <c r="V166" s="415"/>
      <c r="W166" s="415"/>
      <c r="X166" s="415"/>
      <c r="Y166" s="415"/>
      <c r="Z166" s="415"/>
      <c r="AA166" s="415"/>
    </row>
    <row r="167">
      <c r="A167" s="415"/>
      <c r="B167" s="415"/>
      <c r="C167" s="415"/>
      <c r="D167" s="415"/>
      <c r="E167" s="415"/>
      <c r="F167" s="415"/>
      <c r="G167" s="415"/>
      <c r="H167" s="415"/>
      <c r="I167" s="415"/>
      <c r="J167" s="415"/>
      <c r="K167" s="415"/>
      <c r="L167" s="415"/>
      <c r="M167" s="415"/>
      <c r="N167" s="415"/>
      <c r="O167" s="415"/>
      <c r="P167" s="415"/>
      <c r="Q167" s="415"/>
      <c r="R167" s="415"/>
      <c r="S167" s="415"/>
      <c r="T167" s="415"/>
      <c r="U167" s="415"/>
      <c r="V167" s="415"/>
      <c r="W167" s="415"/>
      <c r="X167" s="415"/>
      <c r="Y167" s="415"/>
      <c r="Z167" s="415"/>
      <c r="AA167" s="415"/>
    </row>
    <row r="168">
      <c r="A168" s="415"/>
      <c r="B168" s="415"/>
      <c r="C168" s="415"/>
      <c r="D168" s="415"/>
      <c r="E168" s="415"/>
      <c r="F168" s="415"/>
      <c r="G168" s="415"/>
      <c r="H168" s="415"/>
      <c r="I168" s="415"/>
      <c r="J168" s="415"/>
      <c r="K168" s="415"/>
      <c r="L168" s="415"/>
      <c r="M168" s="415"/>
      <c r="N168" s="415"/>
      <c r="O168" s="415"/>
      <c r="P168" s="415"/>
      <c r="Q168" s="415"/>
      <c r="R168" s="415"/>
      <c r="S168" s="415"/>
      <c r="T168" s="415"/>
      <c r="U168" s="415"/>
      <c r="V168" s="415"/>
      <c r="W168" s="415"/>
      <c r="X168" s="415"/>
      <c r="Y168" s="415"/>
      <c r="Z168" s="415"/>
      <c r="AA168" s="415"/>
    </row>
    <row r="169">
      <c r="A169" s="415"/>
      <c r="B169" s="415"/>
      <c r="C169" s="415"/>
      <c r="D169" s="415"/>
      <c r="E169" s="415"/>
      <c r="F169" s="415"/>
      <c r="G169" s="415"/>
      <c r="H169" s="415"/>
      <c r="I169" s="415"/>
      <c r="J169" s="415"/>
      <c r="K169" s="415"/>
      <c r="L169" s="415"/>
      <c r="M169" s="415"/>
      <c r="N169" s="415"/>
      <c r="O169" s="415"/>
      <c r="P169" s="415"/>
      <c r="Q169" s="415"/>
      <c r="R169" s="415"/>
      <c r="S169" s="415"/>
      <c r="T169" s="415"/>
      <c r="U169" s="415"/>
      <c r="V169" s="415"/>
      <c r="W169" s="415"/>
      <c r="X169" s="415"/>
      <c r="Y169" s="415"/>
      <c r="Z169" s="415"/>
      <c r="AA169" s="415"/>
    </row>
    <row r="170">
      <c r="A170" s="415"/>
      <c r="B170" s="415"/>
      <c r="C170" s="415"/>
      <c r="D170" s="415"/>
      <c r="E170" s="415"/>
      <c r="F170" s="415"/>
      <c r="G170" s="415"/>
      <c r="H170" s="415"/>
      <c r="I170" s="415"/>
      <c r="J170" s="415"/>
      <c r="K170" s="415"/>
      <c r="L170" s="415"/>
      <c r="M170" s="415"/>
      <c r="N170" s="415"/>
      <c r="O170" s="415"/>
      <c r="P170" s="415"/>
      <c r="Q170" s="415"/>
      <c r="R170" s="415"/>
      <c r="S170" s="415"/>
      <c r="T170" s="415"/>
      <c r="U170" s="415"/>
      <c r="V170" s="415"/>
      <c r="W170" s="415"/>
      <c r="X170" s="415"/>
      <c r="Y170" s="415"/>
      <c r="Z170" s="415"/>
      <c r="AA170" s="415"/>
    </row>
    <row r="171">
      <c r="A171" s="415"/>
      <c r="B171" s="415"/>
      <c r="C171" s="415"/>
      <c r="D171" s="415"/>
      <c r="E171" s="415"/>
      <c r="F171" s="415"/>
      <c r="G171" s="415"/>
      <c r="H171" s="415"/>
      <c r="I171" s="415"/>
      <c r="J171" s="415"/>
      <c r="K171" s="415"/>
      <c r="L171" s="415"/>
      <c r="M171" s="415"/>
      <c r="N171" s="415"/>
      <c r="O171" s="415"/>
      <c r="P171" s="415"/>
      <c r="Q171" s="415"/>
      <c r="R171" s="415"/>
      <c r="S171" s="415"/>
      <c r="T171" s="415"/>
      <c r="U171" s="415"/>
      <c r="V171" s="415"/>
      <c r="W171" s="415"/>
      <c r="X171" s="415"/>
      <c r="Y171" s="415"/>
      <c r="Z171" s="415"/>
      <c r="AA171" s="415"/>
    </row>
    <row r="172">
      <c r="A172" s="415"/>
      <c r="B172" s="415"/>
      <c r="C172" s="415"/>
      <c r="D172" s="415"/>
      <c r="E172" s="415"/>
      <c r="F172" s="415"/>
      <c r="G172" s="415"/>
      <c r="H172" s="415"/>
      <c r="I172" s="415"/>
      <c r="J172" s="415"/>
      <c r="K172" s="415"/>
      <c r="L172" s="415"/>
      <c r="M172" s="415"/>
      <c r="N172" s="415"/>
      <c r="O172" s="415"/>
      <c r="P172" s="415"/>
      <c r="Q172" s="415"/>
      <c r="R172" s="415"/>
      <c r="S172" s="415"/>
      <c r="T172" s="415"/>
      <c r="U172" s="415"/>
      <c r="V172" s="415"/>
      <c r="W172" s="415"/>
      <c r="X172" s="415"/>
      <c r="Y172" s="415"/>
      <c r="Z172" s="415"/>
      <c r="AA172" s="415"/>
    </row>
    <row r="173">
      <c r="A173" s="415"/>
      <c r="B173" s="415"/>
      <c r="C173" s="415"/>
      <c r="D173" s="415"/>
      <c r="E173" s="415"/>
      <c r="F173" s="415"/>
      <c r="G173" s="415"/>
      <c r="H173" s="415"/>
      <c r="I173" s="415"/>
      <c r="J173" s="415"/>
      <c r="K173" s="415"/>
      <c r="L173" s="415"/>
      <c r="M173" s="415"/>
      <c r="N173" s="415"/>
      <c r="O173" s="415"/>
      <c r="P173" s="415"/>
      <c r="Q173" s="415"/>
      <c r="R173" s="415"/>
      <c r="S173" s="415"/>
      <c r="T173" s="415"/>
      <c r="U173" s="415"/>
      <c r="V173" s="415"/>
      <c r="W173" s="415"/>
      <c r="X173" s="415"/>
      <c r="Y173" s="415"/>
      <c r="Z173" s="415"/>
      <c r="AA173" s="415"/>
    </row>
    <row r="174">
      <c r="A174" s="415"/>
      <c r="B174" s="415"/>
      <c r="C174" s="415"/>
      <c r="D174" s="415"/>
      <c r="E174" s="415"/>
      <c r="F174" s="415"/>
      <c r="G174" s="415"/>
      <c r="H174" s="415"/>
      <c r="I174" s="415"/>
      <c r="J174" s="415"/>
      <c r="K174" s="415"/>
      <c r="L174" s="415"/>
      <c r="M174" s="415"/>
      <c r="N174" s="415"/>
      <c r="O174" s="415"/>
      <c r="P174" s="415"/>
      <c r="Q174" s="415"/>
      <c r="R174" s="415"/>
      <c r="S174" s="415"/>
      <c r="T174" s="415"/>
      <c r="U174" s="415"/>
      <c r="V174" s="415"/>
      <c r="W174" s="415"/>
      <c r="X174" s="415"/>
      <c r="Y174" s="415"/>
      <c r="Z174" s="415"/>
      <c r="AA174" s="415"/>
    </row>
    <row r="175">
      <c r="A175" s="415"/>
      <c r="B175" s="415"/>
      <c r="C175" s="415"/>
      <c r="D175" s="415"/>
      <c r="E175" s="415"/>
      <c r="F175" s="415"/>
      <c r="G175" s="415"/>
      <c r="H175" s="415"/>
      <c r="I175" s="415"/>
      <c r="J175" s="415"/>
      <c r="K175" s="415"/>
      <c r="L175" s="415"/>
      <c r="M175" s="415"/>
      <c r="N175" s="415"/>
      <c r="O175" s="415"/>
      <c r="P175" s="415"/>
      <c r="Q175" s="415"/>
      <c r="R175" s="415"/>
      <c r="S175" s="415"/>
      <c r="T175" s="415"/>
      <c r="U175" s="415"/>
      <c r="V175" s="415"/>
      <c r="W175" s="415"/>
      <c r="X175" s="415"/>
      <c r="Y175" s="415"/>
      <c r="Z175" s="415"/>
      <c r="AA175" s="415"/>
    </row>
    <row r="176">
      <c r="A176" s="415"/>
      <c r="B176" s="415"/>
      <c r="C176" s="415"/>
      <c r="D176" s="415"/>
      <c r="E176" s="415"/>
      <c r="F176" s="415"/>
      <c r="G176" s="415"/>
      <c r="H176" s="415"/>
      <c r="I176" s="415"/>
      <c r="J176" s="415"/>
      <c r="K176" s="415"/>
      <c r="L176" s="415"/>
      <c r="M176" s="415"/>
      <c r="N176" s="415"/>
      <c r="O176" s="415"/>
      <c r="P176" s="415"/>
      <c r="Q176" s="415"/>
      <c r="R176" s="415"/>
      <c r="S176" s="415"/>
      <c r="T176" s="415"/>
      <c r="U176" s="415"/>
      <c r="V176" s="415"/>
      <c r="W176" s="415"/>
      <c r="X176" s="415"/>
      <c r="Y176" s="415"/>
      <c r="Z176" s="415"/>
      <c r="AA176" s="415"/>
    </row>
    <row r="177">
      <c r="A177" s="415"/>
      <c r="B177" s="415"/>
      <c r="C177" s="415"/>
      <c r="D177" s="415"/>
      <c r="E177" s="415"/>
      <c r="F177" s="415"/>
      <c r="G177" s="415"/>
      <c r="H177" s="415"/>
      <c r="I177" s="415"/>
      <c r="J177" s="415"/>
      <c r="K177" s="415"/>
      <c r="L177" s="415"/>
      <c r="M177" s="415"/>
      <c r="N177" s="415"/>
      <c r="O177" s="415"/>
      <c r="P177" s="415"/>
      <c r="Q177" s="415"/>
      <c r="R177" s="415"/>
      <c r="S177" s="415"/>
      <c r="T177" s="415"/>
      <c r="U177" s="415"/>
      <c r="V177" s="415"/>
      <c r="W177" s="415"/>
      <c r="X177" s="415"/>
      <c r="Y177" s="415"/>
      <c r="Z177" s="415"/>
      <c r="AA177" s="415"/>
    </row>
    <row r="178">
      <c r="A178" s="415"/>
      <c r="B178" s="415"/>
      <c r="C178" s="415"/>
      <c r="D178" s="415"/>
      <c r="E178" s="415"/>
      <c r="F178" s="415"/>
      <c r="G178" s="415"/>
      <c r="H178" s="415"/>
      <c r="I178" s="415"/>
      <c r="J178" s="415"/>
      <c r="K178" s="415"/>
      <c r="L178" s="415"/>
      <c r="M178" s="415"/>
      <c r="N178" s="415"/>
      <c r="O178" s="415"/>
      <c r="P178" s="415"/>
      <c r="Q178" s="415"/>
      <c r="R178" s="415"/>
      <c r="S178" s="415"/>
      <c r="T178" s="415"/>
      <c r="U178" s="415"/>
      <c r="V178" s="415"/>
      <c r="W178" s="415"/>
      <c r="X178" s="415"/>
      <c r="Y178" s="415"/>
      <c r="Z178" s="415"/>
      <c r="AA178" s="415"/>
    </row>
    <row r="179">
      <c r="A179" s="415"/>
      <c r="B179" s="415"/>
      <c r="C179" s="415"/>
      <c r="D179" s="415"/>
      <c r="E179" s="415"/>
      <c r="F179" s="415"/>
      <c r="G179" s="415"/>
      <c r="H179" s="415"/>
      <c r="I179" s="415"/>
      <c r="J179" s="415"/>
      <c r="K179" s="415"/>
      <c r="L179" s="415"/>
      <c r="M179" s="415"/>
      <c r="N179" s="415"/>
      <c r="O179" s="415"/>
      <c r="P179" s="415"/>
      <c r="Q179" s="415"/>
      <c r="R179" s="415"/>
      <c r="S179" s="415"/>
      <c r="T179" s="415"/>
      <c r="U179" s="415"/>
      <c r="V179" s="415"/>
      <c r="W179" s="415"/>
      <c r="X179" s="415"/>
      <c r="Y179" s="415"/>
      <c r="Z179" s="415"/>
      <c r="AA179" s="415"/>
    </row>
    <row r="180">
      <c r="A180" s="415"/>
      <c r="B180" s="415"/>
      <c r="C180" s="415"/>
      <c r="D180" s="415"/>
      <c r="E180" s="415"/>
      <c r="F180" s="415"/>
      <c r="G180" s="415"/>
      <c r="H180" s="415"/>
      <c r="I180" s="415"/>
      <c r="J180" s="415"/>
      <c r="K180" s="415"/>
      <c r="L180" s="415"/>
      <c r="M180" s="415"/>
      <c r="N180" s="415"/>
      <c r="O180" s="415"/>
      <c r="P180" s="415"/>
      <c r="Q180" s="415"/>
      <c r="R180" s="415"/>
      <c r="S180" s="415"/>
      <c r="T180" s="415"/>
      <c r="U180" s="415"/>
      <c r="V180" s="415"/>
      <c r="W180" s="415"/>
      <c r="X180" s="415"/>
      <c r="Y180" s="415"/>
      <c r="Z180" s="415"/>
      <c r="AA180" s="415"/>
    </row>
    <row r="181">
      <c r="A181" s="415"/>
      <c r="B181" s="415"/>
      <c r="C181" s="415"/>
      <c r="D181" s="415"/>
      <c r="E181" s="415"/>
      <c r="F181" s="415"/>
      <c r="G181" s="415"/>
      <c r="H181" s="415"/>
      <c r="I181" s="415"/>
      <c r="J181" s="415"/>
      <c r="K181" s="415"/>
      <c r="L181" s="415"/>
      <c r="M181" s="415"/>
      <c r="N181" s="415"/>
      <c r="O181" s="415"/>
      <c r="P181" s="415"/>
      <c r="Q181" s="415"/>
      <c r="R181" s="415"/>
      <c r="S181" s="415"/>
      <c r="T181" s="415"/>
      <c r="U181" s="415"/>
      <c r="V181" s="415"/>
      <c r="W181" s="415"/>
      <c r="X181" s="415"/>
      <c r="Y181" s="415"/>
      <c r="Z181" s="415"/>
      <c r="AA181" s="415"/>
    </row>
    <row r="182">
      <c r="A182" s="415"/>
      <c r="B182" s="415"/>
      <c r="C182" s="415"/>
      <c r="D182" s="415"/>
      <c r="E182" s="415"/>
      <c r="F182" s="415"/>
      <c r="G182" s="415"/>
      <c r="H182" s="415"/>
      <c r="I182" s="415"/>
      <c r="J182" s="415"/>
      <c r="K182" s="415"/>
      <c r="L182" s="415"/>
      <c r="M182" s="415"/>
      <c r="N182" s="415"/>
      <c r="O182" s="415"/>
      <c r="P182" s="415"/>
      <c r="Q182" s="415"/>
      <c r="R182" s="415"/>
      <c r="S182" s="415"/>
      <c r="T182" s="415"/>
      <c r="U182" s="415"/>
      <c r="V182" s="415"/>
      <c r="W182" s="415"/>
      <c r="X182" s="415"/>
      <c r="Y182" s="415"/>
      <c r="Z182" s="415"/>
      <c r="AA182" s="415"/>
    </row>
    <row r="183">
      <c r="A183" s="415"/>
      <c r="B183" s="415"/>
      <c r="C183" s="415"/>
      <c r="D183" s="415"/>
      <c r="E183" s="415"/>
      <c r="F183" s="415"/>
      <c r="G183" s="415"/>
      <c r="H183" s="415"/>
      <c r="I183" s="415"/>
      <c r="J183" s="415"/>
      <c r="K183" s="415"/>
      <c r="L183" s="415"/>
      <c r="M183" s="415"/>
      <c r="N183" s="415"/>
      <c r="O183" s="415"/>
      <c r="P183" s="415"/>
      <c r="Q183" s="415"/>
      <c r="R183" s="415"/>
      <c r="S183" s="415"/>
      <c r="T183" s="415"/>
      <c r="U183" s="415"/>
      <c r="V183" s="415"/>
      <c r="W183" s="415"/>
      <c r="X183" s="415"/>
      <c r="Y183" s="415"/>
      <c r="Z183" s="415"/>
      <c r="AA183" s="415"/>
    </row>
    <row r="184">
      <c r="A184" s="415"/>
      <c r="B184" s="415"/>
      <c r="C184" s="415"/>
      <c r="D184" s="415"/>
      <c r="E184" s="415"/>
      <c r="F184" s="415"/>
      <c r="G184" s="415"/>
      <c r="H184" s="415"/>
      <c r="I184" s="415"/>
      <c r="J184" s="415"/>
      <c r="K184" s="415"/>
      <c r="L184" s="415"/>
      <c r="M184" s="415"/>
      <c r="N184" s="415"/>
      <c r="O184" s="415"/>
      <c r="P184" s="415"/>
      <c r="Q184" s="415"/>
      <c r="R184" s="415"/>
      <c r="S184" s="415"/>
      <c r="T184" s="415"/>
      <c r="U184" s="415"/>
      <c r="V184" s="415"/>
      <c r="W184" s="415"/>
      <c r="X184" s="415"/>
      <c r="Y184" s="415"/>
      <c r="Z184" s="415"/>
      <c r="AA184" s="415"/>
    </row>
    <row r="185">
      <c r="A185" s="415"/>
      <c r="B185" s="415"/>
      <c r="C185" s="415"/>
      <c r="D185" s="415"/>
      <c r="E185" s="415"/>
      <c r="F185" s="415"/>
      <c r="G185" s="415"/>
      <c r="H185" s="415"/>
      <c r="I185" s="415"/>
      <c r="J185" s="415"/>
      <c r="K185" s="415"/>
      <c r="L185" s="415"/>
      <c r="M185" s="415"/>
      <c r="N185" s="415"/>
      <c r="O185" s="415"/>
      <c r="P185" s="415"/>
      <c r="Q185" s="415"/>
      <c r="R185" s="415"/>
      <c r="S185" s="415"/>
      <c r="T185" s="415"/>
      <c r="U185" s="415"/>
      <c r="V185" s="415"/>
      <c r="W185" s="415"/>
      <c r="X185" s="415"/>
      <c r="Y185" s="415"/>
      <c r="Z185" s="415"/>
      <c r="AA185" s="415"/>
    </row>
    <row r="186">
      <c r="A186" s="415"/>
      <c r="B186" s="415"/>
      <c r="C186" s="415"/>
      <c r="D186" s="415"/>
      <c r="E186" s="415"/>
      <c r="F186" s="415"/>
      <c r="G186" s="415"/>
      <c r="H186" s="415"/>
      <c r="I186" s="415"/>
      <c r="J186" s="415"/>
      <c r="K186" s="415"/>
      <c r="L186" s="415"/>
      <c r="M186" s="415"/>
      <c r="N186" s="415"/>
      <c r="O186" s="415"/>
      <c r="P186" s="415"/>
      <c r="Q186" s="415"/>
      <c r="R186" s="415"/>
      <c r="S186" s="415"/>
      <c r="T186" s="415"/>
      <c r="U186" s="415"/>
      <c r="V186" s="415"/>
      <c r="W186" s="415"/>
      <c r="X186" s="415"/>
      <c r="Y186" s="415"/>
      <c r="Z186" s="415"/>
      <c r="AA186" s="415"/>
    </row>
    <row r="187">
      <c r="A187" s="415"/>
      <c r="B187" s="415"/>
      <c r="C187" s="415"/>
      <c r="D187" s="415"/>
      <c r="E187" s="415"/>
      <c r="F187" s="415"/>
      <c r="G187" s="415"/>
      <c r="H187" s="415"/>
      <c r="I187" s="415"/>
      <c r="J187" s="415"/>
      <c r="K187" s="415"/>
      <c r="L187" s="415"/>
      <c r="M187" s="415"/>
      <c r="N187" s="415"/>
      <c r="O187" s="415"/>
      <c r="P187" s="415"/>
      <c r="Q187" s="415"/>
      <c r="R187" s="415"/>
      <c r="S187" s="415"/>
      <c r="T187" s="415"/>
      <c r="U187" s="415"/>
      <c r="V187" s="415"/>
      <c r="W187" s="415"/>
      <c r="X187" s="415"/>
      <c r="Y187" s="415"/>
      <c r="Z187" s="415"/>
      <c r="AA187" s="415"/>
    </row>
    <row r="188">
      <c r="A188" s="415"/>
      <c r="B188" s="415"/>
      <c r="C188" s="415"/>
      <c r="D188" s="415"/>
      <c r="E188" s="415"/>
      <c r="F188" s="415"/>
      <c r="G188" s="415"/>
      <c r="H188" s="415"/>
      <c r="I188" s="415"/>
      <c r="J188" s="415"/>
      <c r="K188" s="415"/>
      <c r="L188" s="415"/>
      <c r="M188" s="415"/>
      <c r="N188" s="415"/>
      <c r="O188" s="415"/>
      <c r="P188" s="415"/>
      <c r="Q188" s="415"/>
      <c r="R188" s="415"/>
      <c r="S188" s="415"/>
      <c r="T188" s="415"/>
      <c r="U188" s="415"/>
      <c r="V188" s="415"/>
      <c r="W188" s="415"/>
      <c r="X188" s="415"/>
      <c r="Y188" s="415"/>
      <c r="Z188" s="415"/>
      <c r="AA188" s="415"/>
    </row>
    <row r="189">
      <c r="A189" s="415"/>
      <c r="B189" s="415"/>
      <c r="C189" s="415"/>
      <c r="D189" s="415"/>
      <c r="E189" s="415"/>
      <c r="F189" s="415"/>
      <c r="G189" s="415"/>
      <c r="H189" s="415"/>
      <c r="I189" s="415"/>
      <c r="J189" s="415"/>
      <c r="K189" s="415"/>
      <c r="L189" s="415"/>
      <c r="M189" s="415"/>
      <c r="N189" s="415"/>
      <c r="O189" s="415"/>
      <c r="P189" s="415"/>
      <c r="Q189" s="415"/>
      <c r="R189" s="415"/>
      <c r="S189" s="415"/>
      <c r="T189" s="415"/>
      <c r="U189" s="415"/>
      <c r="V189" s="415"/>
      <c r="W189" s="415"/>
      <c r="X189" s="415"/>
      <c r="Y189" s="415"/>
      <c r="Z189" s="415"/>
      <c r="AA189" s="415"/>
    </row>
    <row r="190">
      <c r="A190" s="415"/>
      <c r="B190" s="415"/>
      <c r="C190" s="415"/>
      <c r="D190" s="415"/>
      <c r="E190" s="415"/>
      <c r="F190" s="415"/>
      <c r="G190" s="415"/>
      <c r="H190" s="415"/>
      <c r="I190" s="415"/>
      <c r="J190" s="415"/>
      <c r="K190" s="415"/>
      <c r="L190" s="415"/>
      <c r="M190" s="415"/>
      <c r="N190" s="415"/>
      <c r="O190" s="415"/>
      <c r="P190" s="415"/>
      <c r="Q190" s="415"/>
      <c r="R190" s="415"/>
      <c r="S190" s="415"/>
      <c r="T190" s="415"/>
      <c r="U190" s="415"/>
      <c r="V190" s="415"/>
      <c r="W190" s="415"/>
      <c r="X190" s="415"/>
      <c r="Y190" s="415"/>
      <c r="Z190" s="415"/>
      <c r="AA190" s="415"/>
    </row>
    <row r="191">
      <c r="A191" s="415"/>
      <c r="B191" s="415"/>
      <c r="C191" s="415"/>
      <c r="D191" s="415"/>
      <c r="E191" s="415"/>
      <c r="F191" s="415"/>
      <c r="G191" s="415"/>
      <c r="H191" s="415"/>
      <c r="I191" s="415"/>
      <c r="J191" s="415"/>
      <c r="K191" s="415"/>
      <c r="L191" s="415"/>
      <c r="M191" s="415"/>
      <c r="N191" s="415"/>
      <c r="O191" s="415"/>
      <c r="P191" s="415"/>
      <c r="Q191" s="415"/>
      <c r="R191" s="415"/>
      <c r="S191" s="415"/>
      <c r="T191" s="415"/>
      <c r="U191" s="415"/>
      <c r="V191" s="415"/>
      <c r="W191" s="415"/>
      <c r="X191" s="415"/>
      <c r="Y191" s="415"/>
      <c r="Z191" s="415"/>
      <c r="AA191" s="415"/>
    </row>
    <row r="192">
      <c r="A192" s="415"/>
      <c r="B192" s="415"/>
      <c r="C192" s="415"/>
      <c r="D192" s="415"/>
      <c r="E192" s="415"/>
      <c r="F192" s="415"/>
      <c r="G192" s="415"/>
      <c r="H192" s="415"/>
      <c r="I192" s="415"/>
      <c r="J192" s="415"/>
      <c r="K192" s="415"/>
      <c r="L192" s="415"/>
      <c r="M192" s="415"/>
      <c r="N192" s="415"/>
      <c r="O192" s="415"/>
      <c r="P192" s="415"/>
      <c r="Q192" s="415"/>
      <c r="R192" s="415"/>
      <c r="S192" s="415"/>
      <c r="T192" s="415"/>
      <c r="U192" s="415"/>
      <c r="V192" s="415"/>
      <c r="W192" s="415"/>
      <c r="X192" s="415"/>
      <c r="Y192" s="415"/>
      <c r="Z192" s="415"/>
      <c r="AA192" s="415"/>
    </row>
    <row r="193">
      <c r="A193" s="415"/>
      <c r="B193" s="415"/>
      <c r="C193" s="415"/>
      <c r="D193" s="415"/>
      <c r="E193" s="415"/>
      <c r="F193" s="415"/>
      <c r="G193" s="415"/>
      <c r="H193" s="415"/>
      <c r="I193" s="415"/>
      <c r="J193" s="415"/>
      <c r="K193" s="415"/>
      <c r="L193" s="415"/>
      <c r="M193" s="415"/>
      <c r="N193" s="415"/>
      <c r="O193" s="415"/>
      <c r="P193" s="415"/>
      <c r="Q193" s="415"/>
      <c r="R193" s="415"/>
      <c r="S193" s="415"/>
      <c r="T193" s="415"/>
      <c r="U193" s="415"/>
      <c r="V193" s="415"/>
      <c r="W193" s="415"/>
      <c r="X193" s="415"/>
      <c r="Y193" s="415"/>
      <c r="Z193" s="415"/>
      <c r="AA193" s="415"/>
    </row>
    <row r="194">
      <c r="A194" s="415"/>
      <c r="B194" s="415"/>
      <c r="C194" s="415"/>
      <c r="D194" s="415"/>
      <c r="E194" s="415"/>
      <c r="F194" s="415"/>
      <c r="G194" s="415"/>
      <c r="H194" s="415"/>
      <c r="I194" s="415"/>
      <c r="J194" s="415"/>
      <c r="K194" s="415"/>
      <c r="L194" s="415"/>
      <c r="M194" s="415"/>
      <c r="N194" s="415"/>
      <c r="O194" s="415"/>
      <c r="P194" s="415"/>
      <c r="Q194" s="415"/>
      <c r="R194" s="415"/>
      <c r="S194" s="415"/>
      <c r="T194" s="415"/>
      <c r="U194" s="415"/>
      <c r="V194" s="415"/>
      <c r="W194" s="415"/>
      <c r="X194" s="415"/>
      <c r="Y194" s="415"/>
      <c r="Z194" s="415"/>
      <c r="AA194" s="415"/>
    </row>
    <row r="195">
      <c r="A195" s="415"/>
      <c r="B195" s="415"/>
      <c r="C195" s="415"/>
      <c r="D195" s="415"/>
      <c r="E195" s="415"/>
      <c r="F195" s="415"/>
      <c r="G195" s="415"/>
      <c r="H195" s="415"/>
      <c r="I195" s="415"/>
      <c r="J195" s="415"/>
      <c r="K195" s="415"/>
      <c r="L195" s="415"/>
      <c r="M195" s="415"/>
      <c r="N195" s="415"/>
      <c r="O195" s="415"/>
      <c r="P195" s="415"/>
      <c r="Q195" s="415"/>
      <c r="R195" s="415"/>
      <c r="S195" s="415"/>
      <c r="T195" s="415"/>
      <c r="U195" s="415"/>
      <c r="V195" s="415"/>
      <c r="W195" s="415"/>
      <c r="X195" s="415"/>
      <c r="Y195" s="415"/>
      <c r="Z195" s="415"/>
      <c r="AA195" s="415"/>
    </row>
    <row r="196">
      <c r="A196" s="415"/>
      <c r="B196" s="415"/>
      <c r="C196" s="415"/>
      <c r="D196" s="415"/>
      <c r="E196" s="415"/>
      <c r="F196" s="415"/>
      <c r="G196" s="415"/>
      <c r="H196" s="415"/>
      <c r="I196" s="415"/>
      <c r="J196" s="415"/>
      <c r="K196" s="415"/>
      <c r="L196" s="415"/>
      <c r="M196" s="415"/>
      <c r="N196" s="415"/>
      <c r="O196" s="415"/>
      <c r="P196" s="415"/>
      <c r="Q196" s="415"/>
      <c r="R196" s="415"/>
      <c r="S196" s="415"/>
      <c r="T196" s="415"/>
      <c r="U196" s="415"/>
      <c r="V196" s="415"/>
      <c r="W196" s="415"/>
      <c r="X196" s="415"/>
      <c r="Y196" s="415"/>
      <c r="Z196" s="415"/>
      <c r="AA196" s="415"/>
    </row>
    <row r="197">
      <c r="A197" s="415"/>
      <c r="B197" s="415"/>
      <c r="C197" s="415"/>
      <c r="D197" s="415"/>
      <c r="E197" s="415"/>
      <c r="F197" s="415"/>
      <c r="G197" s="415"/>
      <c r="H197" s="415"/>
      <c r="I197" s="415"/>
      <c r="J197" s="415"/>
      <c r="K197" s="415"/>
      <c r="L197" s="415"/>
      <c r="M197" s="415"/>
      <c r="N197" s="415"/>
      <c r="O197" s="415"/>
      <c r="P197" s="415"/>
      <c r="Q197" s="415"/>
      <c r="R197" s="415"/>
      <c r="S197" s="415"/>
      <c r="T197" s="415"/>
      <c r="U197" s="415"/>
      <c r="V197" s="415"/>
      <c r="W197" s="415"/>
      <c r="X197" s="415"/>
      <c r="Y197" s="415"/>
      <c r="Z197" s="415"/>
      <c r="AA197" s="415"/>
    </row>
    <row r="198">
      <c r="A198" s="415"/>
      <c r="B198" s="415"/>
      <c r="C198" s="415"/>
      <c r="D198" s="415"/>
      <c r="E198" s="415"/>
      <c r="F198" s="415"/>
      <c r="G198" s="415"/>
      <c r="H198" s="415"/>
      <c r="I198" s="415"/>
      <c r="J198" s="415"/>
      <c r="K198" s="415"/>
      <c r="L198" s="415"/>
      <c r="M198" s="415"/>
      <c r="N198" s="415"/>
      <c r="O198" s="415"/>
      <c r="P198" s="415"/>
      <c r="Q198" s="415"/>
      <c r="R198" s="415"/>
      <c r="S198" s="415"/>
      <c r="T198" s="415"/>
      <c r="U198" s="415"/>
      <c r="V198" s="415"/>
      <c r="W198" s="415"/>
      <c r="X198" s="415"/>
      <c r="Y198" s="415"/>
      <c r="Z198" s="415"/>
      <c r="AA198" s="415"/>
    </row>
    <row r="199">
      <c r="A199" s="415"/>
      <c r="B199" s="415"/>
      <c r="C199" s="415"/>
      <c r="D199" s="415"/>
      <c r="E199" s="415"/>
      <c r="F199" s="415"/>
      <c r="G199" s="415"/>
      <c r="H199" s="415"/>
      <c r="I199" s="415"/>
      <c r="J199" s="415"/>
      <c r="K199" s="415"/>
      <c r="L199" s="415"/>
      <c r="M199" s="415"/>
      <c r="N199" s="415"/>
      <c r="O199" s="415"/>
      <c r="P199" s="415"/>
      <c r="Q199" s="415"/>
      <c r="R199" s="415"/>
      <c r="S199" s="415"/>
      <c r="T199" s="415"/>
      <c r="U199" s="415"/>
      <c r="V199" s="415"/>
      <c r="W199" s="415"/>
      <c r="X199" s="415"/>
      <c r="Y199" s="415"/>
      <c r="Z199" s="415"/>
      <c r="AA199" s="415"/>
    </row>
    <row r="200">
      <c r="A200" s="415"/>
      <c r="B200" s="415"/>
      <c r="C200" s="415"/>
      <c r="D200" s="415"/>
      <c r="E200" s="415"/>
      <c r="F200" s="415"/>
      <c r="G200" s="415"/>
      <c r="H200" s="415"/>
      <c r="I200" s="415"/>
      <c r="J200" s="415"/>
      <c r="K200" s="415"/>
      <c r="L200" s="415"/>
      <c r="M200" s="415"/>
      <c r="N200" s="415"/>
      <c r="O200" s="415"/>
      <c r="P200" s="415"/>
      <c r="Q200" s="415"/>
      <c r="R200" s="415"/>
      <c r="S200" s="415"/>
      <c r="T200" s="415"/>
      <c r="U200" s="415"/>
      <c r="V200" s="415"/>
      <c r="W200" s="415"/>
      <c r="X200" s="415"/>
      <c r="Y200" s="415"/>
      <c r="Z200" s="415"/>
      <c r="AA200" s="415"/>
    </row>
    <row r="201">
      <c r="A201" s="415"/>
      <c r="B201" s="415"/>
      <c r="C201" s="415"/>
      <c r="D201" s="415"/>
      <c r="E201" s="415"/>
      <c r="F201" s="415"/>
      <c r="G201" s="415"/>
      <c r="H201" s="415"/>
      <c r="I201" s="415"/>
      <c r="J201" s="415"/>
      <c r="K201" s="415"/>
      <c r="L201" s="415"/>
      <c r="M201" s="415"/>
      <c r="N201" s="415"/>
      <c r="O201" s="415"/>
      <c r="P201" s="415"/>
      <c r="Q201" s="415"/>
      <c r="R201" s="415"/>
      <c r="S201" s="415"/>
      <c r="T201" s="415"/>
      <c r="U201" s="415"/>
      <c r="V201" s="415"/>
      <c r="W201" s="415"/>
      <c r="X201" s="415"/>
      <c r="Y201" s="415"/>
      <c r="Z201" s="415"/>
      <c r="AA201" s="415"/>
    </row>
    <row r="202">
      <c r="A202" s="415"/>
      <c r="B202" s="415"/>
      <c r="C202" s="415"/>
      <c r="D202" s="415"/>
      <c r="E202" s="415"/>
      <c r="F202" s="415"/>
      <c r="G202" s="415"/>
      <c r="H202" s="415"/>
      <c r="I202" s="415"/>
      <c r="J202" s="415"/>
      <c r="K202" s="415"/>
      <c r="L202" s="415"/>
      <c r="M202" s="415"/>
      <c r="N202" s="415"/>
      <c r="O202" s="415"/>
      <c r="P202" s="415"/>
      <c r="Q202" s="415"/>
      <c r="R202" s="415"/>
      <c r="S202" s="415"/>
      <c r="T202" s="415"/>
      <c r="U202" s="415"/>
      <c r="V202" s="415"/>
      <c r="W202" s="415"/>
      <c r="X202" s="415"/>
      <c r="Y202" s="415"/>
      <c r="Z202" s="415"/>
      <c r="AA202" s="415"/>
    </row>
    <row r="203">
      <c r="A203" s="415"/>
      <c r="B203" s="415"/>
      <c r="C203" s="415"/>
      <c r="D203" s="415"/>
      <c r="E203" s="415"/>
      <c r="F203" s="415"/>
      <c r="G203" s="415"/>
      <c r="H203" s="415"/>
      <c r="I203" s="415"/>
      <c r="J203" s="415"/>
      <c r="K203" s="415"/>
      <c r="L203" s="415"/>
      <c r="M203" s="415"/>
      <c r="N203" s="415"/>
      <c r="O203" s="415"/>
      <c r="P203" s="415"/>
      <c r="Q203" s="415"/>
      <c r="R203" s="415"/>
      <c r="S203" s="415"/>
      <c r="T203" s="415"/>
      <c r="U203" s="415"/>
      <c r="V203" s="415"/>
      <c r="W203" s="415"/>
      <c r="X203" s="415"/>
      <c r="Y203" s="415"/>
      <c r="Z203" s="415"/>
      <c r="AA203" s="415"/>
    </row>
    <row r="204">
      <c r="A204" s="415"/>
      <c r="B204" s="415"/>
      <c r="C204" s="415"/>
      <c r="D204" s="415"/>
      <c r="E204" s="415"/>
      <c r="F204" s="415"/>
      <c r="G204" s="415"/>
      <c r="H204" s="415"/>
      <c r="I204" s="415"/>
      <c r="J204" s="415"/>
      <c r="K204" s="415"/>
      <c r="L204" s="415"/>
      <c r="M204" s="415"/>
      <c r="N204" s="415"/>
      <c r="O204" s="415"/>
      <c r="P204" s="415"/>
      <c r="Q204" s="415"/>
      <c r="R204" s="415"/>
      <c r="S204" s="415"/>
      <c r="T204" s="415"/>
      <c r="U204" s="415"/>
      <c r="V204" s="415"/>
      <c r="W204" s="415"/>
      <c r="X204" s="415"/>
      <c r="Y204" s="415"/>
      <c r="Z204" s="415"/>
      <c r="AA204" s="415"/>
    </row>
    <row r="205">
      <c r="A205" s="415"/>
      <c r="B205" s="415"/>
      <c r="C205" s="415"/>
      <c r="D205" s="415"/>
      <c r="E205" s="415"/>
      <c r="F205" s="415"/>
      <c r="G205" s="415"/>
      <c r="H205" s="415"/>
      <c r="I205" s="415"/>
      <c r="J205" s="415"/>
      <c r="K205" s="415"/>
      <c r="L205" s="415"/>
      <c r="M205" s="415"/>
      <c r="N205" s="415"/>
      <c r="O205" s="415"/>
      <c r="P205" s="415"/>
      <c r="Q205" s="415"/>
      <c r="R205" s="415"/>
      <c r="S205" s="415"/>
      <c r="T205" s="415"/>
      <c r="U205" s="415"/>
      <c r="V205" s="415"/>
      <c r="W205" s="415"/>
      <c r="X205" s="415"/>
      <c r="Y205" s="415"/>
      <c r="Z205" s="415"/>
      <c r="AA205" s="415"/>
    </row>
    <row r="206">
      <c r="A206" s="415"/>
      <c r="B206" s="415"/>
      <c r="C206" s="415"/>
      <c r="D206" s="415"/>
      <c r="E206" s="415"/>
      <c r="F206" s="415"/>
      <c r="G206" s="415"/>
      <c r="H206" s="415"/>
      <c r="I206" s="415"/>
      <c r="J206" s="415"/>
      <c r="K206" s="415"/>
      <c r="L206" s="415"/>
      <c r="M206" s="415"/>
      <c r="N206" s="415"/>
      <c r="O206" s="415"/>
      <c r="P206" s="415"/>
      <c r="Q206" s="415"/>
      <c r="R206" s="415"/>
      <c r="S206" s="415"/>
      <c r="T206" s="415"/>
      <c r="U206" s="415"/>
      <c r="V206" s="415"/>
      <c r="W206" s="415"/>
      <c r="X206" s="415"/>
      <c r="Y206" s="415"/>
      <c r="Z206" s="415"/>
      <c r="AA206" s="415"/>
    </row>
    <row r="207">
      <c r="A207" s="415"/>
      <c r="B207" s="415"/>
      <c r="C207" s="415"/>
      <c r="D207" s="415"/>
      <c r="E207" s="415"/>
      <c r="F207" s="415"/>
      <c r="G207" s="415"/>
      <c r="H207" s="415"/>
      <c r="I207" s="415"/>
      <c r="J207" s="415"/>
      <c r="K207" s="415"/>
      <c r="L207" s="415"/>
      <c r="M207" s="415"/>
      <c r="N207" s="415"/>
      <c r="O207" s="415"/>
      <c r="P207" s="415"/>
      <c r="Q207" s="415"/>
      <c r="R207" s="415"/>
      <c r="S207" s="415"/>
      <c r="T207" s="415"/>
      <c r="U207" s="415"/>
      <c r="V207" s="415"/>
      <c r="W207" s="415"/>
      <c r="X207" s="415"/>
      <c r="Y207" s="415"/>
      <c r="Z207" s="415"/>
      <c r="AA207" s="415"/>
    </row>
    <row r="208">
      <c r="A208" s="415"/>
      <c r="B208" s="415"/>
      <c r="C208" s="415"/>
      <c r="D208" s="415"/>
      <c r="E208" s="415"/>
      <c r="F208" s="415"/>
      <c r="G208" s="415"/>
      <c r="H208" s="415"/>
      <c r="I208" s="415"/>
      <c r="J208" s="415"/>
      <c r="K208" s="415"/>
      <c r="L208" s="415"/>
      <c r="M208" s="415"/>
      <c r="N208" s="415"/>
      <c r="O208" s="415"/>
      <c r="P208" s="415"/>
      <c r="Q208" s="415"/>
      <c r="R208" s="415"/>
      <c r="S208" s="415"/>
      <c r="T208" s="415"/>
      <c r="U208" s="415"/>
      <c r="V208" s="415"/>
      <c r="W208" s="415"/>
      <c r="X208" s="415"/>
      <c r="Y208" s="415"/>
      <c r="Z208" s="415"/>
      <c r="AA208" s="415"/>
    </row>
    <row r="209">
      <c r="A209" s="415"/>
      <c r="B209" s="415"/>
      <c r="C209" s="415"/>
      <c r="D209" s="415"/>
      <c r="E209" s="415"/>
      <c r="F209" s="415"/>
      <c r="G209" s="415"/>
      <c r="H209" s="415"/>
      <c r="I209" s="415"/>
      <c r="J209" s="415"/>
      <c r="K209" s="415"/>
      <c r="L209" s="415"/>
      <c r="M209" s="415"/>
      <c r="N209" s="415"/>
      <c r="O209" s="415"/>
      <c r="P209" s="415"/>
      <c r="Q209" s="415"/>
      <c r="R209" s="415"/>
      <c r="S209" s="415"/>
      <c r="T209" s="415"/>
      <c r="U209" s="415"/>
      <c r="V209" s="415"/>
      <c r="W209" s="415"/>
      <c r="X209" s="415"/>
      <c r="Y209" s="415"/>
      <c r="Z209" s="415"/>
      <c r="AA209" s="415"/>
    </row>
    <row r="210">
      <c r="A210" s="415"/>
      <c r="B210" s="415"/>
      <c r="C210" s="415"/>
      <c r="D210" s="415"/>
      <c r="E210" s="415"/>
      <c r="F210" s="415"/>
      <c r="G210" s="415"/>
      <c r="H210" s="415"/>
      <c r="I210" s="415"/>
      <c r="J210" s="415"/>
      <c r="K210" s="415"/>
      <c r="L210" s="415"/>
      <c r="M210" s="415"/>
      <c r="N210" s="415"/>
      <c r="O210" s="415"/>
      <c r="P210" s="415"/>
      <c r="Q210" s="415"/>
      <c r="R210" s="415"/>
      <c r="S210" s="415"/>
      <c r="T210" s="415"/>
      <c r="U210" s="415"/>
      <c r="V210" s="415"/>
      <c r="W210" s="415"/>
      <c r="X210" s="415"/>
      <c r="Y210" s="415"/>
      <c r="Z210" s="415"/>
      <c r="AA210" s="415"/>
    </row>
    <row r="211">
      <c r="A211" s="415"/>
      <c r="B211" s="415"/>
      <c r="C211" s="415"/>
      <c r="D211" s="415"/>
      <c r="E211" s="415"/>
      <c r="F211" s="415"/>
      <c r="G211" s="415"/>
      <c r="H211" s="415"/>
      <c r="I211" s="415"/>
      <c r="J211" s="415"/>
      <c r="K211" s="415"/>
      <c r="L211" s="415"/>
      <c r="M211" s="415"/>
      <c r="N211" s="415"/>
      <c r="O211" s="415"/>
      <c r="P211" s="415"/>
      <c r="Q211" s="415"/>
      <c r="R211" s="415"/>
      <c r="S211" s="415"/>
      <c r="T211" s="415"/>
      <c r="U211" s="415"/>
      <c r="V211" s="415"/>
      <c r="W211" s="415"/>
      <c r="X211" s="415"/>
      <c r="Y211" s="415"/>
      <c r="Z211" s="415"/>
      <c r="AA211" s="415"/>
    </row>
    <row r="212">
      <c r="A212" s="415"/>
      <c r="B212" s="415"/>
      <c r="C212" s="415"/>
      <c r="D212" s="415"/>
      <c r="E212" s="415"/>
      <c r="F212" s="415"/>
      <c r="G212" s="415"/>
      <c r="H212" s="415"/>
      <c r="I212" s="415"/>
      <c r="J212" s="415"/>
      <c r="K212" s="415"/>
      <c r="L212" s="415"/>
      <c r="M212" s="415"/>
      <c r="N212" s="415"/>
      <c r="O212" s="415"/>
      <c r="P212" s="415"/>
      <c r="Q212" s="415"/>
      <c r="R212" s="415"/>
      <c r="S212" s="415"/>
      <c r="T212" s="415"/>
      <c r="U212" s="415"/>
      <c r="V212" s="415"/>
      <c r="W212" s="415"/>
      <c r="X212" s="415"/>
      <c r="Y212" s="415"/>
      <c r="Z212" s="415"/>
      <c r="AA212" s="415"/>
    </row>
    <row r="213">
      <c r="A213" s="415"/>
      <c r="B213" s="415"/>
      <c r="C213" s="415"/>
      <c r="D213" s="415"/>
      <c r="E213" s="415"/>
      <c r="F213" s="415"/>
      <c r="G213" s="415"/>
      <c r="H213" s="415"/>
      <c r="I213" s="415"/>
      <c r="J213" s="415"/>
      <c r="K213" s="415"/>
      <c r="L213" s="415"/>
      <c r="M213" s="415"/>
      <c r="N213" s="415"/>
      <c r="O213" s="415"/>
      <c r="P213" s="415"/>
      <c r="Q213" s="415"/>
      <c r="R213" s="415"/>
      <c r="S213" s="415"/>
      <c r="T213" s="415"/>
      <c r="U213" s="415"/>
      <c r="V213" s="415"/>
      <c r="W213" s="415"/>
      <c r="X213" s="415"/>
      <c r="Y213" s="415"/>
      <c r="Z213" s="415"/>
      <c r="AA213" s="415"/>
    </row>
    <row r="214">
      <c r="A214" s="415"/>
      <c r="B214" s="415"/>
      <c r="C214" s="415"/>
      <c r="D214" s="415"/>
      <c r="E214" s="415"/>
      <c r="F214" s="415"/>
      <c r="G214" s="415"/>
      <c r="H214" s="415"/>
      <c r="I214" s="415"/>
      <c r="J214" s="415"/>
      <c r="K214" s="415"/>
      <c r="L214" s="415"/>
      <c r="M214" s="415"/>
      <c r="N214" s="415"/>
      <c r="O214" s="415"/>
      <c r="P214" s="415"/>
      <c r="Q214" s="415"/>
      <c r="R214" s="415"/>
      <c r="S214" s="415"/>
      <c r="T214" s="415"/>
      <c r="U214" s="415"/>
      <c r="V214" s="415"/>
      <c r="W214" s="415"/>
      <c r="X214" s="415"/>
      <c r="Y214" s="415"/>
      <c r="Z214" s="415"/>
      <c r="AA214" s="415"/>
    </row>
    <row r="215">
      <c r="A215" s="415"/>
      <c r="B215" s="415"/>
      <c r="C215" s="415"/>
      <c r="D215" s="415"/>
      <c r="E215" s="415"/>
      <c r="F215" s="415"/>
      <c r="G215" s="415"/>
      <c r="H215" s="415"/>
      <c r="I215" s="415"/>
      <c r="J215" s="415"/>
      <c r="K215" s="415"/>
      <c r="L215" s="415"/>
      <c r="M215" s="415"/>
      <c r="N215" s="415"/>
      <c r="O215" s="415"/>
      <c r="P215" s="415"/>
      <c r="Q215" s="415"/>
      <c r="R215" s="415"/>
      <c r="S215" s="415"/>
      <c r="T215" s="415"/>
      <c r="U215" s="415"/>
      <c r="V215" s="415"/>
      <c r="W215" s="415"/>
      <c r="X215" s="415"/>
      <c r="Y215" s="415"/>
      <c r="Z215" s="415"/>
      <c r="AA215" s="415"/>
    </row>
    <row r="216">
      <c r="A216" s="415"/>
      <c r="B216" s="415"/>
      <c r="C216" s="415"/>
      <c r="D216" s="415"/>
      <c r="E216" s="415"/>
      <c r="F216" s="415"/>
      <c r="G216" s="415"/>
      <c r="H216" s="415"/>
      <c r="I216" s="415"/>
      <c r="J216" s="415"/>
      <c r="K216" s="415"/>
      <c r="L216" s="415"/>
      <c r="M216" s="415"/>
      <c r="N216" s="415"/>
      <c r="O216" s="415"/>
      <c r="P216" s="415"/>
      <c r="Q216" s="415"/>
      <c r="R216" s="415"/>
      <c r="S216" s="415"/>
      <c r="T216" s="415"/>
      <c r="U216" s="415"/>
      <c r="V216" s="415"/>
      <c r="W216" s="415"/>
      <c r="X216" s="415"/>
      <c r="Y216" s="415"/>
      <c r="Z216" s="415"/>
      <c r="AA216" s="415"/>
    </row>
    <row r="217">
      <c r="A217" s="415"/>
      <c r="B217" s="415"/>
      <c r="C217" s="415"/>
      <c r="D217" s="415"/>
      <c r="E217" s="415"/>
      <c r="F217" s="415"/>
      <c r="G217" s="415"/>
      <c r="H217" s="415"/>
      <c r="I217" s="415"/>
      <c r="J217" s="415"/>
      <c r="K217" s="415"/>
      <c r="L217" s="415"/>
      <c r="M217" s="415"/>
      <c r="N217" s="415"/>
      <c r="O217" s="415"/>
      <c r="P217" s="415"/>
      <c r="Q217" s="415"/>
      <c r="R217" s="415"/>
      <c r="S217" s="415"/>
      <c r="T217" s="415"/>
      <c r="U217" s="415"/>
      <c r="V217" s="415"/>
      <c r="W217" s="415"/>
      <c r="X217" s="415"/>
      <c r="Y217" s="415"/>
      <c r="Z217" s="415"/>
      <c r="AA217" s="415"/>
    </row>
    <row r="218">
      <c r="A218" s="415"/>
      <c r="B218" s="415"/>
      <c r="C218" s="415"/>
      <c r="D218" s="415"/>
      <c r="E218" s="415"/>
      <c r="F218" s="415"/>
      <c r="G218" s="415"/>
      <c r="H218" s="415"/>
      <c r="I218" s="415"/>
      <c r="J218" s="415"/>
      <c r="K218" s="415"/>
      <c r="L218" s="415"/>
      <c r="M218" s="415"/>
      <c r="N218" s="415"/>
      <c r="O218" s="415"/>
      <c r="P218" s="415"/>
      <c r="Q218" s="415"/>
      <c r="R218" s="415"/>
      <c r="S218" s="415"/>
      <c r="T218" s="415"/>
      <c r="U218" s="415"/>
      <c r="V218" s="415"/>
      <c r="W218" s="415"/>
      <c r="X218" s="415"/>
      <c r="Y218" s="415"/>
      <c r="Z218" s="415"/>
      <c r="AA218" s="415"/>
    </row>
    <row r="219">
      <c r="A219" s="415"/>
      <c r="B219" s="415"/>
      <c r="C219" s="415"/>
      <c r="D219" s="415"/>
      <c r="E219" s="415"/>
      <c r="F219" s="415"/>
      <c r="G219" s="415"/>
      <c r="H219" s="415"/>
      <c r="I219" s="415"/>
      <c r="J219" s="415"/>
      <c r="K219" s="415"/>
      <c r="L219" s="415"/>
      <c r="M219" s="415"/>
      <c r="N219" s="415"/>
      <c r="O219" s="415"/>
      <c r="P219" s="415"/>
      <c r="Q219" s="415"/>
      <c r="R219" s="415"/>
      <c r="S219" s="415"/>
      <c r="T219" s="415"/>
      <c r="U219" s="415"/>
      <c r="V219" s="415"/>
      <c r="W219" s="415"/>
      <c r="X219" s="415"/>
      <c r="Y219" s="415"/>
      <c r="Z219" s="415"/>
      <c r="AA219" s="415"/>
    </row>
    <row r="220">
      <c r="A220" s="415"/>
      <c r="B220" s="415"/>
      <c r="C220" s="415"/>
      <c r="D220" s="415"/>
      <c r="E220" s="415"/>
      <c r="F220" s="415"/>
      <c r="G220" s="415"/>
      <c r="H220" s="415"/>
      <c r="I220" s="415"/>
      <c r="J220" s="415"/>
      <c r="K220" s="415"/>
      <c r="L220" s="415"/>
      <c r="M220" s="415"/>
      <c r="N220" s="415"/>
      <c r="O220" s="415"/>
      <c r="P220" s="415"/>
      <c r="Q220" s="415"/>
      <c r="R220" s="415"/>
      <c r="S220" s="415"/>
      <c r="T220" s="415"/>
      <c r="U220" s="415"/>
      <c r="V220" s="415"/>
      <c r="W220" s="415"/>
      <c r="X220" s="415"/>
      <c r="Y220" s="415"/>
      <c r="Z220" s="415"/>
      <c r="AA220" s="415"/>
    </row>
    <row r="221">
      <c r="A221" s="415"/>
      <c r="B221" s="415"/>
      <c r="C221" s="415"/>
      <c r="D221" s="415"/>
      <c r="E221" s="415"/>
      <c r="F221" s="415"/>
      <c r="G221" s="415"/>
      <c r="H221" s="415"/>
      <c r="I221" s="415"/>
      <c r="J221" s="415"/>
      <c r="K221" s="415"/>
      <c r="L221" s="415"/>
      <c r="M221" s="415"/>
      <c r="N221" s="415"/>
      <c r="O221" s="415"/>
      <c r="P221" s="415"/>
      <c r="Q221" s="415"/>
      <c r="R221" s="415"/>
      <c r="S221" s="415"/>
      <c r="T221" s="415"/>
      <c r="U221" s="415"/>
      <c r="V221" s="415"/>
      <c r="W221" s="415"/>
      <c r="X221" s="415"/>
      <c r="Y221" s="415"/>
      <c r="Z221" s="415"/>
      <c r="AA221" s="415"/>
    </row>
    <row r="222">
      <c r="A222" s="415"/>
      <c r="B222" s="415"/>
      <c r="C222" s="415"/>
      <c r="D222" s="415"/>
      <c r="E222" s="415"/>
      <c r="F222" s="415"/>
      <c r="G222" s="415"/>
      <c r="H222" s="415"/>
      <c r="I222" s="415"/>
      <c r="J222" s="415"/>
      <c r="K222" s="415"/>
      <c r="L222" s="415"/>
      <c r="M222" s="415"/>
      <c r="N222" s="415"/>
      <c r="O222" s="415"/>
      <c r="P222" s="415"/>
      <c r="Q222" s="415"/>
      <c r="R222" s="415"/>
      <c r="S222" s="415"/>
      <c r="T222" s="415"/>
      <c r="U222" s="415"/>
      <c r="V222" s="415"/>
      <c r="W222" s="415"/>
      <c r="X222" s="415"/>
      <c r="Y222" s="415"/>
      <c r="Z222" s="415"/>
      <c r="AA222" s="415"/>
    </row>
    <row r="223">
      <c r="A223" s="415"/>
      <c r="B223" s="415"/>
      <c r="C223" s="415"/>
      <c r="D223" s="415"/>
      <c r="E223" s="415"/>
      <c r="F223" s="415"/>
      <c r="G223" s="415"/>
      <c r="H223" s="415"/>
      <c r="I223" s="415"/>
      <c r="J223" s="415"/>
      <c r="K223" s="415"/>
      <c r="L223" s="415"/>
      <c r="M223" s="415"/>
      <c r="N223" s="415"/>
      <c r="O223" s="415"/>
      <c r="P223" s="415"/>
      <c r="Q223" s="415"/>
      <c r="R223" s="415"/>
      <c r="S223" s="415"/>
      <c r="T223" s="415"/>
      <c r="U223" s="415"/>
      <c r="V223" s="415"/>
      <c r="W223" s="415"/>
      <c r="X223" s="415"/>
      <c r="Y223" s="415"/>
      <c r="Z223" s="415"/>
      <c r="AA223" s="415"/>
    </row>
    <row r="224">
      <c r="A224" s="415"/>
      <c r="B224" s="415"/>
      <c r="C224" s="415"/>
      <c r="D224" s="415"/>
      <c r="E224" s="415"/>
      <c r="F224" s="415"/>
      <c r="G224" s="415"/>
      <c r="H224" s="415"/>
      <c r="I224" s="415"/>
      <c r="J224" s="415"/>
      <c r="K224" s="415"/>
      <c r="L224" s="415"/>
      <c r="M224" s="415"/>
      <c r="N224" s="415"/>
      <c r="O224" s="415"/>
      <c r="P224" s="415"/>
      <c r="Q224" s="415"/>
      <c r="R224" s="415"/>
      <c r="S224" s="415"/>
      <c r="T224" s="415"/>
      <c r="U224" s="415"/>
      <c r="V224" s="415"/>
      <c r="W224" s="415"/>
      <c r="X224" s="415"/>
      <c r="Y224" s="415"/>
      <c r="Z224" s="415"/>
      <c r="AA224" s="415"/>
    </row>
    <row r="225">
      <c r="A225" s="415"/>
      <c r="B225" s="415"/>
      <c r="C225" s="415"/>
      <c r="D225" s="415"/>
      <c r="E225" s="415"/>
      <c r="F225" s="415"/>
      <c r="G225" s="415"/>
      <c r="H225" s="415"/>
      <c r="I225" s="415"/>
      <c r="J225" s="415"/>
      <c r="K225" s="415"/>
      <c r="L225" s="415"/>
      <c r="M225" s="415"/>
      <c r="N225" s="415"/>
      <c r="O225" s="415"/>
      <c r="P225" s="415"/>
      <c r="Q225" s="415"/>
      <c r="R225" s="415"/>
      <c r="S225" s="415"/>
      <c r="T225" s="415"/>
      <c r="U225" s="415"/>
      <c r="V225" s="415"/>
      <c r="W225" s="415"/>
      <c r="X225" s="415"/>
      <c r="Y225" s="415"/>
      <c r="Z225" s="415"/>
      <c r="AA225" s="415"/>
    </row>
    <row r="226">
      <c r="A226" s="415"/>
      <c r="B226" s="415"/>
      <c r="C226" s="415"/>
      <c r="D226" s="415"/>
      <c r="E226" s="415"/>
      <c r="F226" s="415"/>
      <c r="G226" s="415"/>
      <c r="H226" s="415"/>
      <c r="I226" s="415"/>
      <c r="J226" s="415"/>
      <c r="K226" s="415"/>
      <c r="L226" s="415"/>
      <c r="M226" s="415"/>
      <c r="N226" s="415"/>
      <c r="O226" s="415"/>
      <c r="P226" s="415"/>
      <c r="Q226" s="415"/>
      <c r="R226" s="415"/>
      <c r="S226" s="415"/>
      <c r="T226" s="415"/>
      <c r="U226" s="415"/>
      <c r="V226" s="415"/>
      <c r="W226" s="415"/>
      <c r="X226" s="415"/>
      <c r="Y226" s="415"/>
      <c r="Z226" s="415"/>
      <c r="AA226" s="415"/>
    </row>
    <row r="227">
      <c r="A227" s="415"/>
      <c r="B227" s="415"/>
      <c r="C227" s="415"/>
      <c r="D227" s="415"/>
      <c r="E227" s="415"/>
      <c r="F227" s="415"/>
      <c r="G227" s="415"/>
      <c r="H227" s="415"/>
      <c r="I227" s="415"/>
      <c r="J227" s="415"/>
      <c r="K227" s="415"/>
      <c r="L227" s="415"/>
      <c r="M227" s="415"/>
      <c r="N227" s="415"/>
      <c r="O227" s="415"/>
      <c r="P227" s="415"/>
      <c r="Q227" s="415"/>
      <c r="R227" s="415"/>
      <c r="S227" s="415"/>
      <c r="T227" s="415"/>
      <c r="U227" s="415"/>
      <c r="V227" s="415"/>
      <c r="W227" s="415"/>
      <c r="X227" s="415"/>
      <c r="Y227" s="415"/>
      <c r="Z227" s="415"/>
      <c r="AA227" s="415"/>
    </row>
    <row r="228">
      <c r="A228" s="415"/>
      <c r="B228" s="415"/>
      <c r="C228" s="415"/>
      <c r="D228" s="415"/>
      <c r="E228" s="415"/>
      <c r="F228" s="415"/>
      <c r="G228" s="415"/>
      <c r="H228" s="415"/>
      <c r="I228" s="415"/>
      <c r="J228" s="415"/>
      <c r="K228" s="415"/>
      <c r="L228" s="415"/>
      <c r="M228" s="415"/>
      <c r="N228" s="415"/>
      <c r="O228" s="415"/>
      <c r="P228" s="415"/>
      <c r="Q228" s="415"/>
      <c r="R228" s="415"/>
      <c r="S228" s="415"/>
      <c r="T228" s="415"/>
      <c r="U228" s="415"/>
      <c r="V228" s="415"/>
      <c r="W228" s="415"/>
      <c r="X228" s="415"/>
      <c r="Y228" s="415"/>
      <c r="Z228" s="415"/>
      <c r="AA228" s="415"/>
    </row>
    <row r="229">
      <c r="A229" s="415"/>
      <c r="B229" s="415"/>
      <c r="C229" s="415"/>
      <c r="D229" s="415"/>
      <c r="E229" s="415"/>
      <c r="F229" s="415"/>
      <c r="G229" s="415"/>
      <c r="H229" s="415"/>
      <c r="I229" s="415"/>
      <c r="J229" s="415"/>
      <c r="K229" s="415"/>
      <c r="L229" s="415"/>
      <c r="M229" s="415"/>
      <c r="N229" s="415"/>
      <c r="O229" s="415"/>
      <c r="P229" s="415"/>
      <c r="Q229" s="415"/>
      <c r="R229" s="415"/>
      <c r="S229" s="415"/>
      <c r="T229" s="415"/>
      <c r="U229" s="415"/>
      <c r="V229" s="415"/>
      <c r="W229" s="415"/>
      <c r="X229" s="415"/>
      <c r="Y229" s="415"/>
      <c r="Z229" s="415"/>
      <c r="AA229" s="415"/>
    </row>
    <row r="230">
      <c r="A230" s="415"/>
      <c r="B230" s="415"/>
      <c r="C230" s="415"/>
      <c r="D230" s="415"/>
      <c r="E230" s="415"/>
      <c r="F230" s="415"/>
      <c r="G230" s="415"/>
      <c r="H230" s="415"/>
      <c r="I230" s="415"/>
      <c r="J230" s="415"/>
      <c r="K230" s="415"/>
      <c r="L230" s="415"/>
      <c r="M230" s="415"/>
      <c r="N230" s="415"/>
      <c r="O230" s="415"/>
      <c r="P230" s="415"/>
      <c r="Q230" s="415"/>
      <c r="R230" s="415"/>
      <c r="S230" s="415"/>
      <c r="T230" s="415"/>
      <c r="U230" s="415"/>
      <c r="V230" s="415"/>
      <c r="W230" s="415"/>
      <c r="X230" s="415"/>
      <c r="Y230" s="415"/>
      <c r="Z230" s="415"/>
      <c r="AA230" s="415"/>
    </row>
    <row r="231">
      <c r="A231" s="415"/>
      <c r="B231" s="415"/>
      <c r="C231" s="415"/>
      <c r="D231" s="415"/>
      <c r="E231" s="415"/>
      <c r="F231" s="415"/>
      <c r="G231" s="415"/>
      <c r="H231" s="415"/>
      <c r="I231" s="415"/>
      <c r="J231" s="415"/>
      <c r="K231" s="415"/>
      <c r="L231" s="415"/>
      <c r="M231" s="415"/>
      <c r="N231" s="415"/>
      <c r="O231" s="415"/>
      <c r="P231" s="415"/>
      <c r="Q231" s="415"/>
      <c r="R231" s="415"/>
      <c r="S231" s="415"/>
      <c r="T231" s="415"/>
      <c r="U231" s="415"/>
      <c r="V231" s="415"/>
      <c r="W231" s="415"/>
      <c r="X231" s="415"/>
      <c r="Y231" s="415"/>
      <c r="Z231" s="415"/>
      <c r="AA231" s="415"/>
    </row>
    <row r="232">
      <c r="A232" s="415"/>
      <c r="B232" s="415"/>
      <c r="C232" s="415"/>
      <c r="D232" s="415"/>
      <c r="E232" s="415"/>
      <c r="F232" s="415"/>
      <c r="G232" s="415"/>
      <c r="H232" s="415"/>
      <c r="I232" s="415"/>
      <c r="J232" s="415"/>
      <c r="K232" s="415"/>
      <c r="L232" s="415"/>
      <c r="M232" s="415"/>
      <c r="N232" s="415"/>
      <c r="O232" s="415"/>
      <c r="P232" s="415"/>
      <c r="Q232" s="415"/>
      <c r="R232" s="415"/>
      <c r="S232" s="415"/>
      <c r="T232" s="415"/>
      <c r="U232" s="415"/>
      <c r="V232" s="415"/>
      <c r="W232" s="415"/>
      <c r="X232" s="415"/>
      <c r="Y232" s="415"/>
      <c r="Z232" s="415"/>
      <c r="AA232" s="415"/>
    </row>
    <row r="233">
      <c r="A233" s="415"/>
      <c r="B233" s="415"/>
      <c r="C233" s="415"/>
      <c r="D233" s="415"/>
      <c r="E233" s="415"/>
      <c r="F233" s="415"/>
      <c r="G233" s="415"/>
      <c r="H233" s="415"/>
      <c r="I233" s="415"/>
      <c r="J233" s="415"/>
      <c r="K233" s="415"/>
      <c r="L233" s="415"/>
      <c r="M233" s="415"/>
      <c r="N233" s="415"/>
      <c r="O233" s="415"/>
      <c r="P233" s="415"/>
      <c r="Q233" s="415"/>
      <c r="R233" s="415"/>
      <c r="S233" s="415"/>
      <c r="T233" s="415"/>
      <c r="U233" s="415"/>
      <c r="V233" s="415"/>
      <c r="W233" s="415"/>
      <c r="X233" s="415"/>
      <c r="Y233" s="415"/>
      <c r="Z233" s="415"/>
      <c r="AA233" s="415"/>
    </row>
    <row r="234">
      <c r="A234" s="415"/>
      <c r="B234" s="415"/>
      <c r="C234" s="415"/>
      <c r="D234" s="415"/>
      <c r="E234" s="415"/>
      <c r="F234" s="415"/>
      <c r="G234" s="415"/>
      <c r="H234" s="415"/>
      <c r="I234" s="415"/>
      <c r="J234" s="415"/>
      <c r="K234" s="415"/>
      <c r="L234" s="415"/>
      <c r="M234" s="415"/>
      <c r="N234" s="415"/>
      <c r="O234" s="415"/>
      <c r="P234" s="415"/>
      <c r="Q234" s="415"/>
      <c r="R234" s="415"/>
      <c r="S234" s="415"/>
      <c r="T234" s="415"/>
      <c r="U234" s="415"/>
      <c r="V234" s="415"/>
      <c r="W234" s="415"/>
      <c r="X234" s="415"/>
      <c r="Y234" s="415"/>
      <c r="Z234" s="415"/>
      <c r="AA234" s="415"/>
    </row>
    <row r="235">
      <c r="A235" s="415"/>
      <c r="B235" s="415"/>
      <c r="C235" s="415"/>
      <c r="D235" s="415"/>
      <c r="E235" s="415"/>
      <c r="F235" s="415"/>
      <c r="G235" s="415"/>
      <c r="H235" s="415"/>
      <c r="I235" s="415"/>
      <c r="J235" s="415"/>
      <c r="K235" s="415"/>
      <c r="L235" s="415"/>
      <c r="M235" s="415"/>
      <c r="N235" s="415"/>
      <c r="O235" s="415"/>
      <c r="P235" s="415"/>
      <c r="Q235" s="415"/>
      <c r="R235" s="415"/>
      <c r="S235" s="415"/>
      <c r="T235" s="415"/>
      <c r="U235" s="415"/>
      <c r="V235" s="415"/>
      <c r="W235" s="415"/>
      <c r="X235" s="415"/>
      <c r="Y235" s="415"/>
      <c r="Z235" s="415"/>
      <c r="AA235" s="415"/>
    </row>
    <row r="236">
      <c r="A236" s="415"/>
      <c r="B236" s="415"/>
      <c r="C236" s="415"/>
      <c r="D236" s="415"/>
      <c r="E236" s="415"/>
      <c r="F236" s="415"/>
      <c r="G236" s="415"/>
      <c r="H236" s="415"/>
      <c r="I236" s="415"/>
      <c r="J236" s="415"/>
      <c r="K236" s="415"/>
      <c r="L236" s="415"/>
      <c r="M236" s="415"/>
      <c r="N236" s="415"/>
      <c r="O236" s="415"/>
      <c r="P236" s="415"/>
      <c r="Q236" s="415"/>
      <c r="R236" s="415"/>
      <c r="S236" s="415"/>
      <c r="T236" s="415"/>
      <c r="U236" s="415"/>
      <c r="V236" s="415"/>
      <c r="W236" s="415"/>
      <c r="X236" s="415"/>
      <c r="Y236" s="415"/>
      <c r="Z236" s="415"/>
      <c r="AA236" s="415"/>
    </row>
    <row r="237">
      <c r="A237" s="415"/>
      <c r="B237" s="415"/>
      <c r="C237" s="415"/>
      <c r="D237" s="415"/>
      <c r="E237" s="415"/>
      <c r="F237" s="415"/>
      <c r="G237" s="415"/>
      <c r="H237" s="415"/>
      <c r="I237" s="415"/>
      <c r="J237" s="415"/>
      <c r="K237" s="415"/>
      <c r="L237" s="415"/>
      <c r="M237" s="415"/>
      <c r="N237" s="415"/>
      <c r="O237" s="415"/>
      <c r="P237" s="415"/>
      <c r="Q237" s="415"/>
      <c r="R237" s="415"/>
      <c r="S237" s="415"/>
      <c r="T237" s="415"/>
      <c r="U237" s="415"/>
      <c r="V237" s="415"/>
      <c r="W237" s="415"/>
      <c r="X237" s="415"/>
      <c r="Y237" s="415"/>
      <c r="Z237" s="415"/>
      <c r="AA237" s="415"/>
    </row>
    <row r="238">
      <c r="A238" s="415"/>
      <c r="B238" s="415"/>
      <c r="C238" s="415"/>
      <c r="D238" s="415"/>
      <c r="E238" s="415"/>
      <c r="F238" s="415"/>
      <c r="G238" s="415"/>
      <c r="H238" s="415"/>
      <c r="I238" s="415"/>
      <c r="J238" s="415"/>
      <c r="K238" s="415"/>
      <c r="L238" s="415"/>
      <c r="M238" s="415"/>
      <c r="N238" s="415"/>
      <c r="O238" s="415"/>
      <c r="P238" s="415"/>
      <c r="Q238" s="415"/>
      <c r="R238" s="415"/>
      <c r="S238" s="415"/>
      <c r="T238" s="415"/>
      <c r="U238" s="415"/>
      <c r="V238" s="415"/>
      <c r="W238" s="415"/>
      <c r="X238" s="415"/>
      <c r="Y238" s="415"/>
      <c r="Z238" s="415"/>
      <c r="AA238" s="415"/>
    </row>
    <row r="239">
      <c r="A239" s="415"/>
      <c r="B239" s="415"/>
      <c r="C239" s="415"/>
      <c r="D239" s="415"/>
      <c r="E239" s="415"/>
      <c r="F239" s="415"/>
      <c r="G239" s="415"/>
      <c r="H239" s="415"/>
      <c r="I239" s="415"/>
      <c r="J239" s="415"/>
      <c r="K239" s="415"/>
      <c r="L239" s="415"/>
      <c r="M239" s="415"/>
      <c r="N239" s="415"/>
      <c r="O239" s="415"/>
      <c r="P239" s="415"/>
      <c r="Q239" s="415"/>
      <c r="R239" s="415"/>
      <c r="S239" s="415"/>
      <c r="T239" s="415"/>
      <c r="U239" s="415"/>
      <c r="V239" s="415"/>
      <c r="W239" s="415"/>
      <c r="X239" s="415"/>
      <c r="Y239" s="415"/>
      <c r="Z239" s="415"/>
      <c r="AA239" s="415"/>
    </row>
    <row r="240">
      <c r="A240" s="415"/>
      <c r="B240" s="415"/>
      <c r="C240" s="415"/>
      <c r="D240" s="415"/>
      <c r="E240" s="415"/>
      <c r="F240" s="415"/>
      <c r="G240" s="415"/>
      <c r="H240" s="415"/>
      <c r="I240" s="415"/>
      <c r="J240" s="415"/>
      <c r="K240" s="415"/>
      <c r="L240" s="415"/>
      <c r="M240" s="415"/>
      <c r="N240" s="415"/>
      <c r="O240" s="415"/>
      <c r="P240" s="415"/>
      <c r="Q240" s="415"/>
      <c r="R240" s="415"/>
      <c r="S240" s="415"/>
      <c r="T240" s="415"/>
      <c r="U240" s="415"/>
      <c r="V240" s="415"/>
      <c r="W240" s="415"/>
      <c r="X240" s="415"/>
      <c r="Y240" s="415"/>
      <c r="Z240" s="415"/>
      <c r="AA240" s="415"/>
    </row>
    <row r="241">
      <c r="A241" s="415"/>
      <c r="B241" s="415"/>
      <c r="C241" s="415"/>
      <c r="D241" s="415"/>
      <c r="E241" s="415"/>
      <c r="F241" s="415"/>
      <c r="G241" s="415"/>
      <c r="H241" s="415"/>
      <c r="I241" s="415"/>
      <c r="J241" s="415"/>
      <c r="K241" s="415"/>
      <c r="L241" s="415"/>
      <c r="M241" s="415"/>
      <c r="N241" s="415"/>
      <c r="O241" s="415"/>
      <c r="P241" s="415"/>
      <c r="Q241" s="415"/>
      <c r="R241" s="415"/>
      <c r="S241" s="415"/>
      <c r="T241" s="415"/>
      <c r="U241" s="415"/>
      <c r="V241" s="415"/>
      <c r="W241" s="415"/>
      <c r="X241" s="415"/>
      <c r="Y241" s="415"/>
      <c r="Z241" s="415"/>
      <c r="AA241" s="415"/>
    </row>
    <row r="242">
      <c r="A242" s="415"/>
      <c r="B242" s="415"/>
      <c r="C242" s="415"/>
      <c r="D242" s="415"/>
      <c r="E242" s="415"/>
      <c r="F242" s="415"/>
      <c r="G242" s="415"/>
      <c r="H242" s="415"/>
      <c r="I242" s="415"/>
      <c r="J242" s="415"/>
      <c r="K242" s="415"/>
      <c r="L242" s="415"/>
      <c r="M242" s="415"/>
      <c r="N242" s="415"/>
      <c r="O242" s="415"/>
      <c r="P242" s="415"/>
      <c r="Q242" s="415"/>
      <c r="R242" s="415"/>
      <c r="S242" s="415"/>
      <c r="T242" s="415"/>
      <c r="U242" s="415"/>
      <c r="V242" s="415"/>
      <c r="W242" s="415"/>
      <c r="X242" s="415"/>
      <c r="Y242" s="415"/>
      <c r="Z242" s="415"/>
      <c r="AA242" s="415"/>
    </row>
    <row r="243">
      <c r="A243" s="415"/>
      <c r="B243" s="415"/>
      <c r="C243" s="415"/>
      <c r="D243" s="415"/>
      <c r="E243" s="415"/>
      <c r="F243" s="415"/>
      <c r="G243" s="415"/>
      <c r="H243" s="415"/>
      <c r="I243" s="415"/>
      <c r="J243" s="415"/>
      <c r="K243" s="415"/>
      <c r="L243" s="415"/>
      <c r="M243" s="415"/>
      <c r="N243" s="415"/>
      <c r="O243" s="415"/>
      <c r="P243" s="415"/>
      <c r="Q243" s="415"/>
      <c r="R243" s="415"/>
      <c r="S243" s="415"/>
      <c r="T243" s="415"/>
      <c r="U243" s="415"/>
      <c r="V243" s="415"/>
      <c r="W243" s="415"/>
      <c r="X243" s="415"/>
      <c r="Y243" s="415"/>
      <c r="Z243" s="415"/>
      <c r="AA243" s="415"/>
    </row>
    <row r="244">
      <c r="A244" s="415"/>
      <c r="B244" s="415"/>
      <c r="C244" s="415"/>
      <c r="D244" s="415"/>
      <c r="E244" s="415"/>
      <c r="F244" s="415"/>
      <c r="G244" s="415"/>
      <c r="H244" s="415"/>
      <c r="I244" s="415"/>
      <c r="J244" s="415"/>
      <c r="K244" s="415"/>
      <c r="L244" s="415"/>
      <c r="M244" s="415"/>
      <c r="N244" s="415"/>
      <c r="O244" s="415"/>
      <c r="P244" s="415"/>
      <c r="Q244" s="415"/>
      <c r="R244" s="415"/>
      <c r="S244" s="415"/>
      <c r="T244" s="415"/>
      <c r="U244" s="415"/>
      <c r="V244" s="415"/>
      <c r="W244" s="415"/>
      <c r="X244" s="415"/>
      <c r="Y244" s="415"/>
      <c r="Z244" s="415"/>
      <c r="AA244" s="415"/>
    </row>
    <row r="245">
      <c r="A245" s="415"/>
      <c r="B245" s="415"/>
      <c r="C245" s="415"/>
      <c r="D245" s="415"/>
      <c r="E245" s="415"/>
      <c r="F245" s="415"/>
      <c r="G245" s="415"/>
      <c r="H245" s="415"/>
      <c r="I245" s="415"/>
      <c r="J245" s="415"/>
      <c r="K245" s="415"/>
      <c r="L245" s="415"/>
      <c r="M245" s="415"/>
      <c r="N245" s="415"/>
      <c r="O245" s="415"/>
      <c r="P245" s="415"/>
      <c r="Q245" s="415"/>
      <c r="R245" s="415"/>
      <c r="S245" s="415"/>
      <c r="T245" s="415"/>
      <c r="U245" s="415"/>
      <c r="V245" s="415"/>
      <c r="W245" s="415"/>
      <c r="X245" s="415"/>
      <c r="Y245" s="415"/>
      <c r="Z245" s="415"/>
      <c r="AA245" s="415"/>
    </row>
    <row r="246">
      <c r="A246" s="415"/>
      <c r="B246" s="415"/>
      <c r="C246" s="415"/>
      <c r="D246" s="415"/>
      <c r="E246" s="415"/>
      <c r="F246" s="415"/>
      <c r="G246" s="415"/>
      <c r="H246" s="415"/>
      <c r="I246" s="415"/>
      <c r="J246" s="415"/>
      <c r="K246" s="415"/>
      <c r="L246" s="415"/>
      <c r="M246" s="415"/>
      <c r="N246" s="415"/>
      <c r="O246" s="415"/>
      <c r="P246" s="415"/>
      <c r="Q246" s="415"/>
      <c r="R246" s="415"/>
      <c r="S246" s="415"/>
      <c r="T246" s="415"/>
      <c r="U246" s="415"/>
      <c r="V246" s="415"/>
      <c r="W246" s="415"/>
      <c r="X246" s="415"/>
      <c r="Y246" s="415"/>
      <c r="Z246" s="415"/>
      <c r="AA246" s="415"/>
    </row>
    <row r="247">
      <c r="A247" s="415"/>
      <c r="B247" s="415"/>
      <c r="C247" s="415"/>
      <c r="D247" s="415"/>
      <c r="E247" s="415"/>
      <c r="F247" s="415"/>
      <c r="G247" s="415"/>
      <c r="H247" s="415"/>
      <c r="I247" s="415"/>
      <c r="J247" s="415"/>
      <c r="K247" s="415"/>
      <c r="L247" s="415"/>
      <c r="M247" s="415"/>
      <c r="N247" s="415"/>
      <c r="O247" s="415"/>
      <c r="P247" s="415"/>
      <c r="Q247" s="415"/>
      <c r="R247" s="415"/>
      <c r="S247" s="415"/>
      <c r="T247" s="415"/>
      <c r="U247" s="415"/>
      <c r="V247" s="415"/>
      <c r="W247" s="415"/>
      <c r="X247" s="415"/>
      <c r="Y247" s="415"/>
      <c r="Z247" s="415"/>
      <c r="AA247" s="415"/>
    </row>
    <row r="248">
      <c r="A248" s="415"/>
      <c r="B248" s="415"/>
      <c r="C248" s="415"/>
      <c r="D248" s="415"/>
      <c r="E248" s="415"/>
      <c r="F248" s="415"/>
      <c r="G248" s="415"/>
      <c r="H248" s="415"/>
      <c r="I248" s="415"/>
      <c r="J248" s="415"/>
      <c r="K248" s="415"/>
      <c r="L248" s="415"/>
      <c r="M248" s="415"/>
      <c r="N248" s="415"/>
      <c r="O248" s="415"/>
      <c r="P248" s="415"/>
      <c r="Q248" s="415"/>
      <c r="R248" s="415"/>
      <c r="S248" s="415"/>
      <c r="T248" s="415"/>
      <c r="U248" s="415"/>
      <c r="V248" s="415"/>
      <c r="W248" s="415"/>
      <c r="X248" s="415"/>
      <c r="Y248" s="415"/>
      <c r="Z248" s="415"/>
      <c r="AA248" s="415"/>
    </row>
    <row r="249">
      <c r="A249" s="415"/>
      <c r="B249" s="415"/>
      <c r="C249" s="415"/>
      <c r="D249" s="415"/>
      <c r="E249" s="415"/>
      <c r="F249" s="415"/>
      <c r="G249" s="415"/>
      <c r="H249" s="415"/>
      <c r="I249" s="415"/>
      <c r="J249" s="415"/>
      <c r="K249" s="415"/>
      <c r="L249" s="415"/>
      <c r="M249" s="415"/>
      <c r="N249" s="415"/>
      <c r="O249" s="415"/>
      <c r="P249" s="415"/>
      <c r="Q249" s="415"/>
      <c r="R249" s="415"/>
      <c r="S249" s="415"/>
      <c r="T249" s="415"/>
      <c r="U249" s="415"/>
      <c r="V249" s="415"/>
      <c r="W249" s="415"/>
      <c r="X249" s="415"/>
      <c r="Y249" s="415"/>
      <c r="Z249" s="415"/>
      <c r="AA249" s="415"/>
    </row>
    <row r="250">
      <c r="A250" s="415"/>
      <c r="B250" s="415"/>
      <c r="C250" s="415"/>
      <c r="D250" s="415"/>
      <c r="E250" s="415"/>
      <c r="F250" s="415"/>
      <c r="G250" s="415"/>
      <c r="H250" s="415"/>
      <c r="I250" s="415"/>
      <c r="J250" s="415"/>
      <c r="K250" s="415"/>
      <c r="L250" s="415"/>
      <c r="M250" s="415"/>
      <c r="N250" s="415"/>
      <c r="O250" s="415"/>
      <c r="P250" s="415"/>
      <c r="Q250" s="415"/>
      <c r="R250" s="415"/>
      <c r="S250" s="415"/>
      <c r="T250" s="415"/>
      <c r="U250" s="415"/>
      <c r="V250" s="415"/>
      <c r="W250" s="415"/>
      <c r="X250" s="415"/>
      <c r="Y250" s="415"/>
      <c r="Z250" s="415"/>
      <c r="AA250" s="415"/>
    </row>
    <row r="251">
      <c r="A251" s="415"/>
      <c r="B251" s="415"/>
      <c r="C251" s="415"/>
      <c r="D251" s="415"/>
      <c r="E251" s="415"/>
      <c r="F251" s="415"/>
      <c r="G251" s="415"/>
      <c r="H251" s="415"/>
      <c r="I251" s="415"/>
      <c r="J251" s="415"/>
      <c r="K251" s="415"/>
      <c r="L251" s="415"/>
      <c r="M251" s="415"/>
      <c r="N251" s="415"/>
      <c r="O251" s="415"/>
      <c r="P251" s="415"/>
      <c r="Q251" s="415"/>
      <c r="R251" s="415"/>
      <c r="S251" s="415"/>
      <c r="T251" s="415"/>
      <c r="U251" s="415"/>
      <c r="V251" s="415"/>
      <c r="W251" s="415"/>
      <c r="X251" s="415"/>
      <c r="Y251" s="415"/>
      <c r="Z251" s="415"/>
      <c r="AA251" s="415"/>
    </row>
    <row r="252">
      <c r="A252" s="415"/>
      <c r="B252" s="415"/>
      <c r="C252" s="415"/>
      <c r="D252" s="415"/>
      <c r="E252" s="415"/>
      <c r="F252" s="415"/>
      <c r="G252" s="415"/>
      <c r="H252" s="415"/>
      <c r="I252" s="415"/>
      <c r="J252" s="415"/>
      <c r="K252" s="415"/>
      <c r="L252" s="415"/>
      <c r="M252" s="415"/>
      <c r="N252" s="415"/>
      <c r="O252" s="415"/>
      <c r="P252" s="415"/>
      <c r="Q252" s="415"/>
      <c r="R252" s="415"/>
      <c r="S252" s="415"/>
      <c r="T252" s="415"/>
      <c r="U252" s="415"/>
      <c r="V252" s="415"/>
      <c r="W252" s="415"/>
      <c r="X252" s="415"/>
      <c r="Y252" s="415"/>
      <c r="Z252" s="415"/>
      <c r="AA252" s="415"/>
    </row>
    <row r="253">
      <c r="A253" s="415"/>
      <c r="B253" s="415"/>
      <c r="C253" s="415"/>
      <c r="D253" s="415"/>
      <c r="E253" s="415"/>
      <c r="F253" s="415"/>
      <c r="G253" s="415"/>
      <c r="H253" s="415"/>
      <c r="I253" s="415"/>
      <c r="J253" s="415"/>
      <c r="K253" s="415"/>
      <c r="L253" s="415"/>
      <c r="M253" s="415"/>
      <c r="N253" s="415"/>
      <c r="O253" s="415"/>
      <c r="P253" s="415"/>
      <c r="Q253" s="415"/>
      <c r="R253" s="415"/>
      <c r="S253" s="415"/>
      <c r="T253" s="415"/>
      <c r="U253" s="415"/>
      <c r="V253" s="415"/>
      <c r="W253" s="415"/>
      <c r="X253" s="415"/>
      <c r="Y253" s="415"/>
      <c r="Z253" s="415"/>
      <c r="AA253" s="415"/>
    </row>
    <row r="254">
      <c r="A254" s="415"/>
      <c r="B254" s="415"/>
      <c r="C254" s="415"/>
      <c r="D254" s="415"/>
      <c r="E254" s="415"/>
      <c r="F254" s="415"/>
      <c r="G254" s="415"/>
      <c r="H254" s="415"/>
      <c r="I254" s="415"/>
      <c r="J254" s="415"/>
      <c r="K254" s="415"/>
      <c r="L254" s="415"/>
      <c r="M254" s="415"/>
      <c r="N254" s="415"/>
      <c r="O254" s="415"/>
      <c r="P254" s="415"/>
      <c r="Q254" s="415"/>
      <c r="R254" s="415"/>
      <c r="S254" s="415"/>
      <c r="T254" s="415"/>
      <c r="U254" s="415"/>
      <c r="V254" s="415"/>
      <c r="W254" s="415"/>
      <c r="X254" s="415"/>
      <c r="Y254" s="415"/>
      <c r="Z254" s="415"/>
      <c r="AA254" s="415"/>
    </row>
    <row r="255">
      <c r="A255" s="415"/>
      <c r="B255" s="415"/>
      <c r="C255" s="415"/>
      <c r="D255" s="415"/>
      <c r="E255" s="415"/>
      <c r="F255" s="415"/>
      <c r="G255" s="415"/>
      <c r="H255" s="415"/>
      <c r="I255" s="415"/>
      <c r="J255" s="415"/>
      <c r="K255" s="415"/>
      <c r="L255" s="415"/>
      <c r="M255" s="415"/>
      <c r="N255" s="415"/>
      <c r="O255" s="415"/>
      <c r="P255" s="415"/>
      <c r="Q255" s="415"/>
      <c r="R255" s="415"/>
      <c r="S255" s="415"/>
      <c r="T255" s="415"/>
      <c r="U255" s="415"/>
      <c r="V255" s="415"/>
      <c r="W255" s="415"/>
      <c r="X255" s="415"/>
      <c r="Y255" s="415"/>
      <c r="Z255" s="415"/>
      <c r="AA255" s="415"/>
    </row>
    <row r="256">
      <c r="A256" s="415"/>
      <c r="B256" s="415"/>
      <c r="C256" s="415"/>
      <c r="D256" s="415"/>
      <c r="E256" s="415"/>
      <c r="F256" s="415"/>
      <c r="G256" s="415"/>
      <c r="H256" s="415"/>
      <c r="I256" s="415"/>
      <c r="J256" s="415"/>
      <c r="K256" s="415"/>
      <c r="L256" s="415"/>
      <c r="M256" s="415"/>
      <c r="N256" s="415"/>
      <c r="O256" s="415"/>
      <c r="P256" s="415"/>
      <c r="Q256" s="415"/>
      <c r="R256" s="415"/>
      <c r="S256" s="415"/>
      <c r="T256" s="415"/>
      <c r="U256" s="415"/>
      <c r="V256" s="415"/>
      <c r="W256" s="415"/>
      <c r="X256" s="415"/>
      <c r="Y256" s="415"/>
      <c r="Z256" s="415"/>
      <c r="AA256" s="415"/>
    </row>
    <row r="257">
      <c r="A257" s="415"/>
      <c r="B257" s="415"/>
      <c r="C257" s="415"/>
      <c r="D257" s="415"/>
      <c r="E257" s="415"/>
      <c r="F257" s="415"/>
      <c r="G257" s="415"/>
      <c r="H257" s="415"/>
      <c r="I257" s="415"/>
      <c r="J257" s="415"/>
      <c r="K257" s="415"/>
      <c r="L257" s="415"/>
      <c r="M257" s="415"/>
      <c r="N257" s="415"/>
      <c r="O257" s="415"/>
      <c r="P257" s="415"/>
      <c r="Q257" s="415"/>
      <c r="R257" s="415"/>
      <c r="S257" s="415"/>
      <c r="T257" s="415"/>
      <c r="U257" s="415"/>
      <c r="V257" s="415"/>
      <c r="W257" s="415"/>
      <c r="X257" s="415"/>
      <c r="Y257" s="415"/>
      <c r="Z257" s="415"/>
      <c r="AA257" s="415"/>
    </row>
    <row r="258">
      <c r="A258" s="415"/>
      <c r="B258" s="415"/>
      <c r="C258" s="415"/>
      <c r="D258" s="415"/>
      <c r="E258" s="415"/>
      <c r="F258" s="415"/>
      <c r="G258" s="415"/>
      <c r="H258" s="415"/>
      <c r="I258" s="415"/>
      <c r="J258" s="415"/>
      <c r="K258" s="415"/>
      <c r="L258" s="415"/>
      <c r="M258" s="415"/>
      <c r="N258" s="415"/>
      <c r="O258" s="415"/>
      <c r="P258" s="415"/>
      <c r="Q258" s="415"/>
      <c r="R258" s="415"/>
      <c r="S258" s="415"/>
      <c r="T258" s="415"/>
      <c r="U258" s="415"/>
      <c r="V258" s="415"/>
      <c r="W258" s="415"/>
      <c r="X258" s="415"/>
      <c r="Y258" s="415"/>
      <c r="Z258" s="415"/>
      <c r="AA258" s="415"/>
    </row>
    <row r="259">
      <c r="A259" s="415"/>
      <c r="B259" s="415"/>
      <c r="C259" s="415"/>
      <c r="D259" s="415"/>
      <c r="E259" s="415"/>
      <c r="F259" s="415"/>
      <c r="G259" s="415"/>
      <c r="H259" s="415"/>
      <c r="I259" s="415"/>
      <c r="J259" s="415"/>
      <c r="K259" s="415"/>
      <c r="L259" s="415"/>
      <c r="M259" s="415"/>
      <c r="N259" s="415"/>
      <c r="O259" s="415"/>
      <c r="P259" s="415"/>
      <c r="Q259" s="415"/>
      <c r="R259" s="415"/>
      <c r="S259" s="415"/>
      <c r="T259" s="415"/>
      <c r="U259" s="415"/>
      <c r="V259" s="415"/>
      <c r="W259" s="415"/>
      <c r="X259" s="415"/>
      <c r="Y259" s="415"/>
      <c r="Z259" s="415"/>
      <c r="AA259" s="415"/>
    </row>
    <row r="260">
      <c r="A260" s="415"/>
      <c r="B260" s="415"/>
      <c r="C260" s="415"/>
      <c r="D260" s="415"/>
      <c r="E260" s="415"/>
      <c r="F260" s="415"/>
      <c r="G260" s="415"/>
      <c r="H260" s="415"/>
      <c r="I260" s="415"/>
      <c r="J260" s="415"/>
      <c r="K260" s="415"/>
      <c r="L260" s="415"/>
      <c r="M260" s="415"/>
      <c r="N260" s="415"/>
      <c r="O260" s="415"/>
      <c r="P260" s="415"/>
      <c r="Q260" s="415"/>
      <c r="R260" s="415"/>
      <c r="S260" s="415"/>
      <c r="T260" s="415"/>
      <c r="U260" s="415"/>
      <c r="V260" s="415"/>
      <c r="W260" s="415"/>
      <c r="X260" s="415"/>
      <c r="Y260" s="415"/>
      <c r="Z260" s="415"/>
      <c r="AA260" s="415"/>
    </row>
    <row r="261">
      <c r="A261" s="415"/>
      <c r="B261" s="415"/>
      <c r="C261" s="415"/>
      <c r="D261" s="415"/>
      <c r="E261" s="415"/>
      <c r="F261" s="415"/>
      <c r="G261" s="415"/>
      <c r="H261" s="415"/>
      <c r="I261" s="415"/>
      <c r="J261" s="415"/>
      <c r="K261" s="415"/>
      <c r="L261" s="415"/>
      <c r="M261" s="415"/>
      <c r="N261" s="415"/>
      <c r="O261" s="415"/>
      <c r="P261" s="415"/>
      <c r="Q261" s="415"/>
      <c r="R261" s="415"/>
      <c r="S261" s="415"/>
      <c r="T261" s="415"/>
      <c r="U261" s="415"/>
      <c r="V261" s="415"/>
      <c r="W261" s="415"/>
      <c r="X261" s="415"/>
      <c r="Y261" s="415"/>
      <c r="Z261" s="415"/>
      <c r="AA261" s="415"/>
    </row>
    <row r="262">
      <c r="A262" s="415"/>
      <c r="B262" s="415"/>
      <c r="C262" s="415"/>
      <c r="D262" s="415"/>
      <c r="E262" s="415"/>
      <c r="F262" s="415"/>
      <c r="G262" s="415"/>
      <c r="H262" s="415"/>
      <c r="I262" s="415"/>
      <c r="J262" s="415"/>
      <c r="K262" s="415"/>
      <c r="L262" s="415"/>
      <c r="M262" s="415"/>
      <c r="N262" s="415"/>
      <c r="O262" s="415"/>
      <c r="P262" s="415"/>
      <c r="Q262" s="415"/>
      <c r="R262" s="415"/>
      <c r="S262" s="415"/>
      <c r="T262" s="415"/>
      <c r="U262" s="415"/>
      <c r="V262" s="415"/>
      <c r="W262" s="415"/>
      <c r="X262" s="415"/>
      <c r="Y262" s="415"/>
      <c r="Z262" s="415"/>
      <c r="AA262" s="415"/>
    </row>
    <row r="263">
      <c r="A263" s="415"/>
      <c r="B263" s="415"/>
      <c r="C263" s="415"/>
      <c r="D263" s="415"/>
      <c r="E263" s="415"/>
      <c r="F263" s="415"/>
      <c r="G263" s="415"/>
      <c r="H263" s="415"/>
      <c r="I263" s="415"/>
      <c r="J263" s="415"/>
      <c r="K263" s="415"/>
      <c r="L263" s="415"/>
      <c r="M263" s="415"/>
      <c r="N263" s="415"/>
      <c r="O263" s="415"/>
      <c r="P263" s="415"/>
      <c r="Q263" s="415"/>
      <c r="R263" s="415"/>
      <c r="S263" s="415"/>
      <c r="T263" s="415"/>
      <c r="U263" s="415"/>
      <c r="V263" s="415"/>
      <c r="W263" s="415"/>
      <c r="X263" s="415"/>
      <c r="Y263" s="415"/>
      <c r="Z263" s="415"/>
      <c r="AA263" s="415"/>
    </row>
    <row r="264">
      <c r="A264" s="415"/>
      <c r="B264" s="415"/>
      <c r="C264" s="415"/>
      <c r="D264" s="415"/>
      <c r="E264" s="415"/>
      <c r="F264" s="415"/>
      <c r="G264" s="415"/>
      <c r="H264" s="415"/>
      <c r="I264" s="415"/>
      <c r="J264" s="415"/>
      <c r="K264" s="415"/>
      <c r="L264" s="415"/>
      <c r="M264" s="415"/>
      <c r="N264" s="415"/>
      <c r="O264" s="415"/>
      <c r="P264" s="415"/>
      <c r="Q264" s="415"/>
      <c r="R264" s="415"/>
      <c r="S264" s="415"/>
      <c r="T264" s="415"/>
      <c r="U264" s="415"/>
      <c r="V264" s="415"/>
      <c r="W264" s="415"/>
      <c r="X264" s="415"/>
      <c r="Y264" s="415"/>
      <c r="Z264" s="415"/>
      <c r="AA264" s="415"/>
    </row>
    <row r="265">
      <c r="A265" s="415"/>
      <c r="B265" s="415"/>
      <c r="C265" s="415"/>
      <c r="D265" s="415"/>
      <c r="E265" s="415"/>
      <c r="F265" s="415"/>
      <c r="G265" s="415"/>
      <c r="H265" s="415"/>
      <c r="I265" s="415"/>
      <c r="J265" s="415"/>
      <c r="K265" s="415"/>
      <c r="L265" s="415"/>
      <c r="M265" s="415"/>
      <c r="N265" s="415"/>
      <c r="O265" s="415"/>
      <c r="P265" s="415"/>
      <c r="Q265" s="415"/>
      <c r="R265" s="415"/>
      <c r="S265" s="415"/>
      <c r="T265" s="415"/>
      <c r="U265" s="415"/>
      <c r="V265" s="415"/>
      <c r="W265" s="415"/>
      <c r="X265" s="415"/>
      <c r="Y265" s="415"/>
      <c r="Z265" s="415"/>
      <c r="AA265" s="415"/>
    </row>
    <row r="266">
      <c r="A266" s="415"/>
      <c r="B266" s="415"/>
      <c r="C266" s="415"/>
      <c r="D266" s="415"/>
      <c r="E266" s="415"/>
      <c r="F266" s="415"/>
      <c r="G266" s="415"/>
      <c r="H266" s="415"/>
      <c r="I266" s="415"/>
      <c r="J266" s="415"/>
      <c r="K266" s="415"/>
      <c r="L266" s="415"/>
      <c r="M266" s="415"/>
      <c r="N266" s="415"/>
      <c r="O266" s="415"/>
      <c r="P266" s="415"/>
      <c r="Q266" s="415"/>
      <c r="R266" s="415"/>
      <c r="S266" s="415"/>
      <c r="T266" s="415"/>
      <c r="U266" s="415"/>
      <c r="V266" s="415"/>
      <c r="W266" s="415"/>
      <c r="X266" s="415"/>
      <c r="Y266" s="415"/>
      <c r="Z266" s="415"/>
      <c r="AA266" s="415"/>
    </row>
    <row r="267">
      <c r="A267" s="415"/>
      <c r="B267" s="415"/>
      <c r="C267" s="415"/>
      <c r="D267" s="415"/>
      <c r="E267" s="415"/>
      <c r="F267" s="415"/>
      <c r="G267" s="415"/>
      <c r="H267" s="415"/>
      <c r="I267" s="415"/>
      <c r="J267" s="415"/>
      <c r="K267" s="415"/>
      <c r="L267" s="415"/>
      <c r="M267" s="415"/>
      <c r="N267" s="415"/>
      <c r="O267" s="415"/>
      <c r="P267" s="415"/>
      <c r="Q267" s="415"/>
      <c r="R267" s="415"/>
      <c r="S267" s="415"/>
      <c r="T267" s="415"/>
      <c r="U267" s="415"/>
      <c r="V267" s="415"/>
      <c r="W267" s="415"/>
      <c r="X267" s="415"/>
      <c r="Y267" s="415"/>
      <c r="Z267" s="415"/>
      <c r="AA267" s="415"/>
    </row>
    <row r="268">
      <c r="A268" s="415"/>
      <c r="B268" s="415"/>
      <c r="C268" s="415"/>
      <c r="D268" s="415"/>
      <c r="E268" s="415"/>
      <c r="F268" s="415"/>
      <c r="G268" s="415"/>
      <c r="H268" s="415"/>
      <c r="I268" s="415"/>
      <c r="J268" s="415"/>
      <c r="K268" s="415"/>
      <c r="L268" s="415"/>
      <c r="M268" s="415"/>
      <c r="N268" s="415"/>
      <c r="O268" s="415"/>
      <c r="P268" s="415"/>
      <c r="Q268" s="415"/>
      <c r="R268" s="415"/>
      <c r="S268" s="415"/>
      <c r="T268" s="415"/>
      <c r="U268" s="415"/>
      <c r="V268" s="415"/>
      <c r="W268" s="415"/>
      <c r="X268" s="415"/>
      <c r="Y268" s="415"/>
      <c r="Z268" s="415"/>
      <c r="AA268" s="415"/>
    </row>
    <row r="269">
      <c r="A269" s="415"/>
      <c r="B269" s="415"/>
      <c r="C269" s="415"/>
      <c r="D269" s="415"/>
      <c r="E269" s="415"/>
      <c r="F269" s="415"/>
      <c r="G269" s="415"/>
      <c r="H269" s="415"/>
      <c r="I269" s="415"/>
      <c r="J269" s="415"/>
      <c r="K269" s="415"/>
      <c r="L269" s="415"/>
      <c r="M269" s="415"/>
      <c r="N269" s="415"/>
      <c r="O269" s="415"/>
      <c r="P269" s="415"/>
      <c r="Q269" s="415"/>
      <c r="R269" s="415"/>
      <c r="S269" s="415"/>
      <c r="T269" s="415"/>
      <c r="U269" s="415"/>
      <c r="V269" s="415"/>
      <c r="W269" s="415"/>
      <c r="X269" s="415"/>
      <c r="Y269" s="415"/>
      <c r="Z269" s="415"/>
      <c r="AA269" s="415"/>
    </row>
    <row r="270">
      <c r="A270" s="415"/>
      <c r="B270" s="415"/>
      <c r="C270" s="415"/>
      <c r="D270" s="415"/>
      <c r="E270" s="415"/>
      <c r="F270" s="415"/>
      <c r="G270" s="415"/>
      <c r="H270" s="415"/>
      <c r="I270" s="415"/>
      <c r="J270" s="415"/>
      <c r="K270" s="415"/>
      <c r="L270" s="415"/>
      <c r="M270" s="415"/>
      <c r="N270" s="415"/>
      <c r="O270" s="415"/>
      <c r="P270" s="415"/>
      <c r="Q270" s="415"/>
      <c r="R270" s="415"/>
      <c r="S270" s="415"/>
      <c r="T270" s="415"/>
      <c r="U270" s="415"/>
      <c r="V270" s="415"/>
      <c r="W270" s="415"/>
      <c r="X270" s="415"/>
      <c r="Y270" s="415"/>
      <c r="Z270" s="415"/>
      <c r="AA270" s="415"/>
    </row>
    <row r="271">
      <c r="A271" s="415"/>
      <c r="B271" s="415"/>
      <c r="C271" s="415"/>
      <c r="D271" s="415"/>
      <c r="E271" s="415"/>
      <c r="F271" s="415"/>
      <c r="G271" s="415"/>
      <c r="H271" s="415"/>
      <c r="I271" s="415"/>
      <c r="J271" s="415"/>
      <c r="K271" s="415"/>
      <c r="L271" s="415"/>
      <c r="M271" s="415"/>
      <c r="N271" s="415"/>
      <c r="O271" s="415"/>
      <c r="P271" s="415"/>
      <c r="Q271" s="415"/>
      <c r="R271" s="415"/>
      <c r="S271" s="415"/>
      <c r="T271" s="415"/>
      <c r="U271" s="415"/>
      <c r="V271" s="415"/>
      <c r="W271" s="415"/>
      <c r="X271" s="415"/>
      <c r="Y271" s="415"/>
      <c r="Z271" s="415"/>
      <c r="AA271" s="415"/>
    </row>
    <row r="272">
      <c r="A272" s="415"/>
      <c r="B272" s="415"/>
      <c r="C272" s="415"/>
      <c r="D272" s="415"/>
      <c r="E272" s="415"/>
      <c r="F272" s="415"/>
      <c r="G272" s="415"/>
      <c r="H272" s="415"/>
      <c r="I272" s="415"/>
      <c r="J272" s="415"/>
      <c r="K272" s="415"/>
      <c r="L272" s="415"/>
      <c r="M272" s="415"/>
      <c r="N272" s="415"/>
      <c r="O272" s="415"/>
      <c r="P272" s="415"/>
      <c r="Q272" s="415"/>
      <c r="R272" s="415"/>
      <c r="S272" s="415"/>
      <c r="T272" s="415"/>
      <c r="U272" s="415"/>
      <c r="V272" s="415"/>
      <c r="W272" s="415"/>
      <c r="X272" s="415"/>
      <c r="Y272" s="415"/>
      <c r="Z272" s="415"/>
      <c r="AA272" s="415"/>
    </row>
    <row r="273">
      <c r="A273" s="415"/>
      <c r="B273" s="415"/>
      <c r="C273" s="415"/>
      <c r="D273" s="415"/>
      <c r="E273" s="415"/>
      <c r="F273" s="415"/>
      <c r="G273" s="415"/>
      <c r="H273" s="415"/>
      <c r="I273" s="415"/>
      <c r="J273" s="415"/>
      <c r="K273" s="415"/>
      <c r="L273" s="415"/>
      <c r="M273" s="415"/>
      <c r="N273" s="415"/>
      <c r="O273" s="415"/>
      <c r="P273" s="415"/>
      <c r="Q273" s="415"/>
      <c r="R273" s="415"/>
      <c r="S273" s="415"/>
      <c r="T273" s="415"/>
      <c r="U273" s="415"/>
      <c r="V273" s="415"/>
      <c r="W273" s="415"/>
      <c r="X273" s="415"/>
      <c r="Y273" s="415"/>
      <c r="Z273" s="415"/>
      <c r="AA273" s="415"/>
    </row>
    <row r="274">
      <c r="A274" s="415"/>
      <c r="B274" s="415"/>
      <c r="C274" s="415"/>
      <c r="D274" s="415"/>
      <c r="E274" s="415"/>
      <c r="F274" s="415"/>
      <c r="G274" s="415"/>
      <c r="H274" s="415"/>
      <c r="I274" s="415"/>
      <c r="J274" s="415"/>
      <c r="K274" s="415"/>
      <c r="L274" s="415"/>
      <c r="M274" s="415"/>
      <c r="N274" s="415"/>
      <c r="O274" s="415"/>
      <c r="P274" s="415"/>
      <c r="Q274" s="415"/>
      <c r="R274" s="415"/>
      <c r="S274" s="415"/>
      <c r="T274" s="415"/>
      <c r="U274" s="415"/>
      <c r="V274" s="415"/>
      <c r="W274" s="415"/>
      <c r="X274" s="415"/>
      <c r="Y274" s="415"/>
      <c r="Z274" s="415"/>
      <c r="AA274" s="415"/>
    </row>
    <row r="275">
      <c r="A275" s="415"/>
      <c r="B275" s="415"/>
      <c r="C275" s="415"/>
      <c r="D275" s="415"/>
      <c r="E275" s="415"/>
      <c r="F275" s="415"/>
      <c r="G275" s="415"/>
      <c r="H275" s="415"/>
      <c r="I275" s="415"/>
      <c r="J275" s="415"/>
      <c r="K275" s="415"/>
      <c r="L275" s="415"/>
      <c r="M275" s="415"/>
      <c r="N275" s="415"/>
      <c r="O275" s="415"/>
      <c r="P275" s="415"/>
      <c r="Q275" s="415"/>
      <c r="R275" s="415"/>
      <c r="S275" s="415"/>
      <c r="T275" s="415"/>
      <c r="U275" s="415"/>
      <c r="V275" s="415"/>
      <c r="W275" s="415"/>
      <c r="X275" s="415"/>
      <c r="Y275" s="415"/>
      <c r="Z275" s="415"/>
      <c r="AA275" s="415"/>
    </row>
    <row r="276">
      <c r="A276" s="415"/>
      <c r="B276" s="415"/>
      <c r="C276" s="415"/>
      <c r="D276" s="415"/>
      <c r="E276" s="415"/>
      <c r="F276" s="415"/>
      <c r="G276" s="415"/>
      <c r="H276" s="415"/>
      <c r="I276" s="415"/>
      <c r="J276" s="415"/>
      <c r="K276" s="415"/>
      <c r="L276" s="415"/>
      <c r="M276" s="415"/>
      <c r="N276" s="415"/>
      <c r="O276" s="415"/>
      <c r="P276" s="415"/>
      <c r="Q276" s="415"/>
      <c r="R276" s="415"/>
      <c r="S276" s="415"/>
      <c r="T276" s="415"/>
      <c r="U276" s="415"/>
      <c r="V276" s="415"/>
      <c r="W276" s="415"/>
      <c r="X276" s="415"/>
      <c r="Y276" s="415"/>
      <c r="Z276" s="415"/>
      <c r="AA276" s="415"/>
    </row>
    <row r="277">
      <c r="A277" s="415"/>
      <c r="B277" s="415"/>
      <c r="C277" s="415"/>
      <c r="D277" s="415"/>
      <c r="E277" s="415"/>
      <c r="F277" s="415"/>
      <c r="G277" s="415"/>
      <c r="H277" s="415"/>
      <c r="I277" s="415"/>
      <c r="J277" s="415"/>
      <c r="K277" s="415"/>
      <c r="L277" s="415"/>
      <c r="M277" s="415"/>
      <c r="N277" s="415"/>
      <c r="O277" s="415"/>
      <c r="P277" s="415"/>
      <c r="Q277" s="415"/>
      <c r="R277" s="415"/>
      <c r="S277" s="415"/>
      <c r="T277" s="415"/>
      <c r="U277" s="415"/>
      <c r="V277" s="415"/>
      <c r="W277" s="415"/>
      <c r="X277" s="415"/>
      <c r="Y277" s="415"/>
      <c r="Z277" s="415"/>
      <c r="AA277" s="415"/>
    </row>
    <row r="278">
      <c r="A278" s="415"/>
      <c r="B278" s="415"/>
      <c r="C278" s="415"/>
      <c r="D278" s="415"/>
      <c r="E278" s="415"/>
      <c r="F278" s="415"/>
      <c r="G278" s="415"/>
      <c r="H278" s="415"/>
      <c r="I278" s="415"/>
      <c r="J278" s="415"/>
      <c r="K278" s="415"/>
      <c r="L278" s="415"/>
      <c r="M278" s="415"/>
      <c r="N278" s="415"/>
      <c r="O278" s="415"/>
      <c r="P278" s="415"/>
      <c r="Q278" s="415"/>
      <c r="R278" s="415"/>
      <c r="S278" s="415"/>
      <c r="T278" s="415"/>
      <c r="U278" s="415"/>
      <c r="V278" s="415"/>
      <c r="W278" s="415"/>
      <c r="X278" s="415"/>
      <c r="Y278" s="415"/>
      <c r="Z278" s="415"/>
      <c r="AA278" s="415"/>
    </row>
    <row r="279">
      <c r="A279" s="415"/>
      <c r="B279" s="415"/>
      <c r="C279" s="415"/>
      <c r="D279" s="415"/>
      <c r="E279" s="415"/>
      <c r="F279" s="415"/>
      <c r="G279" s="415"/>
      <c r="H279" s="415"/>
      <c r="I279" s="415"/>
      <c r="J279" s="415"/>
      <c r="K279" s="415"/>
      <c r="L279" s="415"/>
      <c r="M279" s="415"/>
      <c r="N279" s="415"/>
      <c r="O279" s="415"/>
      <c r="P279" s="415"/>
      <c r="Q279" s="415"/>
      <c r="R279" s="415"/>
      <c r="S279" s="415"/>
      <c r="T279" s="415"/>
      <c r="U279" s="415"/>
      <c r="V279" s="415"/>
      <c r="W279" s="415"/>
      <c r="X279" s="415"/>
      <c r="Y279" s="415"/>
      <c r="Z279" s="415"/>
      <c r="AA279" s="415"/>
    </row>
    <row r="280">
      <c r="A280" s="415"/>
      <c r="B280" s="415"/>
      <c r="C280" s="415"/>
      <c r="D280" s="415"/>
      <c r="E280" s="415"/>
      <c r="F280" s="415"/>
      <c r="G280" s="415"/>
      <c r="H280" s="415"/>
      <c r="I280" s="415"/>
      <c r="J280" s="415"/>
      <c r="K280" s="415"/>
      <c r="L280" s="415"/>
      <c r="M280" s="415"/>
      <c r="N280" s="415"/>
      <c r="O280" s="415"/>
      <c r="P280" s="415"/>
      <c r="Q280" s="415"/>
      <c r="R280" s="415"/>
      <c r="S280" s="415"/>
      <c r="T280" s="415"/>
      <c r="U280" s="415"/>
      <c r="V280" s="415"/>
      <c r="W280" s="415"/>
      <c r="X280" s="415"/>
      <c r="Y280" s="415"/>
      <c r="Z280" s="415"/>
      <c r="AA280" s="415"/>
    </row>
    <row r="281">
      <c r="A281" s="415"/>
      <c r="B281" s="415"/>
      <c r="C281" s="415"/>
      <c r="D281" s="415"/>
      <c r="E281" s="415"/>
      <c r="F281" s="415"/>
      <c r="G281" s="415"/>
      <c r="H281" s="415"/>
      <c r="I281" s="415"/>
      <c r="J281" s="415"/>
      <c r="K281" s="415"/>
      <c r="L281" s="415"/>
      <c r="M281" s="415"/>
      <c r="N281" s="415"/>
      <c r="O281" s="415"/>
      <c r="P281" s="415"/>
      <c r="Q281" s="415"/>
      <c r="R281" s="415"/>
      <c r="S281" s="415"/>
      <c r="T281" s="415"/>
      <c r="U281" s="415"/>
      <c r="V281" s="415"/>
      <c r="W281" s="415"/>
      <c r="X281" s="415"/>
      <c r="Y281" s="415"/>
      <c r="Z281" s="415"/>
      <c r="AA281" s="415"/>
    </row>
    <row r="282">
      <c r="A282" s="415"/>
      <c r="B282" s="415"/>
      <c r="C282" s="415"/>
      <c r="D282" s="415"/>
      <c r="E282" s="415"/>
      <c r="F282" s="415"/>
      <c r="G282" s="415"/>
      <c r="H282" s="415"/>
      <c r="I282" s="415"/>
      <c r="J282" s="415"/>
      <c r="K282" s="415"/>
      <c r="L282" s="415"/>
      <c r="M282" s="415"/>
      <c r="N282" s="415"/>
      <c r="O282" s="415"/>
      <c r="P282" s="415"/>
      <c r="Q282" s="415"/>
      <c r="R282" s="415"/>
      <c r="S282" s="415"/>
      <c r="T282" s="415"/>
      <c r="U282" s="415"/>
      <c r="V282" s="415"/>
      <c r="W282" s="415"/>
      <c r="X282" s="415"/>
      <c r="Y282" s="415"/>
      <c r="Z282" s="415"/>
      <c r="AA282" s="415"/>
    </row>
    <row r="283">
      <c r="A283" s="415"/>
      <c r="B283" s="415"/>
      <c r="C283" s="415"/>
      <c r="D283" s="415"/>
      <c r="E283" s="415"/>
      <c r="F283" s="415"/>
      <c r="G283" s="415"/>
      <c r="H283" s="415"/>
      <c r="I283" s="415"/>
      <c r="J283" s="415"/>
      <c r="K283" s="415"/>
      <c r="L283" s="415"/>
      <c r="M283" s="415"/>
      <c r="N283" s="415"/>
      <c r="O283" s="415"/>
      <c r="P283" s="415"/>
      <c r="Q283" s="415"/>
      <c r="R283" s="415"/>
      <c r="S283" s="415"/>
      <c r="T283" s="415"/>
      <c r="U283" s="415"/>
      <c r="V283" s="415"/>
      <c r="W283" s="415"/>
      <c r="X283" s="415"/>
      <c r="Y283" s="415"/>
      <c r="Z283" s="415"/>
      <c r="AA283" s="415"/>
    </row>
    <row r="284">
      <c r="A284" s="415"/>
      <c r="B284" s="415"/>
      <c r="C284" s="415"/>
      <c r="D284" s="415"/>
      <c r="E284" s="415"/>
      <c r="F284" s="415"/>
      <c r="G284" s="415"/>
      <c r="H284" s="415"/>
      <c r="I284" s="415"/>
      <c r="J284" s="415"/>
      <c r="K284" s="415"/>
      <c r="L284" s="415"/>
      <c r="M284" s="415"/>
      <c r="N284" s="415"/>
      <c r="O284" s="415"/>
      <c r="P284" s="415"/>
      <c r="Q284" s="415"/>
      <c r="R284" s="415"/>
      <c r="S284" s="415"/>
      <c r="T284" s="415"/>
      <c r="U284" s="415"/>
      <c r="V284" s="415"/>
      <c r="W284" s="415"/>
      <c r="X284" s="415"/>
      <c r="Y284" s="415"/>
      <c r="Z284" s="415"/>
      <c r="AA284" s="415"/>
    </row>
    <row r="285">
      <c r="A285" s="415"/>
      <c r="B285" s="415"/>
      <c r="C285" s="415"/>
      <c r="D285" s="415"/>
      <c r="E285" s="415"/>
      <c r="F285" s="415"/>
      <c r="G285" s="415"/>
      <c r="H285" s="415"/>
      <c r="I285" s="415"/>
      <c r="J285" s="415"/>
      <c r="K285" s="415"/>
      <c r="L285" s="415"/>
      <c r="M285" s="415"/>
      <c r="N285" s="415"/>
      <c r="O285" s="415"/>
      <c r="P285" s="415"/>
      <c r="Q285" s="415"/>
      <c r="R285" s="415"/>
      <c r="S285" s="415"/>
      <c r="T285" s="415"/>
      <c r="U285" s="415"/>
      <c r="V285" s="415"/>
      <c r="W285" s="415"/>
      <c r="X285" s="415"/>
      <c r="Y285" s="415"/>
      <c r="Z285" s="415"/>
      <c r="AA285" s="415"/>
    </row>
    <row r="286">
      <c r="A286" s="415"/>
      <c r="B286" s="415"/>
      <c r="C286" s="415"/>
      <c r="D286" s="415"/>
      <c r="E286" s="415"/>
      <c r="F286" s="415"/>
      <c r="G286" s="415"/>
      <c r="H286" s="415"/>
      <c r="I286" s="415"/>
      <c r="J286" s="415"/>
      <c r="K286" s="415"/>
      <c r="L286" s="415"/>
      <c r="M286" s="415"/>
      <c r="N286" s="415"/>
      <c r="O286" s="415"/>
      <c r="P286" s="415"/>
      <c r="Q286" s="415"/>
      <c r="R286" s="415"/>
      <c r="S286" s="415"/>
      <c r="T286" s="415"/>
      <c r="U286" s="415"/>
      <c r="V286" s="415"/>
      <c r="W286" s="415"/>
      <c r="X286" s="415"/>
      <c r="Y286" s="415"/>
      <c r="Z286" s="415"/>
      <c r="AA286" s="415"/>
    </row>
    <row r="287">
      <c r="A287" s="415"/>
      <c r="B287" s="415"/>
      <c r="C287" s="415"/>
      <c r="D287" s="415"/>
      <c r="E287" s="415"/>
      <c r="F287" s="415"/>
      <c r="G287" s="415"/>
      <c r="H287" s="415"/>
      <c r="I287" s="415"/>
      <c r="J287" s="415"/>
      <c r="K287" s="415"/>
      <c r="L287" s="415"/>
      <c r="M287" s="415"/>
      <c r="N287" s="415"/>
      <c r="O287" s="415"/>
      <c r="P287" s="415"/>
      <c r="Q287" s="415"/>
      <c r="R287" s="415"/>
      <c r="S287" s="415"/>
      <c r="T287" s="415"/>
      <c r="U287" s="415"/>
      <c r="V287" s="415"/>
      <c r="W287" s="415"/>
      <c r="X287" s="415"/>
      <c r="Y287" s="415"/>
      <c r="Z287" s="415"/>
      <c r="AA287" s="415"/>
    </row>
    <row r="288">
      <c r="A288" s="415"/>
      <c r="B288" s="415"/>
      <c r="C288" s="415"/>
      <c r="D288" s="415"/>
      <c r="E288" s="415"/>
      <c r="F288" s="415"/>
      <c r="G288" s="415"/>
      <c r="H288" s="415"/>
      <c r="I288" s="415"/>
      <c r="J288" s="415"/>
      <c r="K288" s="415"/>
      <c r="L288" s="415"/>
      <c r="M288" s="415"/>
      <c r="N288" s="415"/>
      <c r="O288" s="415"/>
      <c r="P288" s="415"/>
      <c r="Q288" s="415"/>
      <c r="R288" s="415"/>
      <c r="S288" s="415"/>
      <c r="T288" s="415"/>
      <c r="U288" s="415"/>
      <c r="V288" s="415"/>
      <c r="W288" s="415"/>
      <c r="X288" s="415"/>
      <c r="Y288" s="415"/>
      <c r="Z288" s="415"/>
      <c r="AA288" s="415"/>
    </row>
    <row r="289">
      <c r="A289" s="415"/>
      <c r="B289" s="415"/>
      <c r="C289" s="415"/>
      <c r="D289" s="415"/>
      <c r="E289" s="415"/>
      <c r="F289" s="415"/>
      <c r="G289" s="415"/>
      <c r="H289" s="415"/>
      <c r="I289" s="415"/>
      <c r="J289" s="415"/>
      <c r="K289" s="415"/>
      <c r="L289" s="415"/>
      <c r="M289" s="415"/>
      <c r="N289" s="415"/>
      <c r="O289" s="415"/>
      <c r="P289" s="415"/>
      <c r="Q289" s="415"/>
      <c r="R289" s="415"/>
      <c r="S289" s="415"/>
      <c r="T289" s="415"/>
      <c r="U289" s="415"/>
      <c r="V289" s="415"/>
      <c r="W289" s="415"/>
      <c r="X289" s="415"/>
      <c r="Y289" s="415"/>
      <c r="Z289" s="415"/>
      <c r="AA289" s="415"/>
    </row>
    <row r="290">
      <c r="A290" s="415"/>
      <c r="B290" s="415"/>
      <c r="C290" s="415"/>
      <c r="D290" s="415"/>
      <c r="E290" s="415"/>
      <c r="F290" s="415"/>
      <c r="G290" s="415"/>
      <c r="H290" s="415"/>
      <c r="I290" s="415"/>
      <c r="J290" s="415"/>
      <c r="K290" s="415"/>
      <c r="L290" s="415"/>
      <c r="M290" s="415"/>
      <c r="N290" s="415"/>
      <c r="O290" s="415"/>
      <c r="P290" s="415"/>
      <c r="Q290" s="415"/>
      <c r="R290" s="415"/>
      <c r="S290" s="415"/>
      <c r="T290" s="415"/>
      <c r="U290" s="415"/>
      <c r="V290" s="415"/>
      <c r="W290" s="415"/>
      <c r="X290" s="415"/>
      <c r="Y290" s="415"/>
      <c r="Z290" s="415"/>
      <c r="AA290" s="415"/>
    </row>
    <row r="291">
      <c r="A291" s="415"/>
      <c r="B291" s="415"/>
      <c r="C291" s="415"/>
      <c r="D291" s="415"/>
      <c r="E291" s="415"/>
      <c r="F291" s="415"/>
      <c r="G291" s="415"/>
      <c r="H291" s="415"/>
      <c r="I291" s="415"/>
      <c r="J291" s="415"/>
      <c r="K291" s="415"/>
      <c r="L291" s="415"/>
      <c r="M291" s="415"/>
      <c r="N291" s="415"/>
      <c r="O291" s="415"/>
      <c r="P291" s="415"/>
      <c r="Q291" s="415"/>
      <c r="R291" s="415"/>
      <c r="S291" s="415"/>
      <c r="T291" s="415"/>
      <c r="U291" s="415"/>
      <c r="V291" s="415"/>
      <c r="W291" s="415"/>
      <c r="X291" s="415"/>
      <c r="Y291" s="415"/>
      <c r="Z291" s="415"/>
      <c r="AA291" s="415"/>
    </row>
    <row r="292">
      <c r="A292" s="415"/>
      <c r="B292" s="415"/>
      <c r="C292" s="415"/>
      <c r="D292" s="415"/>
      <c r="E292" s="415"/>
      <c r="F292" s="415"/>
      <c r="G292" s="415"/>
      <c r="H292" s="415"/>
      <c r="I292" s="415"/>
      <c r="J292" s="415"/>
      <c r="K292" s="415"/>
      <c r="L292" s="415"/>
      <c r="M292" s="415"/>
      <c r="N292" s="415"/>
      <c r="O292" s="415"/>
      <c r="P292" s="415"/>
      <c r="Q292" s="415"/>
      <c r="R292" s="415"/>
      <c r="S292" s="415"/>
      <c r="T292" s="415"/>
      <c r="U292" s="415"/>
      <c r="V292" s="415"/>
      <c r="W292" s="415"/>
      <c r="X292" s="415"/>
      <c r="Y292" s="415"/>
      <c r="Z292" s="415"/>
      <c r="AA292" s="415"/>
    </row>
    <row r="293">
      <c r="A293" s="415"/>
      <c r="B293" s="415"/>
      <c r="C293" s="415"/>
      <c r="D293" s="415"/>
      <c r="E293" s="415"/>
      <c r="F293" s="415"/>
      <c r="G293" s="415"/>
      <c r="H293" s="415"/>
      <c r="I293" s="415"/>
      <c r="J293" s="415"/>
      <c r="K293" s="415"/>
      <c r="L293" s="415"/>
      <c r="M293" s="415"/>
      <c r="N293" s="415"/>
      <c r="O293" s="415"/>
      <c r="P293" s="415"/>
      <c r="Q293" s="415"/>
      <c r="R293" s="415"/>
      <c r="S293" s="415"/>
      <c r="T293" s="415"/>
      <c r="U293" s="415"/>
      <c r="V293" s="415"/>
      <c r="W293" s="415"/>
      <c r="X293" s="415"/>
      <c r="Y293" s="415"/>
      <c r="Z293" s="415"/>
      <c r="AA293" s="415"/>
    </row>
    <row r="294">
      <c r="A294" s="415"/>
      <c r="B294" s="415"/>
      <c r="C294" s="415"/>
      <c r="D294" s="415"/>
      <c r="E294" s="415"/>
      <c r="F294" s="415"/>
      <c r="G294" s="415"/>
      <c r="H294" s="415"/>
      <c r="I294" s="415"/>
      <c r="J294" s="415"/>
      <c r="K294" s="415"/>
      <c r="L294" s="415"/>
      <c r="M294" s="415"/>
      <c r="N294" s="415"/>
      <c r="O294" s="415"/>
      <c r="P294" s="415"/>
      <c r="Q294" s="415"/>
      <c r="R294" s="415"/>
      <c r="S294" s="415"/>
      <c r="T294" s="415"/>
      <c r="U294" s="415"/>
      <c r="V294" s="415"/>
      <c r="W294" s="415"/>
      <c r="X294" s="415"/>
      <c r="Y294" s="415"/>
      <c r="Z294" s="415"/>
      <c r="AA294" s="415"/>
    </row>
    <row r="295">
      <c r="A295" s="415"/>
      <c r="B295" s="415"/>
      <c r="C295" s="415"/>
      <c r="D295" s="415"/>
      <c r="E295" s="415"/>
      <c r="F295" s="415"/>
      <c r="G295" s="415"/>
      <c r="H295" s="415"/>
      <c r="I295" s="415"/>
      <c r="J295" s="415"/>
      <c r="K295" s="415"/>
      <c r="L295" s="415"/>
      <c r="M295" s="415"/>
      <c r="N295" s="415"/>
      <c r="O295" s="415"/>
      <c r="P295" s="415"/>
      <c r="Q295" s="415"/>
      <c r="R295" s="415"/>
      <c r="S295" s="415"/>
      <c r="T295" s="415"/>
      <c r="U295" s="415"/>
      <c r="V295" s="415"/>
      <c r="W295" s="415"/>
      <c r="X295" s="415"/>
      <c r="Y295" s="415"/>
      <c r="Z295" s="415"/>
      <c r="AA295" s="415"/>
    </row>
    <row r="296">
      <c r="A296" s="415"/>
      <c r="B296" s="415"/>
      <c r="C296" s="415"/>
      <c r="D296" s="415"/>
      <c r="E296" s="415"/>
      <c r="F296" s="415"/>
      <c r="G296" s="415"/>
      <c r="H296" s="415"/>
      <c r="I296" s="415"/>
      <c r="J296" s="415"/>
      <c r="K296" s="415"/>
      <c r="L296" s="415"/>
      <c r="M296" s="415"/>
      <c r="N296" s="415"/>
      <c r="O296" s="415"/>
      <c r="P296" s="415"/>
      <c r="Q296" s="415"/>
      <c r="R296" s="415"/>
      <c r="S296" s="415"/>
      <c r="T296" s="415"/>
      <c r="U296" s="415"/>
      <c r="V296" s="415"/>
      <c r="W296" s="415"/>
      <c r="X296" s="415"/>
      <c r="Y296" s="415"/>
      <c r="Z296" s="415"/>
      <c r="AA296" s="415"/>
    </row>
    <row r="297">
      <c r="A297" s="415"/>
      <c r="B297" s="415"/>
      <c r="C297" s="415"/>
      <c r="D297" s="415"/>
      <c r="E297" s="415"/>
      <c r="F297" s="415"/>
      <c r="G297" s="415"/>
      <c r="H297" s="415"/>
      <c r="I297" s="415"/>
      <c r="J297" s="415"/>
      <c r="K297" s="415"/>
      <c r="L297" s="415"/>
      <c r="M297" s="415"/>
      <c r="N297" s="415"/>
      <c r="O297" s="415"/>
      <c r="P297" s="415"/>
      <c r="Q297" s="415"/>
      <c r="R297" s="415"/>
      <c r="S297" s="415"/>
      <c r="T297" s="415"/>
      <c r="U297" s="415"/>
      <c r="V297" s="415"/>
      <c r="W297" s="415"/>
      <c r="X297" s="415"/>
      <c r="Y297" s="415"/>
      <c r="Z297" s="415"/>
      <c r="AA297" s="415"/>
    </row>
    <row r="298">
      <c r="A298" s="415"/>
      <c r="B298" s="415"/>
      <c r="C298" s="415"/>
      <c r="D298" s="415"/>
      <c r="E298" s="415"/>
      <c r="F298" s="415"/>
      <c r="G298" s="415"/>
      <c r="H298" s="415"/>
      <c r="I298" s="415"/>
      <c r="J298" s="415"/>
      <c r="K298" s="415"/>
      <c r="L298" s="415"/>
      <c r="M298" s="415"/>
      <c r="N298" s="415"/>
      <c r="O298" s="415"/>
      <c r="P298" s="415"/>
      <c r="Q298" s="415"/>
      <c r="R298" s="415"/>
      <c r="S298" s="415"/>
      <c r="T298" s="415"/>
      <c r="U298" s="415"/>
      <c r="V298" s="415"/>
      <c r="W298" s="415"/>
      <c r="X298" s="415"/>
      <c r="Y298" s="415"/>
      <c r="Z298" s="415"/>
      <c r="AA298" s="415"/>
    </row>
    <row r="299">
      <c r="A299" s="415"/>
      <c r="B299" s="415"/>
      <c r="C299" s="415"/>
      <c r="D299" s="415"/>
      <c r="E299" s="415"/>
      <c r="F299" s="415"/>
      <c r="G299" s="415"/>
      <c r="H299" s="415"/>
      <c r="I299" s="415"/>
      <c r="J299" s="415"/>
      <c r="K299" s="415"/>
      <c r="L299" s="415"/>
      <c r="M299" s="415"/>
      <c r="N299" s="415"/>
      <c r="O299" s="415"/>
      <c r="P299" s="415"/>
      <c r="Q299" s="415"/>
      <c r="R299" s="415"/>
      <c r="S299" s="415"/>
      <c r="T299" s="415"/>
      <c r="U299" s="415"/>
      <c r="V299" s="415"/>
      <c r="W299" s="415"/>
      <c r="X299" s="415"/>
      <c r="Y299" s="415"/>
      <c r="Z299" s="415"/>
      <c r="AA299" s="415"/>
    </row>
    <row r="300">
      <c r="A300" s="415"/>
      <c r="B300" s="415"/>
      <c r="C300" s="415"/>
      <c r="D300" s="415"/>
      <c r="E300" s="415"/>
      <c r="F300" s="415"/>
      <c r="G300" s="415"/>
      <c r="H300" s="415"/>
      <c r="I300" s="415"/>
      <c r="J300" s="415"/>
      <c r="K300" s="415"/>
      <c r="L300" s="415"/>
      <c r="M300" s="415"/>
      <c r="N300" s="415"/>
      <c r="O300" s="415"/>
      <c r="P300" s="415"/>
      <c r="Q300" s="415"/>
      <c r="R300" s="415"/>
      <c r="S300" s="415"/>
      <c r="T300" s="415"/>
      <c r="U300" s="415"/>
      <c r="V300" s="415"/>
      <c r="W300" s="415"/>
      <c r="X300" s="415"/>
      <c r="Y300" s="415"/>
      <c r="Z300" s="415"/>
      <c r="AA300" s="415"/>
    </row>
    <row r="301">
      <c r="A301" s="415"/>
      <c r="B301" s="415"/>
      <c r="C301" s="415"/>
      <c r="D301" s="415"/>
      <c r="E301" s="415"/>
      <c r="F301" s="415"/>
      <c r="G301" s="415"/>
      <c r="H301" s="415"/>
      <c r="I301" s="415"/>
      <c r="J301" s="415"/>
      <c r="K301" s="415"/>
      <c r="L301" s="415"/>
      <c r="M301" s="415"/>
      <c r="N301" s="415"/>
      <c r="O301" s="415"/>
      <c r="P301" s="415"/>
      <c r="Q301" s="415"/>
      <c r="R301" s="415"/>
      <c r="S301" s="415"/>
      <c r="T301" s="415"/>
      <c r="U301" s="415"/>
      <c r="V301" s="415"/>
      <c r="W301" s="415"/>
      <c r="X301" s="415"/>
      <c r="Y301" s="415"/>
      <c r="Z301" s="415"/>
      <c r="AA301" s="415"/>
    </row>
    <row r="302">
      <c r="A302" s="415"/>
      <c r="B302" s="415"/>
      <c r="C302" s="415"/>
      <c r="D302" s="415"/>
      <c r="E302" s="415"/>
      <c r="F302" s="415"/>
      <c r="G302" s="415"/>
      <c r="H302" s="415"/>
      <c r="I302" s="415"/>
      <c r="J302" s="415"/>
      <c r="K302" s="415"/>
      <c r="L302" s="415"/>
      <c r="M302" s="415"/>
      <c r="N302" s="415"/>
      <c r="O302" s="415"/>
      <c r="P302" s="415"/>
      <c r="Q302" s="415"/>
      <c r="R302" s="415"/>
      <c r="S302" s="415"/>
      <c r="T302" s="415"/>
      <c r="U302" s="415"/>
      <c r="V302" s="415"/>
      <c r="W302" s="415"/>
      <c r="X302" s="415"/>
      <c r="Y302" s="415"/>
      <c r="Z302" s="415"/>
      <c r="AA302" s="415"/>
    </row>
    <row r="303">
      <c r="A303" s="415"/>
      <c r="B303" s="415"/>
      <c r="C303" s="415"/>
      <c r="D303" s="415"/>
      <c r="E303" s="415"/>
      <c r="F303" s="415"/>
      <c r="G303" s="415"/>
      <c r="H303" s="415"/>
      <c r="I303" s="415"/>
      <c r="J303" s="415"/>
      <c r="K303" s="415"/>
      <c r="L303" s="415"/>
      <c r="M303" s="415"/>
      <c r="N303" s="415"/>
      <c r="O303" s="415"/>
      <c r="P303" s="415"/>
      <c r="Q303" s="415"/>
      <c r="R303" s="415"/>
      <c r="S303" s="415"/>
      <c r="T303" s="415"/>
      <c r="U303" s="415"/>
      <c r="V303" s="415"/>
      <c r="W303" s="415"/>
      <c r="X303" s="415"/>
      <c r="Y303" s="415"/>
      <c r="Z303" s="415"/>
      <c r="AA303" s="415"/>
    </row>
    <row r="304">
      <c r="A304" s="415"/>
      <c r="B304" s="415"/>
      <c r="C304" s="415"/>
      <c r="D304" s="415"/>
      <c r="E304" s="415"/>
      <c r="F304" s="415"/>
      <c r="G304" s="415"/>
      <c r="H304" s="415"/>
      <c r="I304" s="415"/>
      <c r="J304" s="415"/>
      <c r="K304" s="415"/>
      <c r="L304" s="415"/>
      <c r="M304" s="415"/>
      <c r="N304" s="415"/>
      <c r="O304" s="415"/>
      <c r="P304" s="415"/>
      <c r="Q304" s="415"/>
      <c r="R304" s="415"/>
      <c r="S304" s="415"/>
      <c r="T304" s="415"/>
      <c r="U304" s="415"/>
      <c r="V304" s="415"/>
      <c r="W304" s="415"/>
      <c r="X304" s="415"/>
      <c r="Y304" s="415"/>
      <c r="Z304" s="415"/>
      <c r="AA304" s="415"/>
    </row>
    <row r="305">
      <c r="A305" s="415"/>
      <c r="B305" s="415"/>
      <c r="C305" s="415"/>
      <c r="D305" s="415"/>
      <c r="E305" s="415"/>
      <c r="F305" s="415"/>
      <c r="G305" s="415"/>
      <c r="H305" s="415"/>
      <c r="I305" s="415"/>
      <c r="J305" s="415"/>
      <c r="K305" s="415"/>
      <c r="L305" s="415"/>
      <c r="M305" s="415"/>
      <c r="N305" s="415"/>
      <c r="O305" s="415"/>
      <c r="P305" s="415"/>
      <c r="Q305" s="415"/>
      <c r="R305" s="415"/>
      <c r="S305" s="415"/>
      <c r="T305" s="415"/>
      <c r="U305" s="415"/>
      <c r="V305" s="415"/>
      <c r="W305" s="415"/>
      <c r="X305" s="415"/>
      <c r="Y305" s="415"/>
      <c r="Z305" s="415"/>
      <c r="AA305" s="415"/>
    </row>
    <row r="306">
      <c r="A306" s="415"/>
      <c r="B306" s="415"/>
      <c r="C306" s="415"/>
      <c r="D306" s="415"/>
      <c r="E306" s="415"/>
      <c r="F306" s="415"/>
      <c r="G306" s="415"/>
      <c r="H306" s="415"/>
      <c r="I306" s="415"/>
      <c r="J306" s="415"/>
      <c r="K306" s="415"/>
      <c r="L306" s="415"/>
      <c r="M306" s="415"/>
      <c r="N306" s="415"/>
      <c r="O306" s="415"/>
      <c r="P306" s="415"/>
      <c r="Q306" s="415"/>
      <c r="R306" s="415"/>
      <c r="S306" s="415"/>
      <c r="T306" s="415"/>
      <c r="U306" s="415"/>
      <c r="V306" s="415"/>
      <c r="W306" s="415"/>
      <c r="X306" s="415"/>
      <c r="Y306" s="415"/>
      <c r="Z306" s="415"/>
      <c r="AA306" s="415"/>
    </row>
    <row r="307">
      <c r="A307" s="415"/>
      <c r="B307" s="415"/>
      <c r="C307" s="415"/>
      <c r="D307" s="415"/>
      <c r="E307" s="415"/>
      <c r="F307" s="415"/>
      <c r="G307" s="415"/>
      <c r="H307" s="415"/>
      <c r="I307" s="415"/>
      <c r="J307" s="415"/>
      <c r="K307" s="415"/>
      <c r="L307" s="415"/>
      <c r="M307" s="415"/>
      <c r="N307" s="415"/>
      <c r="O307" s="415"/>
      <c r="P307" s="415"/>
      <c r="Q307" s="415"/>
      <c r="R307" s="415"/>
      <c r="S307" s="415"/>
      <c r="T307" s="415"/>
      <c r="U307" s="415"/>
      <c r="V307" s="415"/>
      <c r="W307" s="415"/>
      <c r="X307" s="415"/>
      <c r="Y307" s="415"/>
      <c r="Z307" s="415"/>
      <c r="AA307" s="415"/>
    </row>
    <row r="308">
      <c r="A308" s="415"/>
      <c r="B308" s="415"/>
      <c r="C308" s="415"/>
      <c r="D308" s="415"/>
      <c r="E308" s="415"/>
      <c r="F308" s="415"/>
      <c r="G308" s="415"/>
      <c r="H308" s="415"/>
      <c r="I308" s="415"/>
      <c r="J308" s="415"/>
      <c r="K308" s="415"/>
      <c r="L308" s="415"/>
      <c r="M308" s="415"/>
      <c r="N308" s="415"/>
      <c r="O308" s="415"/>
      <c r="P308" s="415"/>
      <c r="Q308" s="415"/>
      <c r="R308" s="415"/>
      <c r="S308" s="415"/>
      <c r="T308" s="415"/>
      <c r="U308" s="415"/>
      <c r="V308" s="415"/>
      <c r="W308" s="415"/>
      <c r="X308" s="415"/>
      <c r="Y308" s="415"/>
      <c r="Z308" s="415"/>
      <c r="AA308" s="415"/>
    </row>
    <row r="309">
      <c r="A309" s="415"/>
      <c r="B309" s="415"/>
      <c r="C309" s="415"/>
      <c r="D309" s="415"/>
      <c r="E309" s="415"/>
      <c r="F309" s="415"/>
      <c r="G309" s="415"/>
      <c r="H309" s="415"/>
      <c r="I309" s="415"/>
      <c r="J309" s="415"/>
      <c r="K309" s="415"/>
      <c r="L309" s="415"/>
      <c r="M309" s="415"/>
      <c r="N309" s="415"/>
      <c r="O309" s="415"/>
      <c r="P309" s="415"/>
      <c r="Q309" s="415"/>
      <c r="R309" s="415"/>
      <c r="S309" s="415"/>
      <c r="T309" s="415"/>
      <c r="U309" s="415"/>
      <c r="V309" s="415"/>
      <c r="W309" s="415"/>
      <c r="X309" s="415"/>
      <c r="Y309" s="415"/>
      <c r="Z309" s="415"/>
      <c r="AA309" s="415"/>
    </row>
    <row r="310">
      <c r="A310" s="415"/>
      <c r="B310" s="415"/>
      <c r="C310" s="415"/>
      <c r="D310" s="415"/>
      <c r="E310" s="415"/>
      <c r="F310" s="415"/>
      <c r="G310" s="415"/>
      <c r="H310" s="415"/>
      <c r="I310" s="415"/>
      <c r="J310" s="415"/>
      <c r="K310" s="415"/>
      <c r="L310" s="415"/>
      <c r="M310" s="415"/>
      <c r="N310" s="415"/>
      <c r="O310" s="415"/>
      <c r="P310" s="415"/>
      <c r="Q310" s="415"/>
      <c r="R310" s="415"/>
      <c r="S310" s="415"/>
      <c r="T310" s="415"/>
      <c r="U310" s="415"/>
      <c r="V310" s="415"/>
      <c r="W310" s="415"/>
      <c r="X310" s="415"/>
      <c r="Y310" s="415"/>
      <c r="Z310" s="415"/>
      <c r="AA310" s="415"/>
    </row>
    <row r="311">
      <c r="A311" s="415"/>
      <c r="B311" s="415"/>
      <c r="C311" s="415"/>
      <c r="D311" s="415"/>
      <c r="E311" s="415"/>
      <c r="F311" s="415"/>
      <c r="G311" s="415"/>
      <c r="H311" s="415"/>
      <c r="I311" s="415"/>
      <c r="J311" s="415"/>
      <c r="K311" s="415"/>
      <c r="L311" s="415"/>
      <c r="M311" s="415"/>
      <c r="N311" s="415"/>
      <c r="O311" s="415"/>
      <c r="P311" s="415"/>
      <c r="Q311" s="415"/>
      <c r="R311" s="415"/>
      <c r="S311" s="415"/>
      <c r="T311" s="415"/>
      <c r="U311" s="415"/>
      <c r="V311" s="415"/>
      <c r="W311" s="415"/>
      <c r="X311" s="415"/>
      <c r="Y311" s="415"/>
      <c r="Z311" s="415"/>
      <c r="AA311" s="415"/>
    </row>
    <row r="312">
      <c r="A312" s="415"/>
      <c r="B312" s="415"/>
      <c r="C312" s="415"/>
      <c r="D312" s="415"/>
      <c r="E312" s="415"/>
      <c r="F312" s="415"/>
      <c r="G312" s="415"/>
      <c r="H312" s="415"/>
      <c r="I312" s="415"/>
      <c r="J312" s="415"/>
      <c r="K312" s="415"/>
      <c r="L312" s="415"/>
      <c r="M312" s="415"/>
      <c r="N312" s="415"/>
      <c r="O312" s="415"/>
      <c r="P312" s="415"/>
      <c r="Q312" s="415"/>
      <c r="R312" s="415"/>
      <c r="S312" s="415"/>
      <c r="T312" s="415"/>
      <c r="U312" s="415"/>
      <c r="V312" s="415"/>
      <c r="W312" s="415"/>
      <c r="X312" s="415"/>
      <c r="Y312" s="415"/>
      <c r="Z312" s="415"/>
      <c r="AA312" s="415"/>
    </row>
    <row r="313">
      <c r="A313" s="415"/>
      <c r="B313" s="415"/>
      <c r="C313" s="415"/>
      <c r="D313" s="415"/>
      <c r="E313" s="415"/>
      <c r="F313" s="415"/>
      <c r="G313" s="415"/>
      <c r="H313" s="415"/>
      <c r="I313" s="415"/>
      <c r="J313" s="415"/>
      <c r="K313" s="415"/>
      <c r="L313" s="415"/>
      <c r="M313" s="415"/>
      <c r="N313" s="415"/>
      <c r="O313" s="415"/>
      <c r="P313" s="415"/>
      <c r="Q313" s="415"/>
      <c r="R313" s="415"/>
      <c r="S313" s="415"/>
      <c r="T313" s="415"/>
      <c r="U313" s="415"/>
      <c r="V313" s="415"/>
      <c r="W313" s="415"/>
      <c r="X313" s="415"/>
      <c r="Y313" s="415"/>
      <c r="Z313" s="415"/>
      <c r="AA313" s="415"/>
    </row>
    <row r="314">
      <c r="A314" s="415"/>
      <c r="B314" s="415"/>
      <c r="C314" s="415"/>
      <c r="D314" s="415"/>
      <c r="E314" s="415"/>
      <c r="F314" s="415"/>
      <c r="G314" s="415"/>
      <c r="H314" s="415"/>
      <c r="I314" s="415"/>
      <c r="J314" s="415"/>
      <c r="K314" s="415"/>
      <c r="L314" s="415"/>
      <c r="M314" s="415"/>
      <c r="N314" s="415"/>
      <c r="O314" s="415"/>
      <c r="P314" s="415"/>
      <c r="Q314" s="415"/>
      <c r="R314" s="415"/>
      <c r="S314" s="415"/>
      <c r="T314" s="415"/>
      <c r="U314" s="415"/>
      <c r="V314" s="415"/>
      <c r="W314" s="415"/>
      <c r="X314" s="415"/>
      <c r="Y314" s="415"/>
      <c r="Z314" s="415"/>
      <c r="AA314" s="415"/>
    </row>
    <row r="315">
      <c r="A315" s="415"/>
      <c r="B315" s="415"/>
      <c r="C315" s="415"/>
      <c r="D315" s="415"/>
      <c r="E315" s="415"/>
      <c r="F315" s="415"/>
      <c r="G315" s="415"/>
      <c r="H315" s="415"/>
      <c r="I315" s="415"/>
      <c r="J315" s="415"/>
      <c r="K315" s="415"/>
      <c r="L315" s="415"/>
      <c r="M315" s="415"/>
      <c r="N315" s="415"/>
      <c r="O315" s="415"/>
      <c r="P315" s="415"/>
      <c r="Q315" s="415"/>
      <c r="R315" s="415"/>
      <c r="S315" s="415"/>
      <c r="T315" s="415"/>
      <c r="U315" s="415"/>
      <c r="V315" s="415"/>
      <c r="W315" s="415"/>
      <c r="X315" s="415"/>
      <c r="Y315" s="415"/>
      <c r="Z315" s="415"/>
      <c r="AA315" s="415"/>
    </row>
    <row r="316">
      <c r="A316" s="415"/>
      <c r="B316" s="415"/>
      <c r="C316" s="415"/>
      <c r="D316" s="415"/>
      <c r="E316" s="415"/>
      <c r="F316" s="415"/>
      <c r="G316" s="415"/>
      <c r="H316" s="415"/>
      <c r="I316" s="415"/>
      <c r="J316" s="415"/>
      <c r="K316" s="415"/>
      <c r="L316" s="415"/>
      <c r="M316" s="415"/>
      <c r="N316" s="415"/>
      <c r="O316" s="415"/>
      <c r="P316" s="415"/>
      <c r="Q316" s="415"/>
      <c r="R316" s="415"/>
      <c r="S316" s="415"/>
      <c r="T316" s="415"/>
      <c r="U316" s="415"/>
      <c r="V316" s="415"/>
      <c r="W316" s="415"/>
      <c r="X316" s="415"/>
      <c r="Y316" s="415"/>
      <c r="Z316" s="415"/>
      <c r="AA316" s="415"/>
    </row>
    <row r="317">
      <c r="A317" s="415"/>
      <c r="B317" s="415"/>
      <c r="C317" s="415"/>
      <c r="D317" s="415"/>
      <c r="E317" s="415"/>
      <c r="F317" s="415"/>
      <c r="G317" s="415"/>
      <c r="H317" s="415"/>
      <c r="I317" s="415"/>
      <c r="J317" s="415"/>
      <c r="K317" s="415"/>
      <c r="L317" s="415"/>
      <c r="M317" s="415"/>
      <c r="N317" s="415"/>
      <c r="O317" s="415"/>
      <c r="P317" s="415"/>
      <c r="Q317" s="415"/>
      <c r="R317" s="415"/>
      <c r="S317" s="415"/>
      <c r="T317" s="415"/>
      <c r="U317" s="415"/>
      <c r="V317" s="415"/>
      <c r="W317" s="415"/>
      <c r="X317" s="415"/>
      <c r="Y317" s="415"/>
      <c r="Z317" s="415"/>
      <c r="AA317" s="415"/>
    </row>
    <row r="318">
      <c r="A318" s="415"/>
      <c r="B318" s="415"/>
      <c r="C318" s="415"/>
      <c r="D318" s="415"/>
      <c r="E318" s="415"/>
      <c r="F318" s="415"/>
      <c r="G318" s="415"/>
      <c r="H318" s="415"/>
      <c r="I318" s="415"/>
      <c r="J318" s="415"/>
      <c r="K318" s="415"/>
      <c r="L318" s="415"/>
      <c r="M318" s="415"/>
      <c r="N318" s="415"/>
      <c r="O318" s="415"/>
      <c r="P318" s="415"/>
      <c r="Q318" s="415"/>
      <c r="R318" s="415"/>
      <c r="S318" s="415"/>
      <c r="T318" s="415"/>
      <c r="U318" s="415"/>
      <c r="V318" s="415"/>
      <c r="W318" s="415"/>
      <c r="X318" s="415"/>
      <c r="Y318" s="415"/>
      <c r="Z318" s="415"/>
      <c r="AA318" s="415"/>
    </row>
    <row r="319">
      <c r="A319" s="415"/>
      <c r="B319" s="415"/>
      <c r="C319" s="415"/>
      <c r="D319" s="415"/>
      <c r="E319" s="415"/>
      <c r="F319" s="415"/>
      <c r="G319" s="415"/>
      <c r="H319" s="415"/>
      <c r="I319" s="415"/>
      <c r="J319" s="415"/>
      <c r="K319" s="415"/>
      <c r="L319" s="415"/>
      <c r="M319" s="415"/>
      <c r="N319" s="415"/>
      <c r="O319" s="415"/>
      <c r="P319" s="415"/>
      <c r="Q319" s="415"/>
      <c r="R319" s="415"/>
      <c r="S319" s="415"/>
      <c r="T319" s="415"/>
      <c r="U319" s="415"/>
      <c r="V319" s="415"/>
      <c r="W319" s="415"/>
      <c r="X319" s="415"/>
      <c r="Y319" s="415"/>
      <c r="Z319" s="415"/>
      <c r="AA319" s="415"/>
    </row>
    <row r="320">
      <c r="A320" s="415"/>
      <c r="B320" s="415"/>
      <c r="C320" s="415"/>
      <c r="D320" s="415"/>
      <c r="E320" s="415"/>
      <c r="F320" s="415"/>
      <c r="G320" s="415"/>
      <c r="H320" s="415"/>
      <c r="I320" s="415"/>
      <c r="J320" s="415"/>
      <c r="K320" s="415"/>
      <c r="L320" s="415"/>
      <c r="M320" s="415"/>
      <c r="N320" s="415"/>
      <c r="O320" s="415"/>
      <c r="P320" s="415"/>
      <c r="Q320" s="415"/>
      <c r="R320" s="415"/>
      <c r="S320" s="415"/>
      <c r="T320" s="415"/>
      <c r="U320" s="415"/>
      <c r="V320" s="415"/>
      <c r="W320" s="415"/>
      <c r="X320" s="415"/>
      <c r="Y320" s="415"/>
      <c r="Z320" s="415"/>
      <c r="AA320" s="415"/>
    </row>
    <row r="321">
      <c r="A321" s="415"/>
      <c r="B321" s="415"/>
      <c r="C321" s="415"/>
      <c r="D321" s="415"/>
      <c r="E321" s="415"/>
      <c r="F321" s="415"/>
      <c r="G321" s="415"/>
      <c r="H321" s="415"/>
      <c r="I321" s="415"/>
      <c r="J321" s="415"/>
      <c r="K321" s="415"/>
      <c r="L321" s="415"/>
      <c r="M321" s="415"/>
      <c r="N321" s="415"/>
      <c r="O321" s="415"/>
      <c r="P321" s="415"/>
      <c r="Q321" s="415"/>
      <c r="R321" s="415"/>
      <c r="S321" s="415"/>
      <c r="T321" s="415"/>
      <c r="U321" s="415"/>
      <c r="V321" s="415"/>
      <c r="W321" s="415"/>
      <c r="X321" s="415"/>
      <c r="Y321" s="415"/>
      <c r="Z321" s="415"/>
      <c r="AA321" s="415"/>
    </row>
    <row r="322">
      <c r="A322" s="415"/>
      <c r="B322" s="415"/>
      <c r="C322" s="415"/>
      <c r="D322" s="415"/>
      <c r="E322" s="415"/>
      <c r="F322" s="415"/>
      <c r="G322" s="415"/>
      <c r="H322" s="415"/>
      <c r="I322" s="415"/>
      <c r="J322" s="415"/>
      <c r="K322" s="415"/>
      <c r="L322" s="415"/>
      <c r="M322" s="415"/>
      <c r="N322" s="415"/>
      <c r="O322" s="415"/>
      <c r="P322" s="415"/>
      <c r="Q322" s="415"/>
      <c r="R322" s="415"/>
      <c r="S322" s="415"/>
      <c r="T322" s="415"/>
      <c r="U322" s="415"/>
      <c r="V322" s="415"/>
      <c r="W322" s="415"/>
      <c r="X322" s="415"/>
      <c r="Y322" s="415"/>
      <c r="Z322" s="415"/>
      <c r="AA322" s="415"/>
    </row>
    <row r="323">
      <c r="A323" s="415"/>
      <c r="B323" s="415"/>
      <c r="C323" s="415"/>
      <c r="D323" s="415"/>
      <c r="E323" s="415"/>
      <c r="F323" s="415"/>
      <c r="G323" s="415"/>
      <c r="H323" s="415"/>
      <c r="I323" s="415"/>
      <c r="J323" s="415"/>
      <c r="K323" s="415"/>
      <c r="L323" s="415"/>
      <c r="M323" s="415"/>
      <c r="N323" s="415"/>
      <c r="O323" s="415"/>
      <c r="P323" s="415"/>
      <c r="Q323" s="415"/>
      <c r="R323" s="415"/>
      <c r="S323" s="415"/>
      <c r="T323" s="415"/>
      <c r="U323" s="415"/>
      <c r="V323" s="415"/>
      <c r="W323" s="415"/>
      <c r="X323" s="415"/>
      <c r="Y323" s="415"/>
      <c r="Z323" s="415"/>
      <c r="AA323" s="415"/>
    </row>
    <row r="324">
      <c r="A324" s="415"/>
      <c r="B324" s="415"/>
      <c r="C324" s="415"/>
      <c r="D324" s="415"/>
      <c r="E324" s="415"/>
      <c r="F324" s="415"/>
      <c r="G324" s="415"/>
      <c r="H324" s="415"/>
      <c r="I324" s="415"/>
      <c r="J324" s="415"/>
      <c r="K324" s="415"/>
      <c r="L324" s="415"/>
      <c r="M324" s="415"/>
      <c r="N324" s="415"/>
      <c r="O324" s="415"/>
      <c r="P324" s="415"/>
      <c r="Q324" s="415"/>
      <c r="R324" s="415"/>
      <c r="S324" s="415"/>
      <c r="T324" s="415"/>
      <c r="U324" s="415"/>
      <c r="V324" s="415"/>
      <c r="W324" s="415"/>
      <c r="X324" s="415"/>
      <c r="Y324" s="415"/>
      <c r="Z324" s="415"/>
      <c r="AA324" s="415"/>
    </row>
    <row r="325">
      <c r="A325" s="415"/>
      <c r="B325" s="415"/>
      <c r="C325" s="415"/>
      <c r="D325" s="415"/>
      <c r="E325" s="415"/>
      <c r="F325" s="415"/>
      <c r="G325" s="415"/>
      <c r="H325" s="415"/>
      <c r="I325" s="415"/>
      <c r="J325" s="415"/>
      <c r="K325" s="415"/>
      <c r="L325" s="415"/>
      <c r="M325" s="415"/>
      <c r="N325" s="415"/>
      <c r="O325" s="415"/>
      <c r="P325" s="415"/>
      <c r="Q325" s="415"/>
      <c r="R325" s="415"/>
      <c r="S325" s="415"/>
      <c r="T325" s="415"/>
      <c r="U325" s="415"/>
      <c r="V325" s="415"/>
      <c r="W325" s="415"/>
      <c r="X325" s="415"/>
      <c r="Y325" s="415"/>
      <c r="Z325" s="415"/>
      <c r="AA325" s="415"/>
    </row>
    <row r="326">
      <c r="A326" s="415"/>
      <c r="B326" s="415"/>
      <c r="C326" s="415"/>
      <c r="D326" s="415"/>
      <c r="E326" s="415"/>
      <c r="F326" s="415"/>
      <c r="G326" s="415"/>
      <c r="H326" s="415"/>
      <c r="I326" s="415"/>
      <c r="J326" s="415"/>
      <c r="K326" s="415"/>
      <c r="L326" s="415"/>
      <c r="M326" s="415"/>
      <c r="N326" s="415"/>
      <c r="O326" s="415"/>
      <c r="P326" s="415"/>
      <c r="Q326" s="415"/>
      <c r="R326" s="415"/>
      <c r="S326" s="415"/>
      <c r="T326" s="415"/>
      <c r="U326" s="415"/>
      <c r="V326" s="415"/>
      <c r="W326" s="415"/>
      <c r="X326" s="415"/>
      <c r="Y326" s="415"/>
      <c r="Z326" s="415"/>
      <c r="AA326" s="415"/>
    </row>
    <row r="327">
      <c r="A327" s="415"/>
      <c r="B327" s="415"/>
      <c r="C327" s="415"/>
      <c r="D327" s="415"/>
      <c r="E327" s="415"/>
      <c r="F327" s="415"/>
      <c r="G327" s="415"/>
      <c r="H327" s="415"/>
      <c r="I327" s="415"/>
      <c r="J327" s="415"/>
      <c r="K327" s="415"/>
      <c r="L327" s="415"/>
      <c r="M327" s="415"/>
      <c r="N327" s="415"/>
      <c r="O327" s="415"/>
      <c r="P327" s="415"/>
      <c r="Q327" s="415"/>
      <c r="R327" s="415"/>
      <c r="S327" s="415"/>
      <c r="T327" s="415"/>
      <c r="U327" s="415"/>
      <c r="V327" s="415"/>
      <c r="W327" s="415"/>
      <c r="X327" s="415"/>
      <c r="Y327" s="415"/>
      <c r="Z327" s="415"/>
      <c r="AA327" s="415"/>
    </row>
    <row r="328">
      <c r="A328" s="415"/>
      <c r="B328" s="415"/>
      <c r="C328" s="415"/>
      <c r="D328" s="415"/>
      <c r="E328" s="415"/>
      <c r="F328" s="415"/>
      <c r="G328" s="415"/>
      <c r="H328" s="415"/>
      <c r="I328" s="415"/>
      <c r="J328" s="415"/>
      <c r="K328" s="415"/>
      <c r="L328" s="415"/>
      <c r="M328" s="415"/>
      <c r="N328" s="415"/>
      <c r="O328" s="415"/>
      <c r="P328" s="415"/>
      <c r="Q328" s="415"/>
      <c r="R328" s="415"/>
      <c r="S328" s="415"/>
      <c r="T328" s="415"/>
      <c r="U328" s="415"/>
      <c r="V328" s="415"/>
      <c r="W328" s="415"/>
      <c r="X328" s="415"/>
      <c r="Y328" s="415"/>
      <c r="Z328" s="415"/>
      <c r="AA328" s="415"/>
    </row>
    <row r="329">
      <c r="A329" s="415"/>
      <c r="B329" s="415"/>
      <c r="C329" s="415"/>
      <c r="D329" s="415"/>
      <c r="E329" s="415"/>
      <c r="F329" s="415"/>
      <c r="G329" s="415"/>
      <c r="H329" s="415"/>
      <c r="I329" s="415"/>
      <c r="J329" s="415"/>
      <c r="K329" s="415"/>
      <c r="L329" s="415"/>
      <c r="M329" s="415"/>
      <c r="N329" s="415"/>
      <c r="O329" s="415"/>
      <c r="P329" s="415"/>
      <c r="Q329" s="415"/>
      <c r="R329" s="415"/>
      <c r="S329" s="415"/>
      <c r="T329" s="415"/>
      <c r="U329" s="415"/>
      <c r="V329" s="415"/>
      <c r="W329" s="415"/>
      <c r="X329" s="415"/>
      <c r="Y329" s="415"/>
      <c r="Z329" s="415"/>
      <c r="AA329" s="415"/>
    </row>
    <row r="330">
      <c r="A330" s="415"/>
      <c r="B330" s="415"/>
      <c r="C330" s="415"/>
      <c r="D330" s="415"/>
      <c r="E330" s="415"/>
      <c r="F330" s="415"/>
      <c r="G330" s="415"/>
      <c r="H330" s="415"/>
      <c r="I330" s="415"/>
      <c r="J330" s="415"/>
      <c r="K330" s="415"/>
      <c r="L330" s="415"/>
      <c r="M330" s="415"/>
      <c r="N330" s="415"/>
      <c r="O330" s="415"/>
      <c r="P330" s="415"/>
      <c r="Q330" s="415"/>
      <c r="R330" s="415"/>
      <c r="S330" s="415"/>
      <c r="T330" s="415"/>
      <c r="U330" s="415"/>
      <c r="V330" s="415"/>
      <c r="W330" s="415"/>
      <c r="X330" s="415"/>
      <c r="Y330" s="415"/>
      <c r="Z330" s="415"/>
      <c r="AA330" s="415"/>
    </row>
    <row r="331">
      <c r="A331" s="415"/>
      <c r="B331" s="415"/>
      <c r="C331" s="415"/>
      <c r="D331" s="415"/>
      <c r="E331" s="415"/>
      <c r="F331" s="415"/>
      <c r="G331" s="415"/>
      <c r="H331" s="415"/>
      <c r="I331" s="415"/>
      <c r="J331" s="415"/>
      <c r="K331" s="415"/>
      <c r="L331" s="415"/>
      <c r="M331" s="415"/>
      <c r="N331" s="415"/>
      <c r="O331" s="415"/>
      <c r="P331" s="415"/>
      <c r="Q331" s="415"/>
      <c r="R331" s="415"/>
      <c r="S331" s="415"/>
      <c r="T331" s="415"/>
      <c r="U331" s="415"/>
      <c r="V331" s="415"/>
      <c r="W331" s="415"/>
      <c r="X331" s="415"/>
      <c r="Y331" s="415"/>
      <c r="Z331" s="415"/>
      <c r="AA331" s="415"/>
    </row>
    <row r="332">
      <c r="A332" s="415"/>
      <c r="B332" s="415"/>
      <c r="C332" s="415"/>
      <c r="D332" s="415"/>
      <c r="E332" s="415"/>
      <c r="F332" s="415"/>
      <c r="G332" s="415"/>
      <c r="H332" s="415"/>
      <c r="I332" s="415"/>
      <c r="J332" s="415"/>
      <c r="K332" s="415"/>
      <c r="L332" s="415"/>
      <c r="M332" s="415"/>
      <c r="N332" s="415"/>
      <c r="O332" s="415"/>
      <c r="P332" s="415"/>
      <c r="Q332" s="415"/>
      <c r="R332" s="415"/>
      <c r="S332" s="415"/>
      <c r="T332" s="415"/>
      <c r="U332" s="415"/>
      <c r="V332" s="415"/>
      <c r="W332" s="415"/>
      <c r="X332" s="415"/>
      <c r="Y332" s="415"/>
      <c r="Z332" s="415"/>
      <c r="AA332" s="415"/>
    </row>
    <row r="333">
      <c r="A333" s="415"/>
      <c r="B333" s="415"/>
      <c r="C333" s="415"/>
      <c r="D333" s="415"/>
      <c r="E333" s="415"/>
      <c r="F333" s="415"/>
      <c r="G333" s="415"/>
      <c r="H333" s="415"/>
      <c r="I333" s="415"/>
      <c r="J333" s="415"/>
      <c r="K333" s="415"/>
      <c r="L333" s="415"/>
      <c r="M333" s="415"/>
      <c r="N333" s="415"/>
      <c r="O333" s="415"/>
      <c r="P333" s="415"/>
      <c r="Q333" s="415"/>
      <c r="R333" s="415"/>
      <c r="S333" s="415"/>
      <c r="T333" s="415"/>
      <c r="U333" s="415"/>
      <c r="V333" s="415"/>
      <c r="W333" s="415"/>
      <c r="X333" s="415"/>
      <c r="Y333" s="415"/>
      <c r="Z333" s="415"/>
      <c r="AA333" s="415"/>
    </row>
    <row r="334">
      <c r="A334" s="415"/>
      <c r="B334" s="415"/>
      <c r="C334" s="415"/>
      <c r="D334" s="415"/>
      <c r="E334" s="415"/>
      <c r="F334" s="415"/>
      <c r="G334" s="415"/>
      <c r="H334" s="415"/>
      <c r="I334" s="415"/>
      <c r="J334" s="415"/>
      <c r="K334" s="415"/>
      <c r="L334" s="415"/>
      <c r="M334" s="415"/>
      <c r="N334" s="415"/>
      <c r="O334" s="415"/>
      <c r="P334" s="415"/>
      <c r="Q334" s="415"/>
      <c r="R334" s="415"/>
      <c r="S334" s="415"/>
      <c r="T334" s="415"/>
      <c r="U334" s="415"/>
      <c r="V334" s="415"/>
      <c r="W334" s="415"/>
      <c r="X334" s="415"/>
      <c r="Y334" s="415"/>
      <c r="Z334" s="415"/>
      <c r="AA334" s="415"/>
    </row>
    <row r="335">
      <c r="A335" s="415"/>
      <c r="B335" s="415"/>
      <c r="C335" s="415"/>
      <c r="D335" s="415"/>
      <c r="E335" s="415"/>
      <c r="F335" s="415"/>
      <c r="G335" s="415"/>
      <c r="H335" s="415"/>
      <c r="I335" s="415"/>
      <c r="J335" s="415"/>
      <c r="K335" s="415"/>
      <c r="L335" s="415"/>
      <c r="M335" s="415"/>
      <c r="N335" s="415"/>
      <c r="O335" s="415"/>
      <c r="P335" s="415"/>
      <c r="Q335" s="415"/>
      <c r="R335" s="415"/>
      <c r="S335" s="415"/>
      <c r="T335" s="415"/>
      <c r="U335" s="415"/>
      <c r="V335" s="415"/>
      <c r="W335" s="415"/>
      <c r="X335" s="415"/>
      <c r="Y335" s="415"/>
      <c r="Z335" s="415"/>
      <c r="AA335" s="415"/>
    </row>
    <row r="336">
      <c r="A336" s="415"/>
      <c r="B336" s="415"/>
      <c r="C336" s="415"/>
      <c r="D336" s="415"/>
      <c r="E336" s="415"/>
      <c r="F336" s="415"/>
      <c r="G336" s="415"/>
      <c r="H336" s="415"/>
      <c r="I336" s="415"/>
      <c r="J336" s="415"/>
      <c r="K336" s="415"/>
      <c r="L336" s="415"/>
      <c r="M336" s="415"/>
      <c r="N336" s="415"/>
      <c r="O336" s="415"/>
      <c r="P336" s="415"/>
      <c r="Q336" s="415"/>
      <c r="R336" s="415"/>
      <c r="S336" s="415"/>
      <c r="T336" s="415"/>
      <c r="U336" s="415"/>
      <c r="V336" s="415"/>
      <c r="W336" s="415"/>
      <c r="X336" s="415"/>
      <c r="Y336" s="415"/>
      <c r="Z336" s="415"/>
      <c r="AA336" s="415"/>
    </row>
    <row r="337">
      <c r="A337" s="415"/>
      <c r="B337" s="415"/>
      <c r="C337" s="415"/>
      <c r="D337" s="415"/>
      <c r="E337" s="415"/>
      <c r="F337" s="415"/>
      <c r="G337" s="415"/>
      <c r="H337" s="415"/>
      <c r="I337" s="415"/>
      <c r="J337" s="415"/>
      <c r="K337" s="415"/>
      <c r="L337" s="415"/>
      <c r="M337" s="415"/>
      <c r="N337" s="415"/>
      <c r="O337" s="415"/>
      <c r="P337" s="415"/>
      <c r="Q337" s="415"/>
      <c r="R337" s="415"/>
      <c r="S337" s="415"/>
      <c r="T337" s="415"/>
      <c r="U337" s="415"/>
      <c r="V337" s="415"/>
      <c r="W337" s="415"/>
      <c r="X337" s="415"/>
      <c r="Y337" s="415"/>
      <c r="Z337" s="415"/>
      <c r="AA337" s="415"/>
    </row>
    <row r="338">
      <c r="A338" s="415"/>
      <c r="B338" s="415"/>
      <c r="C338" s="415"/>
      <c r="D338" s="415"/>
      <c r="E338" s="415"/>
      <c r="F338" s="415"/>
      <c r="G338" s="415"/>
      <c r="H338" s="415"/>
      <c r="I338" s="415"/>
      <c r="J338" s="415"/>
      <c r="K338" s="415"/>
      <c r="L338" s="415"/>
      <c r="M338" s="415"/>
      <c r="N338" s="415"/>
      <c r="O338" s="415"/>
      <c r="P338" s="415"/>
      <c r="Q338" s="415"/>
      <c r="R338" s="415"/>
      <c r="S338" s="415"/>
      <c r="T338" s="415"/>
      <c r="U338" s="415"/>
      <c r="V338" s="415"/>
      <c r="W338" s="415"/>
      <c r="X338" s="415"/>
      <c r="Y338" s="415"/>
      <c r="Z338" s="415"/>
      <c r="AA338" s="415"/>
    </row>
    <row r="339">
      <c r="A339" s="415"/>
      <c r="B339" s="415"/>
      <c r="C339" s="415"/>
      <c r="D339" s="415"/>
      <c r="E339" s="415"/>
      <c r="F339" s="415"/>
      <c r="G339" s="415"/>
      <c r="H339" s="415"/>
      <c r="I339" s="415"/>
      <c r="J339" s="415"/>
      <c r="K339" s="415"/>
      <c r="L339" s="415"/>
      <c r="M339" s="415"/>
      <c r="N339" s="415"/>
      <c r="O339" s="415"/>
      <c r="P339" s="415"/>
      <c r="Q339" s="415"/>
      <c r="R339" s="415"/>
      <c r="S339" s="415"/>
      <c r="T339" s="415"/>
      <c r="U339" s="415"/>
      <c r="V339" s="415"/>
      <c r="W339" s="415"/>
      <c r="X339" s="415"/>
      <c r="Y339" s="415"/>
      <c r="Z339" s="415"/>
      <c r="AA339" s="415"/>
    </row>
    <row r="340">
      <c r="A340" s="415"/>
      <c r="B340" s="415"/>
      <c r="C340" s="415"/>
      <c r="D340" s="415"/>
      <c r="E340" s="415"/>
      <c r="F340" s="415"/>
      <c r="G340" s="415"/>
      <c r="H340" s="415"/>
      <c r="I340" s="415"/>
      <c r="J340" s="415"/>
      <c r="K340" s="415"/>
      <c r="L340" s="415"/>
      <c r="M340" s="415"/>
      <c r="N340" s="415"/>
      <c r="O340" s="415"/>
      <c r="P340" s="415"/>
      <c r="Q340" s="415"/>
      <c r="R340" s="415"/>
      <c r="S340" s="415"/>
      <c r="T340" s="415"/>
      <c r="U340" s="415"/>
      <c r="V340" s="415"/>
      <c r="W340" s="415"/>
      <c r="X340" s="415"/>
      <c r="Y340" s="415"/>
      <c r="Z340" s="415"/>
      <c r="AA340" s="415"/>
    </row>
    <row r="341">
      <c r="A341" s="415"/>
      <c r="B341" s="415"/>
      <c r="C341" s="415"/>
      <c r="D341" s="415"/>
      <c r="E341" s="415"/>
      <c r="F341" s="415"/>
      <c r="G341" s="415"/>
      <c r="H341" s="415"/>
      <c r="I341" s="415"/>
      <c r="J341" s="415"/>
      <c r="K341" s="415"/>
      <c r="L341" s="415"/>
      <c r="M341" s="415"/>
      <c r="N341" s="415"/>
      <c r="O341" s="415"/>
      <c r="P341" s="415"/>
      <c r="Q341" s="415"/>
      <c r="R341" s="415"/>
      <c r="S341" s="415"/>
      <c r="T341" s="415"/>
      <c r="U341" s="415"/>
      <c r="V341" s="415"/>
      <c r="W341" s="415"/>
      <c r="X341" s="415"/>
      <c r="Y341" s="415"/>
      <c r="Z341" s="415"/>
      <c r="AA341" s="415"/>
    </row>
    <row r="342">
      <c r="A342" s="415"/>
      <c r="B342" s="415"/>
      <c r="C342" s="415"/>
      <c r="D342" s="415"/>
      <c r="E342" s="415"/>
      <c r="F342" s="415"/>
      <c r="G342" s="415"/>
      <c r="H342" s="415"/>
      <c r="I342" s="415"/>
      <c r="J342" s="415"/>
      <c r="K342" s="415"/>
      <c r="L342" s="415"/>
      <c r="M342" s="415"/>
      <c r="N342" s="415"/>
      <c r="O342" s="415"/>
      <c r="P342" s="415"/>
      <c r="Q342" s="415"/>
      <c r="R342" s="415"/>
      <c r="S342" s="415"/>
      <c r="T342" s="415"/>
      <c r="U342" s="415"/>
      <c r="V342" s="415"/>
      <c r="W342" s="415"/>
      <c r="X342" s="415"/>
      <c r="Y342" s="415"/>
      <c r="Z342" s="415"/>
      <c r="AA342" s="415"/>
    </row>
    <row r="343">
      <c r="A343" s="415"/>
      <c r="B343" s="415"/>
      <c r="C343" s="415"/>
      <c r="D343" s="415"/>
      <c r="E343" s="415"/>
      <c r="F343" s="415"/>
      <c r="G343" s="415"/>
      <c r="H343" s="415"/>
      <c r="I343" s="415"/>
      <c r="J343" s="415"/>
      <c r="K343" s="415"/>
      <c r="L343" s="415"/>
      <c r="M343" s="415"/>
      <c r="N343" s="415"/>
      <c r="O343" s="415"/>
      <c r="P343" s="415"/>
      <c r="Q343" s="415"/>
      <c r="R343" s="415"/>
      <c r="S343" s="415"/>
      <c r="T343" s="415"/>
      <c r="U343" s="415"/>
      <c r="V343" s="415"/>
      <c r="W343" s="415"/>
      <c r="X343" s="415"/>
      <c r="Y343" s="415"/>
      <c r="Z343" s="415"/>
      <c r="AA343" s="415"/>
    </row>
    <row r="344">
      <c r="A344" s="415"/>
      <c r="B344" s="415"/>
      <c r="C344" s="415"/>
      <c r="D344" s="415"/>
      <c r="E344" s="415"/>
      <c r="F344" s="415"/>
      <c r="G344" s="415"/>
      <c r="H344" s="415"/>
      <c r="I344" s="415"/>
      <c r="J344" s="415"/>
      <c r="K344" s="415"/>
      <c r="L344" s="415"/>
      <c r="M344" s="415"/>
      <c r="N344" s="415"/>
      <c r="O344" s="415"/>
      <c r="P344" s="415"/>
      <c r="Q344" s="415"/>
      <c r="R344" s="415"/>
      <c r="S344" s="415"/>
      <c r="T344" s="415"/>
      <c r="U344" s="415"/>
      <c r="V344" s="415"/>
      <c r="W344" s="415"/>
      <c r="X344" s="415"/>
      <c r="Y344" s="415"/>
      <c r="Z344" s="415"/>
      <c r="AA344" s="415"/>
    </row>
    <row r="345">
      <c r="A345" s="415"/>
      <c r="B345" s="415"/>
      <c r="C345" s="415"/>
      <c r="D345" s="415"/>
      <c r="E345" s="415"/>
      <c r="F345" s="415"/>
      <c r="G345" s="415"/>
      <c r="H345" s="415"/>
      <c r="I345" s="415"/>
      <c r="J345" s="415"/>
      <c r="K345" s="415"/>
      <c r="L345" s="415"/>
      <c r="M345" s="415"/>
      <c r="N345" s="415"/>
      <c r="O345" s="415"/>
      <c r="P345" s="415"/>
      <c r="Q345" s="415"/>
      <c r="R345" s="415"/>
      <c r="S345" s="415"/>
      <c r="T345" s="415"/>
      <c r="U345" s="415"/>
      <c r="V345" s="415"/>
      <c r="W345" s="415"/>
      <c r="X345" s="415"/>
      <c r="Y345" s="415"/>
      <c r="Z345" s="415"/>
      <c r="AA345" s="415"/>
    </row>
    <row r="346">
      <c r="A346" s="415"/>
      <c r="B346" s="415"/>
      <c r="C346" s="415"/>
      <c r="D346" s="415"/>
      <c r="E346" s="415"/>
      <c r="F346" s="415"/>
      <c r="G346" s="415"/>
      <c r="H346" s="415"/>
      <c r="I346" s="415"/>
      <c r="J346" s="415"/>
      <c r="K346" s="415"/>
      <c r="L346" s="415"/>
      <c r="M346" s="415"/>
      <c r="N346" s="415"/>
      <c r="O346" s="415"/>
      <c r="P346" s="415"/>
      <c r="Q346" s="415"/>
      <c r="R346" s="415"/>
      <c r="S346" s="415"/>
      <c r="T346" s="415"/>
      <c r="U346" s="415"/>
      <c r="V346" s="415"/>
      <c r="W346" s="415"/>
      <c r="X346" s="415"/>
      <c r="Y346" s="415"/>
      <c r="Z346" s="415"/>
      <c r="AA346" s="415"/>
    </row>
    <row r="347">
      <c r="A347" s="415"/>
      <c r="B347" s="415"/>
      <c r="C347" s="415"/>
      <c r="D347" s="415"/>
      <c r="E347" s="415"/>
      <c r="F347" s="415"/>
      <c r="G347" s="415"/>
      <c r="H347" s="415"/>
      <c r="I347" s="415"/>
      <c r="J347" s="415"/>
      <c r="K347" s="415"/>
      <c r="L347" s="415"/>
      <c r="M347" s="415"/>
      <c r="N347" s="415"/>
      <c r="O347" s="415"/>
      <c r="P347" s="415"/>
      <c r="Q347" s="415"/>
      <c r="R347" s="415"/>
      <c r="S347" s="415"/>
      <c r="T347" s="415"/>
      <c r="U347" s="415"/>
      <c r="V347" s="415"/>
      <c r="W347" s="415"/>
      <c r="X347" s="415"/>
      <c r="Y347" s="415"/>
      <c r="Z347" s="415"/>
      <c r="AA347" s="415"/>
    </row>
    <row r="348">
      <c r="A348" s="415"/>
      <c r="B348" s="415"/>
      <c r="C348" s="415"/>
      <c r="D348" s="415"/>
      <c r="E348" s="415"/>
      <c r="F348" s="415"/>
      <c r="G348" s="415"/>
      <c r="H348" s="415"/>
      <c r="I348" s="415"/>
      <c r="J348" s="415"/>
      <c r="K348" s="415"/>
      <c r="L348" s="415"/>
      <c r="M348" s="415"/>
      <c r="N348" s="415"/>
      <c r="O348" s="415"/>
      <c r="P348" s="415"/>
      <c r="Q348" s="415"/>
      <c r="R348" s="415"/>
      <c r="S348" s="415"/>
      <c r="T348" s="415"/>
      <c r="U348" s="415"/>
      <c r="V348" s="415"/>
      <c r="W348" s="415"/>
      <c r="X348" s="415"/>
      <c r="Y348" s="415"/>
      <c r="Z348" s="415"/>
      <c r="AA348" s="415"/>
    </row>
    <row r="349">
      <c r="A349" s="415"/>
      <c r="B349" s="415"/>
      <c r="C349" s="415"/>
      <c r="D349" s="415"/>
      <c r="E349" s="415"/>
      <c r="F349" s="415"/>
      <c r="G349" s="415"/>
      <c r="H349" s="415"/>
      <c r="I349" s="415"/>
      <c r="J349" s="415"/>
      <c r="K349" s="415"/>
      <c r="L349" s="415"/>
      <c r="M349" s="415"/>
      <c r="N349" s="415"/>
      <c r="O349" s="415"/>
      <c r="P349" s="415"/>
      <c r="Q349" s="415"/>
      <c r="R349" s="415"/>
      <c r="S349" s="415"/>
      <c r="T349" s="415"/>
      <c r="U349" s="415"/>
      <c r="V349" s="415"/>
      <c r="W349" s="415"/>
      <c r="X349" s="415"/>
      <c r="Y349" s="415"/>
      <c r="Z349" s="415"/>
      <c r="AA349" s="415"/>
    </row>
    <row r="350">
      <c r="A350" s="415"/>
      <c r="B350" s="415"/>
      <c r="C350" s="415"/>
      <c r="D350" s="415"/>
      <c r="E350" s="415"/>
      <c r="F350" s="415"/>
      <c r="G350" s="415"/>
      <c r="H350" s="415"/>
      <c r="I350" s="415"/>
      <c r="J350" s="415"/>
      <c r="K350" s="415"/>
      <c r="L350" s="415"/>
      <c r="M350" s="415"/>
      <c r="N350" s="415"/>
      <c r="O350" s="415"/>
      <c r="P350" s="415"/>
      <c r="Q350" s="415"/>
      <c r="R350" s="415"/>
      <c r="S350" s="415"/>
      <c r="T350" s="415"/>
      <c r="U350" s="415"/>
      <c r="V350" s="415"/>
      <c r="W350" s="415"/>
      <c r="X350" s="415"/>
      <c r="Y350" s="415"/>
      <c r="Z350" s="415"/>
      <c r="AA350" s="415"/>
    </row>
    <row r="351">
      <c r="A351" s="415"/>
      <c r="B351" s="415"/>
      <c r="C351" s="415"/>
      <c r="D351" s="415"/>
      <c r="E351" s="415"/>
      <c r="F351" s="415"/>
      <c r="G351" s="415"/>
      <c r="H351" s="415"/>
      <c r="I351" s="415"/>
      <c r="J351" s="415"/>
      <c r="K351" s="415"/>
      <c r="L351" s="415"/>
      <c r="M351" s="415"/>
      <c r="N351" s="415"/>
      <c r="O351" s="415"/>
      <c r="P351" s="415"/>
      <c r="Q351" s="415"/>
      <c r="R351" s="415"/>
      <c r="S351" s="415"/>
      <c r="T351" s="415"/>
      <c r="U351" s="415"/>
      <c r="V351" s="415"/>
      <c r="W351" s="415"/>
      <c r="X351" s="415"/>
      <c r="Y351" s="415"/>
      <c r="Z351" s="415"/>
      <c r="AA351" s="415"/>
    </row>
    <row r="352">
      <c r="A352" s="415"/>
      <c r="B352" s="415"/>
      <c r="C352" s="415"/>
      <c r="D352" s="415"/>
      <c r="E352" s="415"/>
      <c r="F352" s="415"/>
      <c r="G352" s="415"/>
      <c r="H352" s="415"/>
      <c r="I352" s="415"/>
      <c r="J352" s="415"/>
      <c r="K352" s="415"/>
      <c r="L352" s="415"/>
      <c r="M352" s="415"/>
      <c r="N352" s="415"/>
      <c r="O352" s="415"/>
      <c r="P352" s="415"/>
      <c r="Q352" s="415"/>
      <c r="R352" s="415"/>
      <c r="S352" s="415"/>
      <c r="T352" s="415"/>
      <c r="U352" s="415"/>
      <c r="V352" s="415"/>
      <c r="W352" s="415"/>
      <c r="X352" s="415"/>
      <c r="Y352" s="415"/>
      <c r="Z352" s="415"/>
      <c r="AA352" s="415"/>
    </row>
    <row r="353">
      <c r="A353" s="415"/>
      <c r="B353" s="415"/>
      <c r="C353" s="415"/>
      <c r="D353" s="415"/>
      <c r="E353" s="415"/>
      <c r="F353" s="415"/>
      <c r="G353" s="415"/>
      <c r="H353" s="415"/>
      <c r="I353" s="415"/>
      <c r="J353" s="415"/>
      <c r="K353" s="415"/>
      <c r="L353" s="415"/>
      <c r="M353" s="415"/>
      <c r="N353" s="415"/>
      <c r="O353" s="415"/>
      <c r="P353" s="415"/>
      <c r="Q353" s="415"/>
      <c r="R353" s="415"/>
      <c r="S353" s="415"/>
      <c r="T353" s="415"/>
      <c r="U353" s="415"/>
      <c r="V353" s="415"/>
      <c r="W353" s="415"/>
      <c r="X353" s="415"/>
      <c r="Y353" s="415"/>
      <c r="Z353" s="415"/>
      <c r="AA353" s="415"/>
    </row>
    <row r="354">
      <c r="A354" s="415"/>
      <c r="B354" s="415"/>
      <c r="C354" s="415"/>
      <c r="D354" s="415"/>
      <c r="E354" s="415"/>
      <c r="F354" s="415"/>
      <c r="G354" s="415"/>
      <c r="H354" s="415"/>
      <c r="I354" s="415"/>
      <c r="J354" s="415"/>
      <c r="K354" s="415"/>
      <c r="L354" s="415"/>
      <c r="M354" s="415"/>
      <c r="N354" s="415"/>
      <c r="O354" s="415"/>
      <c r="P354" s="415"/>
      <c r="Q354" s="415"/>
      <c r="R354" s="415"/>
      <c r="S354" s="415"/>
      <c r="T354" s="415"/>
      <c r="U354" s="415"/>
      <c r="V354" s="415"/>
      <c r="W354" s="415"/>
      <c r="X354" s="415"/>
      <c r="Y354" s="415"/>
      <c r="Z354" s="415"/>
      <c r="AA354" s="415"/>
    </row>
    <row r="355">
      <c r="A355" s="415"/>
      <c r="B355" s="415"/>
      <c r="C355" s="415"/>
      <c r="D355" s="415"/>
      <c r="E355" s="415"/>
      <c r="F355" s="415"/>
      <c r="G355" s="415"/>
      <c r="H355" s="415"/>
      <c r="I355" s="415"/>
      <c r="J355" s="415"/>
      <c r="K355" s="415"/>
      <c r="L355" s="415"/>
      <c r="M355" s="415"/>
      <c r="N355" s="415"/>
      <c r="O355" s="415"/>
      <c r="P355" s="415"/>
      <c r="Q355" s="415"/>
      <c r="R355" s="415"/>
      <c r="S355" s="415"/>
      <c r="T355" s="415"/>
      <c r="U355" s="415"/>
      <c r="V355" s="415"/>
      <c r="W355" s="415"/>
      <c r="X355" s="415"/>
      <c r="Y355" s="415"/>
      <c r="Z355" s="415"/>
      <c r="AA355" s="415"/>
    </row>
    <row r="356">
      <c r="A356" s="415"/>
      <c r="B356" s="415"/>
      <c r="C356" s="415"/>
      <c r="D356" s="415"/>
      <c r="E356" s="415"/>
      <c r="F356" s="415"/>
      <c r="G356" s="415"/>
      <c r="H356" s="415"/>
      <c r="I356" s="415"/>
      <c r="J356" s="415"/>
      <c r="K356" s="415"/>
      <c r="L356" s="415"/>
      <c r="M356" s="415"/>
      <c r="N356" s="415"/>
      <c r="O356" s="415"/>
      <c r="P356" s="415"/>
      <c r="Q356" s="415"/>
      <c r="R356" s="415"/>
      <c r="S356" s="415"/>
      <c r="T356" s="415"/>
      <c r="U356" s="415"/>
      <c r="V356" s="415"/>
      <c r="W356" s="415"/>
      <c r="X356" s="415"/>
      <c r="Y356" s="415"/>
      <c r="Z356" s="415"/>
      <c r="AA356" s="415"/>
    </row>
    <row r="357">
      <c r="A357" s="415"/>
      <c r="B357" s="415"/>
      <c r="C357" s="415"/>
      <c r="D357" s="415"/>
      <c r="E357" s="415"/>
      <c r="F357" s="415"/>
      <c r="G357" s="415"/>
      <c r="H357" s="415"/>
      <c r="I357" s="415"/>
      <c r="J357" s="415"/>
      <c r="K357" s="415"/>
      <c r="L357" s="415"/>
      <c r="M357" s="415"/>
      <c r="N357" s="415"/>
      <c r="O357" s="415"/>
      <c r="P357" s="415"/>
      <c r="Q357" s="415"/>
      <c r="R357" s="415"/>
      <c r="S357" s="415"/>
      <c r="T357" s="415"/>
      <c r="U357" s="415"/>
      <c r="V357" s="415"/>
      <c r="W357" s="415"/>
      <c r="X357" s="415"/>
      <c r="Y357" s="415"/>
      <c r="Z357" s="415"/>
      <c r="AA357" s="415"/>
    </row>
    <row r="358">
      <c r="A358" s="415"/>
      <c r="B358" s="415"/>
      <c r="C358" s="415"/>
      <c r="D358" s="415"/>
      <c r="E358" s="415"/>
      <c r="F358" s="415"/>
      <c r="G358" s="415"/>
      <c r="H358" s="415"/>
      <c r="I358" s="415"/>
      <c r="J358" s="415"/>
      <c r="K358" s="415"/>
      <c r="L358" s="415"/>
      <c r="M358" s="415"/>
      <c r="N358" s="415"/>
      <c r="O358" s="415"/>
      <c r="P358" s="415"/>
      <c r="Q358" s="415"/>
      <c r="R358" s="415"/>
      <c r="S358" s="415"/>
      <c r="T358" s="415"/>
      <c r="U358" s="415"/>
      <c r="V358" s="415"/>
      <c r="W358" s="415"/>
      <c r="X358" s="415"/>
      <c r="Y358" s="415"/>
      <c r="Z358" s="415"/>
      <c r="AA358" s="415"/>
    </row>
    <row r="359">
      <c r="A359" s="415"/>
      <c r="B359" s="415"/>
      <c r="C359" s="415"/>
      <c r="D359" s="415"/>
      <c r="E359" s="415"/>
      <c r="F359" s="415"/>
      <c r="G359" s="415"/>
      <c r="H359" s="415"/>
      <c r="I359" s="415"/>
      <c r="J359" s="415"/>
      <c r="K359" s="415"/>
      <c r="L359" s="415"/>
      <c r="M359" s="415"/>
      <c r="N359" s="415"/>
      <c r="O359" s="415"/>
      <c r="P359" s="415"/>
      <c r="Q359" s="415"/>
      <c r="R359" s="415"/>
      <c r="S359" s="415"/>
      <c r="T359" s="415"/>
      <c r="U359" s="415"/>
      <c r="V359" s="415"/>
      <c r="W359" s="415"/>
      <c r="X359" s="415"/>
      <c r="Y359" s="415"/>
      <c r="Z359" s="415"/>
      <c r="AA359" s="415"/>
    </row>
    <row r="360">
      <c r="A360" s="415"/>
      <c r="B360" s="415"/>
      <c r="C360" s="415"/>
      <c r="D360" s="415"/>
      <c r="E360" s="415"/>
      <c r="F360" s="415"/>
      <c r="G360" s="415"/>
      <c r="H360" s="415"/>
      <c r="I360" s="415"/>
      <c r="J360" s="415"/>
      <c r="K360" s="415"/>
      <c r="L360" s="415"/>
      <c r="M360" s="415"/>
      <c r="N360" s="415"/>
      <c r="O360" s="415"/>
      <c r="P360" s="415"/>
      <c r="Q360" s="415"/>
      <c r="R360" s="415"/>
      <c r="S360" s="415"/>
      <c r="T360" s="415"/>
      <c r="U360" s="415"/>
      <c r="V360" s="415"/>
      <c r="W360" s="415"/>
      <c r="X360" s="415"/>
      <c r="Y360" s="415"/>
      <c r="Z360" s="415"/>
      <c r="AA360" s="415"/>
    </row>
    <row r="361">
      <c r="A361" s="415"/>
      <c r="B361" s="415"/>
      <c r="C361" s="415"/>
      <c r="D361" s="415"/>
      <c r="E361" s="415"/>
      <c r="F361" s="415"/>
      <c r="G361" s="415"/>
      <c r="H361" s="415"/>
      <c r="I361" s="415"/>
      <c r="J361" s="415"/>
      <c r="K361" s="415"/>
      <c r="L361" s="415"/>
      <c r="M361" s="415"/>
      <c r="N361" s="415"/>
      <c r="O361" s="415"/>
      <c r="P361" s="415"/>
      <c r="Q361" s="415"/>
      <c r="R361" s="415"/>
      <c r="S361" s="415"/>
      <c r="T361" s="415"/>
      <c r="U361" s="415"/>
      <c r="V361" s="415"/>
      <c r="W361" s="415"/>
      <c r="X361" s="415"/>
      <c r="Y361" s="415"/>
      <c r="Z361" s="415"/>
      <c r="AA361" s="415"/>
    </row>
    <row r="362">
      <c r="A362" s="415"/>
      <c r="B362" s="415"/>
      <c r="C362" s="415"/>
      <c r="D362" s="415"/>
      <c r="E362" s="415"/>
      <c r="F362" s="415"/>
      <c r="G362" s="415"/>
      <c r="H362" s="415"/>
      <c r="I362" s="415"/>
      <c r="J362" s="415"/>
      <c r="K362" s="415"/>
      <c r="L362" s="415"/>
      <c r="M362" s="415"/>
      <c r="N362" s="415"/>
      <c r="O362" s="415"/>
      <c r="P362" s="415"/>
      <c r="Q362" s="415"/>
      <c r="R362" s="415"/>
      <c r="S362" s="415"/>
      <c r="T362" s="415"/>
      <c r="U362" s="415"/>
      <c r="V362" s="415"/>
      <c r="W362" s="415"/>
      <c r="X362" s="415"/>
      <c r="Y362" s="415"/>
      <c r="Z362" s="415"/>
      <c r="AA362" s="415"/>
    </row>
    <row r="363">
      <c r="A363" s="415"/>
      <c r="B363" s="415"/>
      <c r="C363" s="415"/>
      <c r="D363" s="415"/>
      <c r="E363" s="415"/>
      <c r="F363" s="415"/>
      <c r="G363" s="415"/>
      <c r="H363" s="415"/>
      <c r="I363" s="415"/>
      <c r="J363" s="415"/>
      <c r="K363" s="415"/>
      <c r="L363" s="415"/>
      <c r="M363" s="415"/>
      <c r="N363" s="415"/>
      <c r="O363" s="415"/>
      <c r="P363" s="415"/>
      <c r="Q363" s="415"/>
      <c r="R363" s="415"/>
      <c r="S363" s="415"/>
      <c r="T363" s="415"/>
      <c r="U363" s="415"/>
      <c r="V363" s="415"/>
      <c r="W363" s="415"/>
      <c r="X363" s="415"/>
      <c r="Y363" s="415"/>
      <c r="Z363" s="415"/>
      <c r="AA363" s="415"/>
    </row>
    <row r="364">
      <c r="A364" s="415"/>
      <c r="B364" s="415"/>
      <c r="C364" s="415"/>
      <c r="D364" s="415"/>
      <c r="E364" s="415"/>
      <c r="F364" s="415"/>
      <c r="G364" s="415"/>
      <c r="H364" s="415"/>
      <c r="I364" s="415"/>
      <c r="J364" s="415"/>
      <c r="K364" s="415"/>
      <c r="L364" s="415"/>
      <c r="M364" s="415"/>
      <c r="N364" s="415"/>
      <c r="O364" s="415"/>
      <c r="P364" s="415"/>
      <c r="Q364" s="415"/>
      <c r="R364" s="415"/>
      <c r="S364" s="415"/>
      <c r="T364" s="415"/>
      <c r="U364" s="415"/>
      <c r="V364" s="415"/>
      <c r="W364" s="415"/>
      <c r="X364" s="415"/>
      <c r="Y364" s="415"/>
      <c r="Z364" s="415"/>
      <c r="AA364" s="415"/>
    </row>
    <row r="365">
      <c r="A365" s="415"/>
      <c r="B365" s="415"/>
      <c r="C365" s="415"/>
      <c r="D365" s="415"/>
      <c r="E365" s="415"/>
      <c r="F365" s="415"/>
      <c r="G365" s="415"/>
      <c r="H365" s="415"/>
      <c r="I365" s="415"/>
      <c r="J365" s="415"/>
      <c r="K365" s="415"/>
      <c r="L365" s="415"/>
      <c r="M365" s="415"/>
      <c r="N365" s="415"/>
      <c r="O365" s="415"/>
      <c r="P365" s="415"/>
      <c r="Q365" s="415"/>
      <c r="R365" s="415"/>
      <c r="S365" s="415"/>
      <c r="T365" s="415"/>
      <c r="U365" s="415"/>
      <c r="V365" s="415"/>
      <c r="W365" s="415"/>
      <c r="X365" s="415"/>
      <c r="Y365" s="415"/>
      <c r="Z365" s="415"/>
      <c r="AA365" s="415"/>
    </row>
    <row r="366">
      <c r="A366" s="415"/>
      <c r="B366" s="415"/>
      <c r="C366" s="415"/>
      <c r="D366" s="415"/>
      <c r="E366" s="415"/>
      <c r="F366" s="415"/>
      <c r="G366" s="415"/>
      <c r="H366" s="415"/>
      <c r="I366" s="415"/>
      <c r="J366" s="415"/>
      <c r="K366" s="415"/>
      <c r="L366" s="415"/>
      <c r="M366" s="415"/>
      <c r="N366" s="415"/>
      <c r="O366" s="415"/>
      <c r="P366" s="415"/>
      <c r="Q366" s="415"/>
      <c r="R366" s="415"/>
      <c r="S366" s="415"/>
      <c r="T366" s="415"/>
      <c r="U366" s="415"/>
      <c r="V366" s="415"/>
      <c r="W366" s="415"/>
      <c r="X366" s="415"/>
      <c r="Y366" s="415"/>
      <c r="Z366" s="415"/>
      <c r="AA366" s="415"/>
    </row>
    <row r="367">
      <c r="A367" s="415"/>
      <c r="B367" s="415"/>
      <c r="C367" s="415"/>
      <c r="D367" s="415"/>
      <c r="E367" s="415"/>
      <c r="F367" s="415"/>
      <c r="G367" s="415"/>
      <c r="H367" s="415"/>
      <c r="I367" s="415"/>
      <c r="J367" s="415"/>
      <c r="K367" s="415"/>
      <c r="L367" s="415"/>
      <c r="M367" s="415"/>
      <c r="N367" s="415"/>
      <c r="O367" s="415"/>
      <c r="P367" s="415"/>
      <c r="Q367" s="415"/>
      <c r="R367" s="415"/>
      <c r="S367" s="415"/>
      <c r="T367" s="415"/>
      <c r="U367" s="415"/>
      <c r="V367" s="415"/>
      <c r="W367" s="415"/>
      <c r="X367" s="415"/>
      <c r="Y367" s="415"/>
      <c r="Z367" s="415"/>
      <c r="AA367" s="415"/>
    </row>
    <row r="368">
      <c r="A368" s="415"/>
      <c r="B368" s="415"/>
      <c r="C368" s="415"/>
      <c r="D368" s="415"/>
      <c r="E368" s="415"/>
      <c r="F368" s="415"/>
      <c r="G368" s="415"/>
      <c r="H368" s="415"/>
      <c r="I368" s="415"/>
      <c r="J368" s="415"/>
      <c r="K368" s="415"/>
      <c r="L368" s="415"/>
      <c r="M368" s="415"/>
      <c r="N368" s="415"/>
      <c r="O368" s="415"/>
      <c r="P368" s="415"/>
      <c r="Q368" s="415"/>
      <c r="R368" s="415"/>
      <c r="S368" s="415"/>
      <c r="T368" s="415"/>
      <c r="U368" s="415"/>
      <c r="V368" s="415"/>
      <c r="W368" s="415"/>
      <c r="X368" s="415"/>
      <c r="Y368" s="415"/>
      <c r="Z368" s="415"/>
      <c r="AA368" s="415"/>
    </row>
    <row r="369">
      <c r="A369" s="415"/>
      <c r="B369" s="415"/>
      <c r="C369" s="415"/>
      <c r="D369" s="415"/>
      <c r="E369" s="415"/>
      <c r="F369" s="415"/>
      <c r="G369" s="415"/>
      <c r="H369" s="415"/>
      <c r="I369" s="415"/>
      <c r="J369" s="415"/>
      <c r="K369" s="415"/>
      <c r="L369" s="415"/>
      <c r="M369" s="415"/>
      <c r="N369" s="415"/>
      <c r="O369" s="415"/>
      <c r="P369" s="415"/>
      <c r="Q369" s="415"/>
      <c r="R369" s="415"/>
      <c r="S369" s="415"/>
      <c r="T369" s="415"/>
      <c r="U369" s="415"/>
      <c r="V369" s="415"/>
      <c r="W369" s="415"/>
      <c r="X369" s="415"/>
      <c r="Y369" s="415"/>
      <c r="Z369" s="415"/>
      <c r="AA369" s="415"/>
    </row>
    <row r="370">
      <c r="A370" s="415"/>
      <c r="B370" s="415"/>
      <c r="C370" s="415"/>
      <c r="D370" s="415"/>
      <c r="E370" s="415"/>
      <c r="F370" s="415"/>
      <c r="G370" s="415"/>
      <c r="H370" s="415"/>
      <c r="I370" s="415"/>
      <c r="J370" s="415"/>
      <c r="K370" s="415"/>
      <c r="L370" s="415"/>
      <c r="M370" s="415"/>
      <c r="N370" s="415"/>
      <c r="O370" s="415"/>
      <c r="P370" s="415"/>
      <c r="Q370" s="415"/>
      <c r="R370" s="415"/>
      <c r="S370" s="415"/>
      <c r="T370" s="415"/>
      <c r="U370" s="415"/>
      <c r="V370" s="415"/>
      <c r="W370" s="415"/>
      <c r="X370" s="415"/>
      <c r="Y370" s="415"/>
      <c r="Z370" s="415"/>
      <c r="AA370" s="415"/>
    </row>
    <row r="371">
      <c r="A371" s="415"/>
      <c r="B371" s="415"/>
      <c r="C371" s="415"/>
      <c r="D371" s="415"/>
      <c r="E371" s="415"/>
      <c r="F371" s="415"/>
      <c r="G371" s="415"/>
      <c r="H371" s="415"/>
      <c r="I371" s="415"/>
      <c r="J371" s="415"/>
      <c r="K371" s="415"/>
      <c r="L371" s="415"/>
      <c r="M371" s="415"/>
      <c r="N371" s="415"/>
      <c r="O371" s="415"/>
      <c r="P371" s="415"/>
      <c r="Q371" s="415"/>
      <c r="R371" s="415"/>
      <c r="S371" s="415"/>
      <c r="T371" s="415"/>
      <c r="U371" s="415"/>
      <c r="V371" s="415"/>
      <c r="W371" s="415"/>
      <c r="X371" s="415"/>
      <c r="Y371" s="415"/>
      <c r="Z371" s="415"/>
      <c r="AA371" s="415"/>
    </row>
    <row r="372">
      <c r="A372" s="415"/>
      <c r="B372" s="415"/>
      <c r="C372" s="415"/>
      <c r="D372" s="415"/>
      <c r="E372" s="415"/>
      <c r="F372" s="415"/>
      <c r="G372" s="415"/>
      <c r="H372" s="415"/>
      <c r="I372" s="415"/>
      <c r="J372" s="415"/>
      <c r="K372" s="415"/>
      <c r="L372" s="415"/>
      <c r="M372" s="415"/>
      <c r="N372" s="415"/>
      <c r="O372" s="415"/>
      <c r="P372" s="415"/>
      <c r="Q372" s="415"/>
      <c r="R372" s="415"/>
      <c r="S372" s="415"/>
      <c r="T372" s="415"/>
      <c r="U372" s="415"/>
      <c r="V372" s="415"/>
      <c r="W372" s="415"/>
      <c r="X372" s="415"/>
      <c r="Y372" s="415"/>
      <c r="Z372" s="415"/>
      <c r="AA372" s="415"/>
    </row>
    <row r="373">
      <c r="A373" s="415"/>
      <c r="B373" s="415"/>
      <c r="C373" s="415"/>
      <c r="D373" s="415"/>
      <c r="E373" s="415"/>
      <c r="F373" s="415"/>
      <c r="G373" s="415"/>
      <c r="H373" s="415"/>
      <c r="I373" s="415"/>
      <c r="J373" s="415"/>
      <c r="K373" s="415"/>
      <c r="L373" s="415"/>
      <c r="M373" s="415"/>
      <c r="N373" s="415"/>
      <c r="O373" s="415"/>
      <c r="P373" s="415"/>
      <c r="Q373" s="415"/>
      <c r="R373" s="415"/>
      <c r="S373" s="415"/>
      <c r="T373" s="415"/>
      <c r="U373" s="415"/>
      <c r="V373" s="415"/>
      <c r="W373" s="415"/>
      <c r="X373" s="415"/>
      <c r="Y373" s="415"/>
      <c r="Z373" s="415"/>
      <c r="AA373" s="415"/>
    </row>
    <row r="374">
      <c r="A374" s="415"/>
      <c r="B374" s="415"/>
      <c r="C374" s="415"/>
      <c r="D374" s="415"/>
      <c r="E374" s="415"/>
      <c r="F374" s="415"/>
      <c r="G374" s="415"/>
      <c r="H374" s="415"/>
      <c r="I374" s="415"/>
      <c r="J374" s="415"/>
      <c r="K374" s="415"/>
      <c r="L374" s="415"/>
      <c r="M374" s="415"/>
      <c r="N374" s="415"/>
      <c r="O374" s="415"/>
      <c r="P374" s="415"/>
      <c r="Q374" s="415"/>
      <c r="R374" s="415"/>
      <c r="S374" s="415"/>
      <c r="T374" s="415"/>
      <c r="U374" s="415"/>
      <c r="V374" s="415"/>
      <c r="W374" s="415"/>
      <c r="X374" s="415"/>
      <c r="Y374" s="415"/>
      <c r="Z374" s="415"/>
      <c r="AA374" s="415"/>
    </row>
    <row r="375">
      <c r="A375" s="415"/>
      <c r="B375" s="415"/>
      <c r="C375" s="415"/>
      <c r="D375" s="415"/>
      <c r="E375" s="415"/>
      <c r="F375" s="415"/>
      <c r="G375" s="415"/>
      <c r="H375" s="415"/>
      <c r="I375" s="415"/>
      <c r="J375" s="415"/>
      <c r="K375" s="415"/>
      <c r="L375" s="415"/>
      <c r="M375" s="415"/>
      <c r="N375" s="415"/>
      <c r="O375" s="415"/>
      <c r="P375" s="415"/>
      <c r="Q375" s="415"/>
      <c r="R375" s="415"/>
      <c r="S375" s="415"/>
      <c r="T375" s="415"/>
      <c r="U375" s="415"/>
      <c r="V375" s="415"/>
      <c r="W375" s="415"/>
      <c r="X375" s="415"/>
      <c r="Y375" s="415"/>
      <c r="Z375" s="415"/>
      <c r="AA375" s="415"/>
    </row>
    <row r="376">
      <c r="A376" s="415"/>
      <c r="B376" s="415"/>
      <c r="C376" s="415"/>
      <c r="D376" s="415"/>
      <c r="E376" s="415"/>
      <c r="F376" s="415"/>
      <c r="G376" s="415"/>
      <c r="H376" s="415"/>
      <c r="I376" s="415"/>
      <c r="J376" s="415"/>
      <c r="K376" s="415"/>
      <c r="L376" s="415"/>
      <c r="M376" s="415"/>
      <c r="N376" s="415"/>
      <c r="O376" s="415"/>
      <c r="P376" s="415"/>
      <c r="Q376" s="415"/>
      <c r="R376" s="415"/>
      <c r="S376" s="415"/>
      <c r="T376" s="415"/>
      <c r="U376" s="415"/>
      <c r="V376" s="415"/>
      <c r="W376" s="415"/>
      <c r="X376" s="415"/>
      <c r="Y376" s="415"/>
      <c r="Z376" s="415"/>
      <c r="AA376" s="415"/>
    </row>
    <row r="377">
      <c r="A377" s="415"/>
      <c r="B377" s="415"/>
      <c r="C377" s="415"/>
      <c r="D377" s="415"/>
      <c r="E377" s="415"/>
      <c r="F377" s="415"/>
      <c r="G377" s="415"/>
      <c r="H377" s="415"/>
      <c r="I377" s="415"/>
      <c r="J377" s="415"/>
      <c r="K377" s="415"/>
      <c r="L377" s="415"/>
      <c r="M377" s="415"/>
      <c r="N377" s="415"/>
      <c r="O377" s="415"/>
      <c r="P377" s="415"/>
      <c r="Q377" s="415"/>
      <c r="R377" s="415"/>
      <c r="S377" s="415"/>
      <c r="T377" s="415"/>
      <c r="U377" s="415"/>
      <c r="V377" s="415"/>
      <c r="W377" s="415"/>
      <c r="X377" s="415"/>
      <c r="Y377" s="415"/>
      <c r="Z377" s="415"/>
      <c r="AA377" s="415"/>
    </row>
    <row r="378">
      <c r="A378" s="415"/>
      <c r="B378" s="415"/>
      <c r="C378" s="415"/>
      <c r="D378" s="415"/>
      <c r="E378" s="415"/>
      <c r="F378" s="415"/>
      <c r="G378" s="415"/>
      <c r="H378" s="415"/>
      <c r="I378" s="415"/>
      <c r="J378" s="415"/>
      <c r="K378" s="415"/>
      <c r="L378" s="415"/>
      <c r="M378" s="415"/>
      <c r="N378" s="415"/>
      <c r="O378" s="415"/>
      <c r="P378" s="415"/>
      <c r="Q378" s="415"/>
      <c r="R378" s="415"/>
      <c r="S378" s="415"/>
      <c r="T378" s="415"/>
      <c r="U378" s="415"/>
      <c r="V378" s="415"/>
      <c r="W378" s="415"/>
      <c r="X378" s="415"/>
      <c r="Y378" s="415"/>
      <c r="Z378" s="415"/>
      <c r="AA378" s="415"/>
    </row>
    <row r="379">
      <c r="A379" s="415"/>
      <c r="B379" s="415"/>
      <c r="C379" s="415"/>
      <c r="D379" s="415"/>
      <c r="E379" s="415"/>
      <c r="F379" s="415"/>
      <c r="G379" s="415"/>
      <c r="H379" s="415"/>
      <c r="I379" s="415"/>
      <c r="J379" s="415"/>
      <c r="K379" s="415"/>
      <c r="L379" s="415"/>
      <c r="M379" s="415"/>
      <c r="N379" s="415"/>
      <c r="O379" s="415"/>
      <c r="P379" s="415"/>
      <c r="Q379" s="415"/>
      <c r="R379" s="415"/>
      <c r="S379" s="415"/>
      <c r="T379" s="415"/>
      <c r="U379" s="415"/>
      <c r="V379" s="415"/>
      <c r="W379" s="415"/>
      <c r="X379" s="415"/>
      <c r="Y379" s="415"/>
      <c r="Z379" s="415"/>
      <c r="AA379" s="415"/>
    </row>
    <row r="380">
      <c r="A380" s="415"/>
      <c r="B380" s="415"/>
      <c r="C380" s="415"/>
      <c r="D380" s="415"/>
      <c r="E380" s="415"/>
      <c r="F380" s="415"/>
      <c r="G380" s="415"/>
      <c r="H380" s="415"/>
      <c r="I380" s="415"/>
      <c r="J380" s="415"/>
      <c r="K380" s="415"/>
      <c r="L380" s="415"/>
      <c r="M380" s="415"/>
      <c r="N380" s="415"/>
      <c r="O380" s="415"/>
      <c r="P380" s="415"/>
      <c r="Q380" s="415"/>
      <c r="R380" s="415"/>
      <c r="S380" s="415"/>
      <c r="T380" s="415"/>
      <c r="U380" s="415"/>
      <c r="V380" s="415"/>
      <c r="W380" s="415"/>
      <c r="X380" s="415"/>
      <c r="Y380" s="415"/>
      <c r="Z380" s="415"/>
      <c r="AA380" s="415"/>
    </row>
    <row r="381">
      <c r="A381" s="415"/>
      <c r="B381" s="415"/>
      <c r="C381" s="415"/>
      <c r="D381" s="415"/>
      <c r="E381" s="415"/>
      <c r="F381" s="415"/>
      <c r="G381" s="415"/>
      <c r="H381" s="415"/>
      <c r="I381" s="415"/>
      <c r="J381" s="415"/>
      <c r="K381" s="415"/>
      <c r="L381" s="415"/>
      <c r="M381" s="415"/>
      <c r="N381" s="415"/>
      <c r="O381" s="415"/>
      <c r="P381" s="415"/>
      <c r="Q381" s="415"/>
      <c r="R381" s="415"/>
      <c r="S381" s="415"/>
      <c r="T381" s="415"/>
      <c r="U381" s="415"/>
      <c r="V381" s="415"/>
      <c r="W381" s="415"/>
      <c r="X381" s="415"/>
      <c r="Y381" s="415"/>
      <c r="Z381" s="415"/>
      <c r="AA381" s="415"/>
    </row>
    <row r="382">
      <c r="A382" s="415"/>
      <c r="B382" s="415"/>
      <c r="C382" s="415"/>
      <c r="D382" s="415"/>
      <c r="E382" s="415"/>
      <c r="F382" s="415"/>
      <c r="G382" s="415"/>
      <c r="H382" s="415"/>
      <c r="I382" s="415"/>
      <c r="J382" s="415"/>
      <c r="K382" s="415"/>
      <c r="L382" s="415"/>
      <c r="M382" s="415"/>
      <c r="N382" s="415"/>
      <c r="O382" s="415"/>
      <c r="P382" s="415"/>
      <c r="Q382" s="415"/>
      <c r="R382" s="415"/>
      <c r="S382" s="415"/>
      <c r="T382" s="415"/>
      <c r="U382" s="415"/>
      <c r="V382" s="415"/>
      <c r="W382" s="415"/>
      <c r="X382" s="415"/>
      <c r="Y382" s="415"/>
      <c r="Z382" s="415"/>
      <c r="AA382" s="415"/>
    </row>
    <row r="383">
      <c r="A383" s="415"/>
      <c r="B383" s="415"/>
      <c r="C383" s="415"/>
      <c r="D383" s="415"/>
      <c r="E383" s="415"/>
      <c r="F383" s="415"/>
      <c r="G383" s="415"/>
      <c r="H383" s="415"/>
      <c r="I383" s="415"/>
      <c r="J383" s="415"/>
      <c r="K383" s="415"/>
      <c r="L383" s="415"/>
      <c r="M383" s="415"/>
      <c r="N383" s="415"/>
      <c r="O383" s="415"/>
      <c r="P383" s="415"/>
      <c r="Q383" s="415"/>
      <c r="R383" s="415"/>
      <c r="S383" s="415"/>
      <c r="T383" s="415"/>
      <c r="U383" s="415"/>
      <c r="V383" s="415"/>
      <c r="W383" s="415"/>
      <c r="X383" s="415"/>
      <c r="Y383" s="415"/>
      <c r="Z383" s="415"/>
      <c r="AA383" s="415"/>
    </row>
    <row r="384">
      <c r="A384" s="415"/>
      <c r="B384" s="415"/>
      <c r="C384" s="415"/>
      <c r="D384" s="415"/>
      <c r="E384" s="415"/>
      <c r="F384" s="415"/>
      <c r="G384" s="415"/>
      <c r="H384" s="415"/>
      <c r="I384" s="415"/>
      <c r="J384" s="415"/>
      <c r="K384" s="415"/>
      <c r="L384" s="415"/>
      <c r="M384" s="415"/>
      <c r="N384" s="415"/>
      <c r="O384" s="415"/>
      <c r="P384" s="415"/>
      <c r="Q384" s="415"/>
      <c r="R384" s="415"/>
      <c r="S384" s="415"/>
      <c r="T384" s="415"/>
      <c r="U384" s="415"/>
      <c r="V384" s="415"/>
      <c r="W384" s="415"/>
      <c r="X384" s="415"/>
      <c r="Y384" s="415"/>
      <c r="Z384" s="415"/>
      <c r="AA384" s="415"/>
    </row>
    <row r="385">
      <c r="A385" s="415"/>
      <c r="B385" s="415"/>
      <c r="C385" s="415"/>
      <c r="D385" s="415"/>
      <c r="E385" s="415"/>
      <c r="F385" s="415"/>
      <c r="G385" s="415"/>
      <c r="H385" s="415"/>
      <c r="I385" s="415"/>
      <c r="J385" s="415"/>
      <c r="K385" s="415"/>
      <c r="L385" s="415"/>
      <c r="M385" s="415"/>
      <c r="N385" s="415"/>
      <c r="O385" s="415"/>
      <c r="P385" s="415"/>
      <c r="Q385" s="415"/>
      <c r="R385" s="415"/>
      <c r="S385" s="415"/>
      <c r="T385" s="415"/>
      <c r="U385" s="415"/>
      <c r="V385" s="415"/>
      <c r="W385" s="415"/>
      <c r="X385" s="415"/>
      <c r="Y385" s="415"/>
      <c r="Z385" s="415"/>
      <c r="AA385" s="415"/>
    </row>
    <row r="386">
      <c r="A386" s="415"/>
      <c r="B386" s="415"/>
      <c r="C386" s="415"/>
      <c r="D386" s="415"/>
      <c r="E386" s="415"/>
      <c r="F386" s="415"/>
      <c r="G386" s="415"/>
      <c r="H386" s="415"/>
      <c r="I386" s="415"/>
      <c r="J386" s="415"/>
      <c r="K386" s="415"/>
      <c r="L386" s="415"/>
      <c r="M386" s="415"/>
      <c r="N386" s="415"/>
      <c r="O386" s="415"/>
      <c r="P386" s="415"/>
      <c r="Q386" s="415"/>
      <c r="R386" s="415"/>
      <c r="S386" s="415"/>
      <c r="T386" s="415"/>
      <c r="U386" s="415"/>
      <c r="V386" s="415"/>
      <c r="W386" s="415"/>
      <c r="X386" s="415"/>
      <c r="Y386" s="415"/>
      <c r="Z386" s="415"/>
      <c r="AA386" s="415"/>
    </row>
    <row r="387">
      <c r="A387" s="415"/>
      <c r="B387" s="415"/>
      <c r="C387" s="415"/>
      <c r="D387" s="415"/>
      <c r="E387" s="415"/>
      <c r="F387" s="415"/>
      <c r="G387" s="415"/>
      <c r="H387" s="415"/>
      <c r="I387" s="415"/>
      <c r="J387" s="415"/>
      <c r="K387" s="415"/>
      <c r="L387" s="415"/>
      <c r="M387" s="415"/>
      <c r="N387" s="415"/>
      <c r="O387" s="415"/>
      <c r="P387" s="415"/>
      <c r="Q387" s="415"/>
      <c r="R387" s="415"/>
      <c r="S387" s="415"/>
      <c r="T387" s="415"/>
      <c r="U387" s="415"/>
      <c r="V387" s="415"/>
      <c r="W387" s="415"/>
      <c r="X387" s="415"/>
      <c r="Y387" s="415"/>
      <c r="Z387" s="415"/>
      <c r="AA387" s="415"/>
    </row>
    <row r="388">
      <c r="A388" s="415"/>
      <c r="B388" s="415"/>
      <c r="C388" s="415"/>
      <c r="D388" s="415"/>
      <c r="E388" s="415"/>
      <c r="F388" s="415"/>
      <c r="G388" s="415"/>
      <c r="H388" s="415"/>
      <c r="I388" s="415"/>
      <c r="J388" s="415"/>
      <c r="K388" s="415"/>
      <c r="L388" s="415"/>
      <c r="M388" s="415"/>
      <c r="N388" s="415"/>
      <c r="O388" s="415"/>
      <c r="P388" s="415"/>
      <c r="Q388" s="415"/>
      <c r="R388" s="415"/>
      <c r="S388" s="415"/>
      <c r="T388" s="415"/>
      <c r="U388" s="415"/>
      <c r="V388" s="415"/>
      <c r="W388" s="415"/>
      <c r="X388" s="415"/>
      <c r="Y388" s="415"/>
      <c r="Z388" s="415"/>
      <c r="AA388" s="415"/>
    </row>
    <row r="389">
      <c r="A389" s="415"/>
      <c r="B389" s="415"/>
      <c r="C389" s="415"/>
      <c r="D389" s="415"/>
      <c r="E389" s="415"/>
      <c r="F389" s="415"/>
      <c r="G389" s="415"/>
      <c r="H389" s="415"/>
      <c r="I389" s="415"/>
      <c r="J389" s="415"/>
      <c r="K389" s="415"/>
      <c r="L389" s="415"/>
      <c r="M389" s="415"/>
      <c r="N389" s="415"/>
      <c r="O389" s="415"/>
      <c r="P389" s="415"/>
      <c r="Q389" s="415"/>
      <c r="R389" s="415"/>
      <c r="S389" s="415"/>
      <c r="T389" s="415"/>
      <c r="U389" s="415"/>
      <c r="V389" s="415"/>
      <c r="W389" s="415"/>
      <c r="X389" s="415"/>
      <c r="Y389" s="415"/>
      <c r="Z389" s="415"/>
      <c r="AA389" s="415"/>
    </row>
    <row r="390">
      <c r="A390" s="415"/>
      <c r="B390" s="415"/>
      <c r="C390" s="415"/>
      <c r="D390" s="415"/>
      <c r="E390" s="415"/>
      <c r="F390" s="415"/>
      <c r="G390" s="415"/>
      <c r="H390" s="415"/>
      <c r="I390" s="415"/>
      <c r="J390" s="415"/>
      <c r="K390" s="415"/>
      <c r="L390" s="415"/>
      <c r="M390" s="415"/>
      <c r="N390" s="415"/>
      <c r="O390" s="415"/>
      <c r="P390" s="415"/>
      <c r="Q390" s="415"/>
      <c r="R390" s="415"/>
      <c r="S390" s="415"/>
      <c r="T390" s="415"/>
      <c r="U390" s="415"/>
      <c r="V390" s="415"/>
      <c r="W390" s="415"/>
      <c r="X390" s="415"/>
      <c r="Y390" s="415"/>
      <c r="Z390" s="415"/>
      <c r="AA390" s="415"/>
    </row>
    <row r="391">
      <c r="A391" s="415"/>
      <c r="B391" s="415"/>
      <c r="C391" s="415"/>
      <c r="D391" s="415"/>
      <c r="E391" s="415"/>
      <c r="F391" s="415"/>
      <c r="G391" s="415"/>
      <c r="H391" s="415"/>
      <c r="I391" s="415"/>
      <c r="J391" s="415"/>
      <c r="K391" s="415"/>
      <c r="L391" s="415"/>
      <c r="M391" s="415"/>
      <c r="N391" s="415"/>
      <c r="O391" s="415"/>
      <c r="P391" s="415"/>
      <c r="Q391" s="415"/>
      <c r="R391" s="415"/>
      <c r="S391" s="415"/>
      <c r="T391" s="415"/>
      <c r="U391" s="415"/>
      <c r="V391" s="415"/>
      <c r="W391" s="415"/>
      <c r="X391" s="415"/>
      <c r="Y391" s="415"/>
      <c r="Z391" s="415"/>
      <c r="AA391" s="415"/>
    </row>
    <row r="392">
      <c r="A392" s="415"/>
      <c r="B392" s="415"/>
      <c r="C392" s="415"/>
      <c r="D392" s="415"/>
      <c r="E392" s="415"/>
      <c r="F392" s="415"/>
      <c r="G392" s="415"/>
      <c r="H392" s="415"/>
      <c r="I392" s="415"/>
      <c r="J392" s="415"/>
      <c r="K392" s="415"/>
      <c r="L392" s="415"/>
      <c r="M392" s="415"/>
      <c r="N392" s="415"/>
      <c r="O392" s="415"/>
      <c r="P392" s="415"/>
      <c r="Q392" s="415"/>
      <c r="R392" s="415"/>
      <c r="S392" s="415"/>
      <c r="T392" s="415"/>
      <c r="U392" s="415"/>
      <c r="V392" s="415"/>
      <c r="W392" s="415"/>
      <c r="X392" s="415"/>
      <c r="Y392" s="415"/>
      <c r="Z392" s="415"/>
      <c r="AA392" s="415"/>
    </row>
    <row r="393">
      <c r="A393" s="415"/>
      <c r="B393" s="415"/>
      <c r="C393" s="415"/>
      <c r="D393" s="415"/>
      <c r="E393" s="415"/>
      <c r="F393" s="415"/>
      <c r="G393" s="415"/>
      <c r="H393" s="415"/>
      <c r="I393" s="415"/>
      <c r="J393" s="415"/>
      <c r="K393" s="415"/>
      <c r="L393" s="415"/>
      <c r="M393" s="415"/>
      <c r="N393" s="415"/>
      <c r="O393" s="415"/>
      <c r="P393" s="415"/>
      <c r="Q393" s="415"/>
      <c r="R393" s="415"/>
      <c r="S393" s="415"/>
      <c r="T393" s="415"/>
      <c r="U393" s="415"/>
      <c r="V393" s="415"/>
      <c r="W393" s="415"/>
      <c r="X393" s="415"/>
      <c r="Y393" s="415"/>
      <c r="Z393" s="415"/>
      <c r="AA393" s="415"/>
    </row>
    <row r="394">
      <c r="A394" s="415"/>
      <c r="B394" s="415"/>
      <c r="C394" s="415"/>
      <c r="D394" s="415"/>
      <c r="E394" s="415"/>
      <c r="F394" s="415"/>
      <c r="G394" s="415"/>
      <c r="H394" s="415"/>
      <c r="I394" s="415"/>
      <c r="J394" s="415"/>
      <c r="K394" s="415"/>
      <c r="L394" s="415"/>
      <c r="M394" s="415"/>
      <c r="N394" s="415"/>
      <c r="O394" s="415"/>
      <c r="P394" s="415"/>
      <c r="Q394" s="415"/>
      <c r="R394" s="415"/>
      <c r="S394" s="415"/>
      <c r="T394" s="415"/>
      <c r="U394" s="415"/>
      <c r="V394" s="415"/>
      <c r="W394" s="415"/>
      <c r="X394" s="415"/>
      <c r="Y394" s="415"/>
      <c r="Z394" s="415"/>
      <c r="AA394" s="415"/>
    </row>
    <row r="395">
      <c r="A395" s="415"/>
      <c r="B395" s="415"/>
      <c r="C395" s="415"/>
      <c r="D395" s="415"/>
      <c r="E395" s="415"/>
      <c r="F395" s="415"/>
      <c r="G395" s="415"/>
      <c r="H395" s="415"/>
      <c r="I395" s="415"/>
      <c r="J395" s="415"/>
      <c r="K395" s="415"/>
      <c r="L395" s="415"/>
      <c r="M395" s="415"/>
      <c r="N395" s="415"/>
      <c r="O395" s="415"/>
      <c r="P395" s="415"/>
      <c r="Q395" s="415"/>
      <c r="R395" s="415"/>
      <c r="S395" s="415"/>
      <c r="T395" s="415"/>
      <c r="U395" s="415"/>
      <c r="V395" s="415"/>
      <c r="W395" s="415"/>
      <c r="X395" s="415"/>
      <c r="Y395" s="415"/>
      <c r="Z395" s="415"/>
      <c r="AA395" s="415"/>
    </row>
    <row r="396">
      <c r="A396" s="415"/>
      <c r="B396" s="415"/>
      <c r="C396" s="415"/>
      <c r="D396" s="415"/>
      <c r="E396" s="415"/>
      <c r="F396" s="415"/>
      <c r="G396" s="415"/>
      <c r="H396" s="415"/>
      <c r="I396" s="415"/>
      <c r="J396" s="415"/>
      <c r="K396" s="415"/>
      <c r="L396" s="415"/>
      <c r="M396" s="415"/>
      <c r="N396" s="415"/>
      <c r="O396" s="415"/>
      <c r="P396" s="415"/>
      <c r="Q396" s="415"/>
      <c r="R396" s="415"/>
      <c r="S396" s="415"/>
      <c r="T396" s="415"/>
      <c r="U396" s="415"/>
      <c r="V396" s="415"/>
      <c r="W396" s="415"/>
      <c r="X396" s="415"/>
      <c r="Y396" s="415"/>
      <c r="Z396" s="415"/>
      <c r="AA396" s="415"/>
    </row>
    <row r="397">
      <c r="A397" s="415"/>
      <c r="B397" s="415"/>
      <c r="C397" s="415"/>
      <c r="D397" s="415"/>
      <c r="E397" s="415"/>
      <c r="F397" s="415"/>
      <c r="G397" s="415"/>
      <c r="H397" s="415"/>
      <c r="I397" s="415"/>
      <c r="J397" s="415"/>
      <c r="K397" s="415"/>
      <c r="L397" s="415"/>
      <c r="M397" s="415"/>
      <c r="N397" s="415"/>
      <c r="O397" s="415"/>
      <c r="P397" s="415"/>
      <c r="Q397" s="415"/>
      <c r="R397" s="415"/>
      <c r="S397" s="415"/>
      <c r="T397" s="415"/>
      <c r="U397" s="415"/>
      <c r="V397" s="415"/>
      <c r="W397" s="415"/>
      <c r="X397" s="415"/>
      <c r="Y397" s="415"/>
      <c r="Z397" s="415"/>
      <c r="AA397" s="415"/>
    </row>
    <row r="398">
      <c r="A398" s="415"/>
      <c r="B398" s="415"/>
      <c r="C398" s="415"/>
      <c r="D398" s="415"/>
      <c r="E398" s="415"/>
      <c r="F398" s="415"/>
      <c r="G398" s="415"/>
      <c r="H398" s="415"/>
      <c r="I398" s="415"/>
      <c r="J398" s="415"/>
      <c r="K398" s="415"/>
      <c r="L398" s="415"/>
      <c r="M398" s="415"/>
      <c r="N398" s="415"/>
      <c r="O398" s="415"/>
      <c r="P398" s="415"/>
      <c r="Q398" s="415"/>
      <c r="R398" s="415"/>
      <c r="S398" s="415"/>
      <c r="T398" s="415"/>
      <c r="U398" s="415"/>
      <c r="V398" s="415"/>
      <c r="W398" s="415"/>
      <c r="X398" s="415"/>
      <c r="Y398" s="415"/>
      <c r="Z398" s="415"/>
      <c r="AA398" s="415"/>
    </row>
    <row r="399">
      <c r="A399" s="415"/>
      <c r="B399" s="415"/>
      <c r="C399" s="415"/>
      <c r="D399" s="415"/>
      <c r="E399" s="415"/>
      <c r="F399" s="415"/>
      <c r="G399" s="415"/>
      <c r="H399" s="415"/>
      <c r="I399" s="415"/>
      <c r="J399" s="415"/>
      <c r="K399" s="415"/>
      <c r="L399" s="415"/>
      <c r="M399" s="415"/>
      <c r="N399" s="415"/>
      <c r="O399" s="415"/>
      <c r="P399" s="415"/>
      <c r="Q399" s="415"/>
      <c r="R399" s="415"/>
      <c r="S399" s="415"/>
      <c r="T399" s="415"/>
      <c r="U399" s="415"/>
      <c r="V399" s="415"/>
      <c r="W399" s="415"/>
      <c r="X399" s="415"/>
      <c r="Y399" s="415"/>
      <c r="Z399" s="415"/>
      <c r="AA399" s="415"/>
    </row>
    <row r="400">
      <c r="A400" s="415"/>
      <c r="B400" s="415"/>
      <c r="C400" s="415"/>
      <c r="D400" s="415"/>
      <c r="E400" s="415"/>
      <c r="F400" s="415"/>
      <c r="G400" s="415"/>
      <c r="H400" s="415"/>
      <c r="I400" s="415"/>
      <c r="J400" s="415"/>
      <c r="K400" s="415"/>
      <c r="L400" s="415"/>
      <c r="M400" s="415"/>
      <c r="N400" s="415"/>
      <c r="O400" s="415"/>
      <c r="P400" s="415"/>
      <c r="Q400" s="415"/>
      <c r="R400" s="415"/>
      <c r="S400" s="415"/>
      <c r="T400" s="415"/>
      <c r="U400" s="415"/>
      <c r="V400" s="415"/>
      <c r="W400" s="415"/>
      <c r="X400" s="415"/>
      <c r="Y400" s="415"/>
      <c r="Z400" s="415"/>
      <c r="AA400" s="415"/>
    </row>
    <row r="401">
      <c r="A401" s="415"/>
      <c r="B401" s="415"/>
      <c r="C401" s="415"/>
      <c r="D401" s="415"/>
      <c r="E401" s="415"/>
      <c r="F401" s="415"/>
      <c r="G401" s="415"/>
      <c r="H401" s="415"/>
      <c r="I401" s="415"/>
      <c r="J401" s="415"/>
      <c r="K401" s="415"/>
      <c r="L401" s="415"/>
      <c r="M401" s="415"/>
      <c r="N401" s="415"/>
      <c r="O401" s="415"/>
      <c r="P401" s="415"/>
      <c r="Q401" s="415"/>
      <c r="R401" s="415"/>
      <c r="S401" s="415"/>
      <c r="T401" s="415"/>
      <c r="U401" s="415"/>
      <c r="V401" s="415"/>
      <c r="W401" s="415"/>
      <c r="X401" s="415"/>
      <c r="Y401" s="415"/>
      <c r="Z401" s="415"/>
      <c r="AA401" s="415"/>
    </row>
    <row r="402">
      <c r="A402" s="415"/>
      <c r="B402" s="415"/>
      <c r="C402" s="415"/>
      <c r="D402" s="415"/>
      <c r="E402" s="415"/>
      <c r="F402" s="415"/>
      <c r="G402" s="415"/>
      <c r="H402" s="415"/>
      <c r="I402" s="415"/>
      <c r="J402" s="415"/>
      <c r="K402" s="415"/>
      <c r="L402" s="415"/>
      <c r="M402" s="415"/>
      <c r="N402" s="415"/>
      <c r="O402" s="415"/>
      <c r="P402" s="415"/>
      <c r="Q402" s="415"/>
      <c r="R402" s="415"/>
      <c r="S402" s="415"/>
      <c r="T402" s="415"/>
      <c r="U402" s="415"/>
      <c r="V402" s="415"/>
      <c r="W402" s="415"/>
      <c r="X402" s="415"/>
      <c r="Y402" s="415"/>
      <c r="Z402" s="415"/>
      <c r="AA402" s="415"/>
    </row>
    <row r="403">
      <c r="A403" s="415"/>
      <c r="B403" s="415"/>
      <c r="C403" s="415"/>
      <c r="D403" s="415"/>
      <c r="E403" s="415"/>
      <c r="F403" s="415"/>
      <c r="G403" s="415"/>
      <c r="H403" s="415"/>
      <c r="I403" s="415"/>
      <c r="J403" s="415"/>
      <c r="K403" s="415"/>
      <c r="L403" s="415"/>
      <c r="M403" s="415"/>
      <c r="N403" s="415"/>
      <c r="O403" s="415"/>
      <c r="P403" s="415"/>
      <c r="Q403" s="415"/>
      <c r="R403" s="415"/>
      <c r="S403" s="415"/>
      <c r="T403" s="415"/>
      <c r="U403" s="415"/>
      <c r="V403" s="415"/>
      <c r="W403" s="415"/>
      <c r="X403" s="415"/>
      <c r="Y403" s="415"/>
      <c r="Z403" s="415"/>
      <c r="AA403" s="415"/>
    </row>
    <row r="404">
      <c r="A404" s="415"/>
      <c r="B404" s="415"/>
      <c r="C404" s="415"/>
      <c r="D404" s="415"/>
      <c r="E404" s="415"/>
      <c r="F404" s="415"/>
      <c r="G404" s="415"/>
      <c r="H404" s="415"/>
      <c r="I404" s="415"/>
      <c r="J404" s="415"/>
      <c r="K404" s="415"/>
      <c r="L404" s="415"/>
      <c r="M404" s="415"/>
      <c r="N404" s="415"/>
      <c r="O404" s="415"/>
      <c r="P404" s="415"/>
      <c r="Q404" s="415"/>
      <c r="R404" s="415"/>
      <c r="S404" s="415"/>
      <c r="T404" s="415"/>
      <c r="U404" s="415"/>
      <c r="V404" s="415"/>
      <c r="W404" s="415"/>
      <c r="X404" s="415"/>
      <c r="Y404" s="415"/>
      <c r="Z404" s="415"/>
      <c r="AA404" s="415"/>
    </row>
    <row r="405">
      <c r="A405" s="415"/>
      <c r="B405" s="415"/>
      <c r="C405" s="415"/>
      <c r="D405" s="415"/>
      <c r="E405" s="415"/>
      <c r="F405" s="415"/>
      <c r="G405" s="415"/>
      <c r="H405" s="415"/>
      <c r="I405" s="415"/>
      <c r="J405" s="415"/>
      <c r="K405" s="415"/>
      <c r="L405" s="415"/>
      <c r="M405" s="415"/>
      <c r="N405" s="415"/>
      <c r="O405" s="415"/>
      <c r="P405" s="415"/>
      <c r="Q405" s="415"/>
      <c r="R405" s="415"/>
      <c r="S405" s="415"/>
      <c r="T405" s="415"/>
      <c r="U405" s="415"/>
      <c r="V405" s="415"/>
      <c r="W405" s="415"/>
      <c r="X405" s="415"/>
      <c r="Y405" s="415"/>
      <c r="Z405" s="415"/>
      <c r="AA405" s="415"/>
    </row>
    <row r="406">
      <c r="A406" s="415"/>
      <c r="B406" s="415"/>
      <c r="C406" s="415"/>
      <c r="D406" s="415"/>
      <c r="E406" s="415"/>
      <c r="F406" s="415"/>
      <c r="G406" s="415"/>
      <c r="H406" s="415"/>
      <c r="I406" s="415"/>
      <c r="J406" s="415"/>
      <c r="K406" s="415"/>
      <c r="L406" s="415"/>
      <c r="M406" s="415"/>
      <c r="N406" s="415"/>
      <c r="O406" s="415"/>
      <c r="P406" s="415"/>
      <c r="Q406" s="415"/>
      <c r="R406" s="415"/>
      <c r="S406" s="415"/>
      <c r="T406" s="415"/>
      <c r="U406" s="415"/>
      <c r="V406" s="415"/>
      <c r="W406" s="415"/>
      <c r="X406" s="415"/>
      <c r="Y406" s="415"/>
      <c r="Z406" s="415"/>
      <c r="AA406" s="415"/>
    </row>
    <row r="407">
      <c r="A407" s="415"/>
      <c r="B407" s="415"/>
      <c r="C407" s="415"/>
      <c r="D407" s="415"/>
      <c r="E407" s="415"/>
      <c r="F407" s="415"/>
      <c r="G407" s="415"/>
      <c r="H407" s="415"/>
      <c r="I407" s="415"/>
      <c r="J407" s="415"/>
      <c r="K407" s="415"/>
      <c r="L407" s="415"/>
      <c r="M407" s="415"/>
      <c r="N407" s="415"/>
      <c r="O407" s="415"/>
      <c r="P407" s="415"/>
      <c r="Q407" s="415"/>
      <c r="R407" s="415"/>
      <c r="S407" s="415"/>
      <c r="T407" s="415"/>
      <c r="U407" s="415"/>
      <c r="V407" s="415"/>
      <c r="W407" s="415"/>
      <c r="X407" s="415"/>
      <c r="Y407" s="415"/>
      <c r="Z407" s="415"/>
      <c r="AA407" s="415"/>
    </row>
    <row r="408">
      <c r="A408" s="415"/>
      <c r="B408" s="415"/>
      <c r="C408" s="415"/>
      <c r="D408" s="415"/>
      <c r="E408" s="415"/>
      <c r="F408" s="415"/>
      <c r="G408" s="415"/>
      <c r="H408" s="415"/>
      <c r="I408" s="415"/>
      <c r="J408" s="415"/>
      <c r="K408" s="415"/>
      <c r="L408" s="415"/>
      <c r="M408" s="415"/>
      <c r="N408" s="415"/>
      <c r="O408" s="415"/>
      <c r="P408" s="415"/>
      <c r="Q408" s="415"/>
      <c r="R408" s="415"/>
      <c r="S408" s="415"/>
      <c r="T408" s="415"/>
      <c r="U408" s="415"/>
      <c r="V408" s="415"/>
      <c r="W408" s="415"/>
      <c r="X408" s="415"/>
      <c r="Y408" s="415"/>
      <c r="Z408" s="415"/>
      <c r="AA408" s="415"/>
    </row>
    <row r="409">
      <c r="A409" s="415"/>
      <c r="B409" s="415"/>
      <c r="C409" s="415"/>
      <c r="D409" s="415"/>
      <c r="E409" s="415"/>
      <c r="F409" s="415"/>
      <c r="G409" s="415"/>
      <c r="H409" s="415"/>
      <c r="I409" s="415"/>
      <c r="J409" s="415"/>
      <c r="K409" s="415"/>
      <c r="L409" s="415"/>
      <c r="M409" s="415"/>
      <c r="N409" s="415"/>
      <c r="O409" s="415"/>
      <c r="P409" s="415"/>
      <c r="Q409" s="415"/>
      <c r="R409" s="415"/>
      <c r="S409" s="415"/>
      <c r="T409" s="415"/>
      <c r="U409" s="415"/>
      <c r="V409" s="415"/>
      <c r="W409" s="415"/>
      <c r="X409" s="415"/>
      <c r="Y409" s="415"/>
      <c r="Z409" s="415"/>
      <c r="AA409" s="415"/>
    </row>
    <row r="410">
      <c r="A410" s="415"/>
      <c r="B410" s="415"/>
      <c r="C410" s="415"/>
      <c r="D410" s="415"/>
      <c r="E410" s="415"/>
      <c r="F410" s="415"/>
      <c r="G410" s="415"/>
      <c r="H410" s="415"/>
      <c r="I410" s="415"/>
      <c r="J410" s="415"/>
      <c r="K410" s="415"/>
      <c r="L410" s="415"/>
      <c r="M410" s="415"/>
      <c r="N410" s="415"/>
      <c r="O410" s="415"/>
      <c r="P410" s="415"/>
      <c r="Q410" s="415"/>
      <c r="R410" s="415"/>
      <c r="S410" s="415"/>
      <c r="T410" s="415"/>
      <c r="U410" s="415"/>
      <c r="V410" s="415"/>
      <c r="W410" s="415"/>
      <c r="X410" s="415"/>
      <c r="Y410" s="415"/>
      <c r="Z410" s="415"/>
      <c r="AA410" s="415"/>
    </row>
    <row r="411">
      <c r="A411" s="415"/>
      <c r="B411" s="415"/>
      <c r="C411" s="415"/>
      <c r="D411" s="415"/>
      <c r="E411" s="415"/>
      <c r="F411" s="415"/>
      <c r="G411" s="415"/>
      <c r="H411" s="415"/>
      <c r="I411" s="415"/>
      <c r="J411" s="415"/>
      <c r="K411" s="415"/>
      <c r="L411" s="415"/>
      <c r="M411" s="415"/>
      <c r="N411" s="415"/>
      <c r="O411" s="415"/>
      <c r="P411" s="415"/>
      <c r="Q411" s="415"/>
      <c r="R411" s="415"/>
      <c r="S411" s="415"/>
      <c r="T411" s="415"/>
      <c r="U411" s="415"/>
      <c r="V411" s="415"/>
      <c r="W411" s="415"/>
      <c r="X411" s="415"/>
      <c r="Y411" s="415"/>
      <c r="Z411" s="415"/>
      <c r="AA411" s="415"/>
    </row>
    <row r="412">
      <c r="A412" s="415"/>
      <c r="B412" s="415"/>
      <c r="C412" s="415"/>
      <c r="D412" s="415"/>
      <c r="E412" s="415"/>
      <c r="F412" s="415"/>
      <c r="G412" s="415"/>
      <c r="H412" s="415"/>
      <c r="I412" s="415"/>
      <c r="J412" s="415"/>
      <c r="K412" s="415"/>
      <c r="L412" s="415"/>
      <c r="M412" s="415"/>
      <c r="N412" s="415"/>
      <c r="O412" s="415"/>
      <c r="P412" s="415"/>
      <c r="Q412" s="415"/>
      <c r="R412" s="415"/>
      <c r="S412" s="415"/>
      <c r="T412" s="415"/>
      <c r="U412" s="415"/>
      <c r="V412" s="415"/>
      <c r="W412" s="415"/>
      <c r="X412" s="415"/>
      <c r="Y412" s="415"/>
      <c r="Z412" s="415"/>
      <c r="AA412" s="415"/>
    </row>
    <row r="413">
      <c r="A413" s="415"/>
      <c r="B413" s="415"/>
      <c r="C413" s="415"/>
      <c r="D413" s="415"/>
      <c r="E413" s="415"/>
      <c r="F413" s="415"/>
      <c r="G413" s="415"/>
      <c r="H413" s="415"/>
      <c r="I413" s="415"/>
      <c r="J413" s="415"/>
      <c r="K413" s="415"/>
      <c r="L413" s="415"/>
      <c r="M413" s="415"/>
      <c r="N413" s="415"/>
      <c r="O413" s="415"/>
      <c r="P413" s="415"/>
      <c r="Q413" s="415"/>
      <c r="R413" s="415"/>
      <c r="S413" s="415"/>
      <c r="T413" s="415"/>
      <c r="U413" s="415"/>
      <c r="V413" s="415"/>
      <c r="W413" s="415"/>
      <c r="X413" s="415"/>
      <c r="Y413" s="415"/>
      <c r="Z413" s="415"/>
      <c r="AA413" s="415"/>
    </row>
    <row r="414">
      <c r="A414" s="415"/>
      <c r="B414" s="415"/>
      <c r="C414" s="415"/>
      <c r="D414" s="415"/>
      <c r="E414" s="415"/>
      <c r="F414" s="415"/>
      <c r="G414" s="415"/>
      <c r="H414" s="415"/>
      <c r="I414" s="415"/>
      <c r="J414" s="415"/>
      <c r="K414" s="415"/>
      <c r="L414" s="415"/>
      <c r="M414" s="415"/>
      <c r="N414" s="415"/>
      <c r="O414" s="415"/>
      <c r="P414" s="415"/>
      <c r="Q414" s="415"/>
      <c r="R414" s="415"/>
      <c r="S414" s="415"/>
      <c r="T414" s="415"/>
      <c r="U414" s="415"/>
      <c r="V414" s="415"/>
      <c r="W414" s="415"/>
      <c r="X414" s="415"/>
      <c r="Y414" s="415"/>
      <c r="Z414" s="415"/>
      <c r="AA414" s="415"/>
    </row>
    <row r="415">
      <c r="A415" s="415"/>
      <c r="B415" s="415"/>
      <c r="C415" s="415"/>
      <c r="D415" s="415"/>
      <c r="E415" s="415"/>
      <c r="F415" s="415"/>
      <c r="G415" s="415"/>
      <c r="H415" s="415"/>
      <c r="I415" s="415"/>
      <c r="J415" s="415"/>
      <c r="K415" s="415"/>
      <c r="L415" s="415"/>
      <c r="M415" s="415"/>
      <c r="N415" s="415"/>
      <c r="O415" s="415"/>
      <c r="P415" s="415"/>
      <c r="Q415" s="415"/>
      <c r="R415" s="415"/>
      <c r="S415" s="415"/>
      <c r="T415" s="415"/>
      <c r="U415" s="415"/>
      <c r="V415" s="415"/>
      <c r="W415" s="415"/>
      <c r="X415" s="415"/>
      <c r="Y415" s="415"/>
      <c r="Z415" s="415"/>
      <c r="AA415" s="415"/>
    </row>
    <row r="416">
      <c r="A416" s="415"/>
      <c r="B416" s="415"/>
      <c r="C416" s="415"/>
      <c r="D416" s="415"/>
      <c r="E416" s="415"/>
      <c r="F416" s="415"/>
      <c r="G416" s="415"/>
      <c r="H416" s="415"/>
      <c r="I416" s="415"/>
      <c r="J416" s="415"/>
      <c r="K416" s="415"/>
      <c r="L416" s="415"/>
      <c r="M416" s="415"/>
      <c r="N416" s="415"/>
      <c r="O416" s="415"/>
      <c r="P416" s="415"/>
      <c r="Q416" s="415"/>
      <c r="R416" s="415"/>
      <c r="S416" s="415"/>
      <c r="T416" s="415"/>
      <c r="U416" s="415"/>
      <c r="V416" s="415"/>
      <c r="W416" s="415"/>
      <c r="X416" s="415"/>
      <c r="Y416" s="415"/>
      <c r="Z416" s="415"/>
      <c r="AA416" s="415"/>
    </row>
    <row r="417">
      <c r="A417" s="415"/>
      <c r="B417" s="415"/>
      <c r="C417" s="415"/>
      <c r="D417" s="415"/>
      <c r="E417" s="415"/>
      <c r="F417" s="415"/>
      <c r="G417" s="415"/>
      <c r="H417" s="415"/>
      <c r="I417" s="415"/>
      <c r="J417" s="415"/>
      <c r="K417" s="415"/>
      <c r="L417" s="415"/>
      <c r="M417" s="415"/>
      <c r="N417" s="415"/>
      <c r="O417" s="415"/>
      <c r="P417" s="415"/>
      <c r="Q417" s="415"/>
      <c r="R417" s="415"/>
      <c r="S417" s="415"/>
      <c r="T417" s="415"/>
      <c r="U417" s="415"/>
      <c r="V417" s="415"/>
      <c r="W417" s="415"/>
      <c r="X417" s="415"/>
      <c r="Y417" s="415"/>
      <c r="Z417" s="415"/>
      <c r="AA417" s="415"/>
    </row>
    <row r="418">
      <c r="A418" s="415"/>
      <c r="B418" s="415"/>
      <c r="C418" s="415"/>
      <c r="D418" s="415"/>
      <c r="E418" s="415"/>
      <c r="F418" s="415"/>
      <c r="G418" s="415"/>
      <c r="H418" s="415"/>
      <c r="I418" s="415"/>
      <c r="J418" s="415"/>
      <c r="K418" s="415"/>
      <c r="L418" s="415"/>
      <c r="M418" s="415"/>
      <c r="N418" s="415"/>
      <c r="O418" s="415"/>
      <c r="P418" s="415"/>
      <c r="Q418" s="415"/>
      <c r="R418" s="415"/>
      <c r="S418" s="415"/>
      <c r="T418" s="415"/>
      <c r="U418" s="415"/>
      <c r="V418" s="415"/>
      <c r="W418" s="415"/>
      <c r="X418" s="415"/>
      <c r="Y418" s="415"/>
      <c r="Z418" s="415"/>
      <c r="AA418" s="415"/>
    </row>
    <row r="419">
      <c r="A419" s="415"/>
      <c r="B419" s="415"/>
      <c r="C419" s="415"/>
      <c r="D419" s="415"/>
      <c r="E419" s="415"/>
      <c r="F419" s="415"/>
      <c r="G419" s="415"/>
      <c r="H419" s="415"/>
      <c r="I419" s="415"/>
      <c r="J419" s="415"/>
      <c r="K419" s="415"/>
      <c r="L419" s="415"/>
      <c r="M419" s="415"/>
      <c r="N419" s="415"/>
      <c r="O419" s="415"/>
      <c r="P419" s="415"/>
      <c r="Q419" s="415"/>
      <c r="R419" s="415"/>
      <c r="S419" s="415"/>
      <c r="T419" s="415"/>
      <c r="U419" s="415"/>
      <c r="V419" s="415"/>
      <c r="W419" s="415"/>
      <c r="X419" s="415"/>
      <c r="Y419" s="415"/>
      <c r="Z419" s="415"/>
      <c r="AA419" s="415"/>
    </row>
    <row r="420">
      <c r="A420" s="415"/>
      <c r="B420" s="415"/>
      <c r="C420" s="415"/>
      <c r="D420" s="415"/>
      <c r="E420" s="415"/>
      <c r="F420" s="415"/>
      <c r="G420" s="415"/>
      <c r="H420" s="415"/>
      <c r="I420" s="415"/>
      <c r="J420" s="415"/>
      <c r="K420" s="415"/>
      <c r="L420" s="415"/>
      <c r="M420" s="415"/>
      <c r="N420" s="415"/>
      <c r="O420" s="415"/>
      <c r="P420" s="415"/>
      <c r="Q420" s="415"/>
      <c r="R420" s="415"/>
      <c r="S420" s="415"/>
      <c r="T420" s="415"/>
      <c r="U420" s="415"/>
      <c r="V420" s="415"/>
      <c r="W420" s="415"/>
      <c r="X420" s="415"/>
      <c r="Y420" s="415"/>
      <c r="Z420" s="415"/>
      <c r="AA420" s="415"/>
    </row>
    <row r="421">
      <c r="A421" s="415"/>
      <c r="B421" s="415"/>
      <c r="C421" s="415"/>
      <c r="D421" s="415"/>
      <c r="E421" s="415"/>
      <c r="F421" s="415"/>
      <c r="G421" s="415"/>
      <c r="H421" s="415"/>
      <c r="I421" s="415"/>
      <c r="J421" s="415"/>
      <c r="K421" s="415"/>
      <c r="L421" s="415"/>
      <c r="M421" s="415"/>
      <c r="N421" s="415"/>
      <c r="O421" s="415"/>
      <c r="P421" s="415"/>
      <c r="Q421" s="415"/>
      <c r="R421" s="415"/>
      <c r="S421" s="415"/>
      <c r="T421" s="415"/>
      <c r="U421" s="415"/>
      <c r="V421" s="415"/>
      <c r="W421" s="415"/>
      <c r="X421" s="415"/>
      <c r="Y421" s="415"/>
      <c r="Z421" s="415"/>
      <c r="AA421" s="415"/>
    </row>
    <row r="422">
      <c r="A422" s="415"/>
      <c r="B422" s="415"/>
      <c r="C422" s="415"/>
      <c r="D422" s="415"/>
      <c r="E422" s="415"/>
      <c r="F422" s="415"/>
      <c r="G422" s="415"/>
      <c r="H422" s="415"/>
      <c r="I422" s="415"/>
      <c r="J422" s="415"/>
      <c r="K422" s="415"/>
      <c r="L422" s="415"/>
      <c r="M422" s="415"/>
      <c r="N422" s="415"/>
      <c r="O422" s="415"/>
      <c r="P422" s="415"/>
      <c r="Q422" s="415"/>
      <c r="R422" s="415"/>
      <c r="S422" s="415"/>
      <c r="T422" s="415"/>
      <c r="U422" s="415"/>
      <c r="V422" s="415"/>
      <c r="W422" s="415"/>
      <c r="X422" s="415"/>
      <c r="Y422" s="415"/>
      <c r="Z422" s="415"/>
      <c r="AA422" s="415"/>
    </row>
    <row r="423">
      <c r="A423" s="415"/>
      <c r="B423" s="415"/>
      <c r="C423" s="415"/>
      <c r="D423" s="415"/>
      <c r="E423" s="415"/>
      <c r="F423" s="415"/>
      <c r="G423" s="415"/>
      <c r="H423" s="415"/>
      <c r="I423" s="415"/>
      <c r="J423" s="415"/>
      <c r="K423" s="415"/>
      <c r="L423" s="415"/>
      <c r="M423" s="415"/>
      <c r="N423" s="415"/>
      <c r="O423" s="415"/>
      <c r="P423" s="415"/>
      <c r="Q423" s="415"/>
      <c r="R423" s="415"/>
      <c r="S423" s="415"/>
      <c r="T423" s="415"/>
      <c r="U423" s="415"/>
      <c r="V423" s="415"/>
      <c r="W423" s="415"/>
      <c r="X423" s="415"/>
      <c r="Y423" s="415"/>
      <c r="Z423" s="415"/>
      <c r="AA423" s="415"/>
    </row>
    <row r="424">
      <c r="A424" s="415"/>
      <c r="B424" s="415"/>
      <c r="C424" s="415"/>
      <c r="D424" s="415"/>
      <c r="E424" s="415"/>
      <c r="F424" s="415"/>
      <c r="G424" s="415"/>
      <c r="H424" s="415"/>
      <c r="I424" s="415"/>
      <c r="J424" s="415"/>
      <c r="K424" s="415"/>
      <c r="L424" s="415"/>
      <c r="M424" s="415"/>
      <c r="N424" s="415"/>
      <c r="O424" s="415"/>
      <c r="P424" s="415"/>
      <c r="Q424" s="415"/>
      <c r="R424" s="415"/>
      <c r="S424" s="415"/>
      <c r="T424" s="415"/>
      <c r="U424" s="415"/>
      <c r="V424" s="415"/>
      <c r="W424" s="415"/>
      <c r="X424" s="415"/>
      <c r="Y424" s="415"/>
      <c r="Z424" s="415"/>
      <c r="AA424" s="415"/>
    </row>
    <row r="425">
      <c r="A425" s="415"/>
      <c r="B425" s="415"/>
      <c r="C425" s="415"/>
      <c r="D425" s="415"/>
      <c r="E425" s="415"/>
      <c r="F425" s="415"/>
      <c r="G425" s="415"/>
      <c r="H425" s="415"/>
      <c r="I425" s="415"/>
      <c r="J425" s="415"/>
      <c r="K425" s="415"/>
      <c r="L425" s="415"/>
      <c r="M425" s="415"/>
      <c r="N425" s="415"/>
      <c r="O425" s="415"/>
      <c r="P425" s="415"/>
      <c r="Q425" s="415"/>
      <c r="R425" s="415"/>
      <c r="S425" s="415"/>
      <c r="T425" s="415"/>
      <c r="U425" s="415"/>
      <c r="V425" s="415"/>
      <c r="W425" s="415"/>
      <c r="X425" s="415"/>
      <c r="Y425" s="415"/>
      <c r="Z425" s="415"/>
      <c r="AA425" s="415"/>
    </row>
    <row r="426">
      <c r="A426" s="415"/>
      <c r="B426" s="415"/>
      <c r="C426" s="415"/>
      <c r="D426" s="415"/>
      <c r="E426" s="415"/>
      <c r="F426" s="415"/>
      <c r="G426" s="415"/>
      <c r="H426" s="415"/>
      <c r="I426" s="415"/>
      <c r="J426" s="415"/>
      <c r="K426" s="415"/>
      <c r="L426" s="415"/>
      <c r="M426" s="415"/>
      <c r="N426" s="415"/>
      <c r="O426" s="415"/>
      <c r="P426" s="415"/>
      <c r="Q426" s="415"/>
      <c r="R426" s="415"/>
      <c r="S426" s="415"/>
      <c r="T426" s="415"/>
      <c r="U426" s="415"/>
      <c r="V426" s="415"/>
      <c r="W426" s="415"/>
      <c r="X426" s="415"/>
      <c r="Y426" s="415"/>
      <c r="Z426" s="415"/>
      <c r="AA426" s="415"/>
    </row>
    <row r="427">
      <c r="A427" s="415"/>
      <c r="B427" s="415"/>
      <c r="C427" s="415"/>
      <c r="D427" s="415"/>
      <c r="E427" s="415"/>
      <c r="F427" s="415"/>
      <c r="G427" s="415"/>
      <c r="H427" s="415"/>
      <c r="I427" s="415"/>
      <c r="J427" s="415"/>
      <c r="K427" s="415"/>
      <c r="L427" s="415"/>
      <c r="M427" s="415"/>
      <c r="N427" s="415"/>
      <c r="O427" s="415"/>
      <c r="P427" s="415"/>
      <c r="Q427" s="415"/>
      <c r="R427" s="415"/>
      <c r="S427" s="415"/>
      <c r="T427" s="415"/>
      <c r="U427" s="415"/>
      <c r="V427" s="415"/>
      <c r="W427" s="415"/>
      <c r="X427" s="415"/>
      <c r="Y427" s="415"/>
      <c r="Z427" s="415"/>
      <c r="AA427" s="415"/>
    </row>
    <row r="428">
      <c r="A428" s="415"/>
      <c r="B428" s="415"/>
      <c r="C428" s="415"/>
      <c r="D428" s="415"/>
      <c r="E428" s="415"/>
      <c r="F428" s="415"/>
      <c r="G428" s="415"/>
      <c r="H428" s="415"/>
      <c r="I428" s="415"/>
      <c r="J428" s="415"/>
      <c r="K428" s="415"/>
      <c r="L428" s="415"/>
      <c r="M428" s="415"/>
      <c r="N428" s="415"/>
      <c r="O428" s="415"/>
      <c r="P428" s="415"/>
      <c r="Q428" s="415"/>
      <c r="R428" s="415"/>
      <c r="S428" s="415"/>
      <c r="T428" s="415"/>
      <c r="U428" s="415"/>
      <c r="V428" s="415"/>
      <c r="W428" s="415"/>
      <c r="X428" s="415"/>
      <c r="Y428" s="415"/>
      <c r="Z428" s="415"/>
      <c r="AA428" s="415"/>
    </row>
    <row r="429">
      <c r="A429" s="415"/>
      <c r="B429" s="415"/>
      <c r="C429" s="415"/>
      <c r="D429" s="415"/>
      <c r="E429" s="415"/>
      <c r="F429" s="415"/>
      <c r="G429" s="415"/>
      <c r="H429" s="415"/>
      <c r="I429" s="415"/>
      <c r="J429" s="415"/>
      <c r="K429" s="415"/>
      <c r="L429" s="415"/>
      <c r="M429" s="415"/>
      <c r="N429" s="415"/>
      <c r="O429" s="415"/>
      <c r="P429" s="415"/>
      <c r="Q429" s="415"/>
      <c r="R429" s="415"/>
      <c r="S429" s="415"/>
      <c r="T429" s="415"/>
      <c r="U429" s="415"/>
      <c r="V429" s="415"/>
      <c r="W429" s="415"/>
      <c r="X429" s="415"/>
      <c r="Y429" s="415"/>
      <c r="Z429" s="415"/>
      <c r="AA429" s="415"/>
    </row>
    <row r="430">
      <c r="A430" s="415"/>
      <c r="B430" s="415"/>
      <c r="C430" s="415"/>
      <c r="D430" s="415"/>
      <c r="E430" s="415"/>
      <c r="F430" s="415"/>
      <c r="G430" s="415"/>
      <c r="H430" s="415"/>
      <c r="I430" s="415"/>
      <c r="J430" s="415"/>
      <c r="K430" s="415"/>
      <c r="L430" s="415"/>
      <c r="M430" s="415"/>
      <c r="N430" s="415"/>
      <c r="O430" s="415"/>
      <c r="P430" s="415"/>
      <c r="Q430" s="415"/>
      <c r="R430" s="415"/>
      <c r="S430" s="415"/>
      <c r="T430" s="415"/>
      <c r="U430" s="415"/>
      <c r="V430" s="415"/>
      <c r="W430" s="415"/>
      <c r="X430" s="415"/>
      <c r="Y430" s="415"/>
      <c r="Z430" s="415"/>
      <c r="AA430" s="415"/>
    </row>
    <row r="431">
      <c r="A431" s="415"/>
      <c r="B431" s="415"/>
      <c r="C431" s="415"/>
      <c r="D431" s="415"/>
      <c r="E431" s="415"/>
      <c r="F431" s="415"/>
      <c r="G431" s="415"/>
      <c r="H431" s="415"/>
      <c r="I431" s="415"/>
      <c r="J431" s="415"/>
      <c r="K431" s="415"/>
      <c r="L431" s="415"/>
      <c r="M431" s="415"/>
      <c r="N431" s="415"/>
      <c r="O431" s="415"/>
      <c r="P431" s="415"/>
      <c r="Q431" s="415"/>
      <c r="R431" s="415"/>
      <c r="S431" s="415"/>
      <c r="T431" s="415"/>
      <c r="U431" s="415"/>
      <c r="V431" s="415"/>
      <c r="W431" s="415"/>
      <c r="X431" s="415"/>
      <c r="Y431" s="415"/>
      <c r="Z431" s="415"/>
      <c r="AA431" s="415"/>
    </row>
    <row r="432">
      <c r="A432" s="415"/>
      <c r="B432" s="415"/>
      <c r="C432" s="415"/>
      <c r="D432" s="415"/>
      <c r="E432" s="415"/>
      <c r="F432" s="415"/>
      <c r="G432" s="415"/>
      <c r="H432" s="415"/>
      <c r="I432" s="415"/>
      <c r="J432" s="415"/>
      <c r="K432" s="415"/>
      <c r="L432" s="415"/>
      <c r="M432" s="415"/>
      <c r="N432" s="415"/>
      <c r="O432" s="415"/>
      <c r="P432" s="415"/>
      <c r="Q432" s="415"/>
      <c r="R432" s="415"/>
      <c r="S432" s="415"/>
      <c r="T432" s="415"/>
      <c r="U432" s="415"/>
      <c r="V432" s="415"/>
      <c r="W432" s="415"/>
      <c r="X432" s="415"/>
      <c r="Y432" s="415"/>
      <c r="Z432" s="415"/>
      <c r="AA432" s="415"/>
    </row>
    <row r="433">
      <c r="A433" s="415"/>
      <c r="B433" s="415"/>
      <c r="C433" s="415"/>
      <c r="D433" s="415"/>
      <c r="E433" s="415"/>
      <c r="F433" s="415"/>
      <c r="G433" s="415"/>
      <c r="H433" s="415"/>
      <c r="I433" s="415"/>
      <c r="J433" s="415"/>
      <c r="K433" s="415"/>
      <c r="L433" s="415"/>
      <c r="M433" s="415"/>
      <c r="N433" s="415"/>
      <c r="O433" s="415"/>
      <c r="P433" s="415"/>
      <c r="Q433" s="415"/>
      <c r="R433" s="415"/>
      <c r="S433" s="415"/>
      <c r="T433" s="415"/>
      <c r="U433" s="415"/>
      <c r="V433" s="415"/>
      <c r="W433" s="415"/>
      <c r="X433" s="415"/>
      <c r="Y433" s="415"/>
      <c r="Z433" s="415"/>
      <c r="AA433" s="415"/>
    </row>
    <row r="434">
      <c r="A434" s="415"/>
      <c r="B434" s="415"/>
      <c r="C434" s="415"/>
      <c r="D434" s="415"/>
      <c r="E434" s="415"/>
      <c r="F434" s="415"/>
      <c r="G434" s="415"/>
      <c r="H434" s="415"/>
      <c r="I434" s="415"/>
      <c r="J434" s="415"/>
      <c r="K434" s="415"/>
      <c r="L434" s="415"/>
      <c r="M434" s="415"/>
      <c r="N434" s="415"/>
      <c r="O434" s="415"/>
      <c r="P434" s="415"/>
      <c r="Q434" s="415"/>
      <c r="R434" s="415"/>
      <c r="S434" s="415"/>
      <c r="T434" s="415"/>
      <c r="U434" s="415"/>
      <c r="V434" s="415"/>
      <c r="W434" s="415"/>
      <c r="X434" s="415"/>
      <c r="Y434" s="415"/>
      <c r="Z434" s="415"/>
      <c r="AA434" s="415"/>
    </row>
    <row r="435">
      <c r="A435" s="415"/>
      <c r="B435" s="415"/>
      <c r="C435" s="415"/>
      <c r="D435" s="415"/>
      <c r="E435" s="415"/>
      <c r="F435" s="415"/>
      <c r="G435" s="415"/>
      <c r="H435" s="415"/>
      <c r="I435" s="415"/>
      <c r="J435" s="415"/>
      <c r="K435" s="415"/>
      <c r="L435" s="415"/>
      <c r="M435" s="415"/>
      <c r="N435" s="415"/>
      <c r="O435" s="415"/>
      <c r="P435" s="415"/>
      <c r="Q435" s="415"/>
      <c r="R435" s="415"/>
      <c r="S435" s="415"/>
      <c r="T435" s="415"/>
      <c r="U435" s="415"/>
      <c r="V435" s="415"/>
      <c r="W435" s="415"/>
      <c r="X435" s="415"/>
      <c r="Y435" s="415"/>
      <c r="Z435" s="415"/>
      <c r="AA435" s="415"/>
    </row>
    <row r="436">
      <c r="A436" s="415"/>
      <c r="B436" s="415"/>
      <c r="C436" s="415"/>
      <c r="D436" s="415"/>
      <c r="E436" s="415"/>
      <c r="F436" s="415"/>
      <c r="G436" s="415"/>
      <c r="H436" s="415"/>
      <c r="I436" s="415"/>
      <c r="J436" s="415"/>
      <c r="K436" s="415"/>
      <c r="L436" s="415"/>
      <c r="M436" s="415"/>
      <c r="N436" s="415"/>
      <c r="O436" s="415"/>
      <c r="P436" s="415"/>
      <c r="Q436" s="415"/>
      <c r="R436" s="415"/>
      <c r="S436" s="415"/>
      <c r="T436" s="415"/>
      <c r="U436" s="415"/>
      <c r="V436" s="415"/>
      <c r="W436" s="415"/>
      <c r="X436" s="415"/>
      <c r="Y436" s="415"/>
      <c r="Z436" s="415"/>
      <c r="AA436" s="415"/>
    </row>
    <row r="437">
      <c r="A437" s="415"/>
      <c r="B437" s="415"/>
      <c r="C437" s="415"/>
      <c r="D437" s="415"/>
      <c r="E437" s="415"/>
      <c r="F437" s="415"/>
      <c r="G437" s="415"/>
      <c r="H437" s="415"/>
      <c r="I437" s="415"/>
      <c r="J437" s="415"/>
      <c r="K437" s="415"/>
      <c r="L437" s="415"/>
      <c r="M437" s="415"/>
      <c r="N437" s="415"/>
      <c r="O437" s="415"/>
      <c r="P437" s="415"/>
      <c r="Q437" s="415"/>
      <c r="R437" s="415"/>
      <c r="S437" s="415"/>
      <c r="T437" s="415"/>
      <c r="U437" s="415"/>
      <c r="V437" s="415"/>
      <c r="W437" s="415"/>
      <c r="X437" s="415"/>
      <c r="Y437" s="415"/>
      <c r="Z437" s="415"/>
      <c r="AA437" s="415"/>
    </row>
    <row r="438">
      <c r="A438" s="415"/>
      <c r="B438" s="415"/>
      <c r="C438" s="415"/>
      <c r="D438" s="415"/>
      <c r="E438" s="415"/>
      <c r="F438" s="415"/>
      <c r="G438" s="415"/>
      <c r="H438" s="415"/>
      <c r="I438" s="415"/>
      <c r="J438" s="415"/>
      <c r="K438" s="415"/>
      <c r="L438" s="415"/>
      <c r="M438" s="415"/>
      <c r="N438" s="415"/>
      <c r="O438" s="415"/>
      <c r="P438" s="415"/>
      <c r="Q438" s="415"/>
      <c r="R438" s="415"/>
      <c r="S438" s="415"/>
      <c r="T438" s="415"/>
      <c r="U438" s="415"/>
      <c r="V438" s="415"/>
      <c r="W438" s="415"/>
      <c r="X438" s="415"/>
      <c r="Y438" s="415"/>
      <c r="Z438" s="415"/>
      <c r="AA438" s="415"/>
    </row>
    <row r="439">
      <c r="A439" s="415"/>
      <c r="B439" s="415"/>
      <c r="C439" s="415"/>
      <c r="D439" s="415"/>
      <c r="E439" s="415"/>
      <c r="F439" s="415"/>
      <c r="G439" s="415"/>
      <c r="H439" s="415"/>
      <c r="I439" s="415"/>
      <c r="J439" s="415"/>
      <c r="K439" s="415"/>
      <c r="L439" s="415"/>
      <c r="M439" s="415"/>
      <c r="N439" s="415"/>
      <c r="O439" s="415"/>
      <c r="P439" s="415"/>
      <c r="Q439" s="415"/>
      <c r="R439" s="415"/>
      <c r="S439" s="415"/>
      <c r="T439" s="415"/>
      <c r="U439" s="415"/>
      <c r="V439" s="415"/>
      <c r="W439" s="415"/>
      <c r="X439" s="415"/>
      <c r="Y439" s="415"/>
      <c r="Z439" s="415"/>
      <c r="AA439" s="415"/>
    </row>
    <row r="440">
      <c r="A440" s="415"/>
      <c r="B440" s="415"/>
      <c r="C440" s="415"/>
      <c r="D440" s="415"/>
      <c r="E440" s="415"/>
      <c r="F440" s="415"/>
      <c r="G440" s="415"/>
      <c r="H440" s="415"/>
      <c r="I440" s="415"/>
      <c r="J440" s="415"/>
      <c r="K440" s="415"/>
      <c r="L440" s="415"/>
      <c r="M440" s="415"/>
      <c r="N440" s="415"/>
      <c r="O440" s="415"/>
      <c r="P440" s="415"/>
      <c r="Q440" s="415"/>
      <c r="R440" s="415"/>
      <c r="S440" s="415"/>
      <c r="T440" s="415"/>
      <c r="U440" s="415"/>
      <c r="V440" s="415"/>
      <c r="W440" s="415"/>
      <c r="X440" s="415"/>
      <c r="Y440" s="415"/>
      <c r="Z440" s="415"/>
      <c r="AA440" s="415"/>
    </row>
    <row r="441">
      <c r="A441" s="415"/>
      <c r="B441" s="415"/>
      <c r="C441" s="415"/>
      <c r="D441" s="415"/>
      <c r="E441" s="415"/>
      <c r="F441" s="415"/>
      <c r="G441" s="415"/>
      <c r="H441" s="415"/>
      <c r="I441" s="415"/>
      <c r="J441" s="415"/>
      <c r="K441" s="415"/>
      <c r="L441" s="415"/>
      <c r="M441" s="415"/>
      <c r="N441" s="415"/>
      <c r="O441" s="415"/>
      <c r="P441" s="415"/>
      <c r="Q441" s="415"/>
      <c r="R441" s="415"/>
      <c r="S441" s="415"/>
      <c r="T441" s="415"/>
      <c r="U441" s="415"/>
      <c r="V441" s="415"/>
      <c r="W441" s="415"/>
      <c r="X441" s="415"/>
      <c r="Y441" s="415"/>
      <c r="Z441" s="415"/>
      <c r="AA441" s="415"/>
    </row>
    <row r="442">
      <c r="A442" s="415"/>
      <c r="B442" s="415"/>
      <c r="C442" s="415"/>
      <c r="D442" s="415"/>
      <c r="E442" s="415"/>
      <c r="F442" s="415"/>
      <c r="G442" s="415"/>
      <c r="H442" s="415"/>
      <c r="I442" s="415"/>
      <c r="J442" s="415"/>
      <c r="K442" s="415"/>
      <c r="L442" s="415"/>
      <c r="M442" s="415"/>
      <c r="N442" s="415"/>
      <c r="O442" s="415"/>
      <c r="P442" s="415"/>
      <c r="Q442" s="415"/>
      <c r="R442" s="415"/>
      <c r="S442" s="415"/>
      <c r="T442" s="415"/>
      <c r="U442" s="415"/>
      <c r="V442" s="415"/>
      <c r="W442" s="415"/>
      <c r="X442" s="415"/>
      <c r="Y442" s="415"/>
      <c r="Z442" s="415"/>
      <c r="AA442" s="415"/>
    </row>
    <row r="443">
      <c r="A443" s="415"/>
      <c r="B443" s="415"/>
      <c r="C443" s="415"/>
      <c r="D443" s="415"/>
      <c r="E443" s="415"/>
      <c r="F443" s="415"/>
      <c r="G443" s="415"/>
      <c r="H443" s="415"/>
      <c r="I443" s="415"/>
      <c r="J443" s="415"/>
      <c r="K443" s="415"/>
      <c r="L443" s="415"/>
      <c r="M443" s="415"/>
      <c r="N443" s="415"/>
      <c r="O443" s="415"/>
      <c r="P443" s="415"/>
      <c r="Q443" s="415"/>
      <c r="R443" s="415"/>
      <c r="S443" s="415"/>
      <c r="T443" s="415"/>
      <c r="U443" s="415"/>
      <c r="V443" s="415"/>
      <c r="W443" s="415"/>
      <c r="X443" s="415"/>
      <c r="Y443" s="415"/>
      <c r="Z443" s="415"/>
      <c r="AA443" s="415"/>
    </row>
    <row r="444">
      <c r="A444" s="415"/>
      <c r="B444" s="415"/>
      <c r="C444" s="415"/>
      <c r="D444" s="415"/>
      <c r="E444" s="415"/>
      <c r="F444" s="415"/>
      <c r="G444" s="415"/>
      <c r="H444" s="415"/>
      <c r="I444" s="415"/>
      <c r="J444" s="415"/>
      <c r="K444" s="415"/>
      <c r="L444" s="415"/>
      <c r="M444" s="415"/>
      <c r="N444" s="415"/>
      <c r="O444" s="415"/>
      <c r="P444" s="415"/>
      <c r="Q444" s="415"/>
      <c r="R444" s="415"/>
      <c r="S444" s="415"/>
      <c r="T444" s="415"/>
      <c r="U444" s="415"/>
      <c r="V444" s="415"/>
      <c r="W444" s="415"/>
      <c r="X444" s="415"/>
      <c r="Y444" s="415"/>
      <c r="Z444" s="415"/>
      <c r="AA444" s="415"/>
    </row>
    <row r="445">
      <c r="A445" s="415"/>
      <c r="B445" s="415"/>
      <c r="C445" s="415"/>
      <c r="D445" s="415"/>
      <c r="E445" s="415"/>
      <c r="F445" s="415"/>
      <c r="G445" s="415"/>
      <c r="H445" s="415"/>
      <c r="I445" s="415"/>
      <c r="J445" s="415"/>
      <c r="K445" s="415"/>
      <c r="L445" s="415"/>
      <c r="M445" s="415"/>
      <c r="N445" s="415"/>
      <c r="O445" s="415"/>
      <c r="P445" s="415"/>
      <c r="Q445" s="415"/>
      <c r="R445" s="415"/>
      <c r="S445" s="415"/>
      <c r="T445" s="415"/>
      <c r="U445" s="415"/>
      <c r="V445" s="415"/>
      <c r="W445" s="415"/>
      <c r="X445" s="415"/>
      <c r="Y445" s="415"/>
      <c r="Z445" s="415"/>
      <c r="AA445" s="415"/>
    </row>
    <row r="446">
      <c r="A446" s="415"/>
      <c r="B446" s="415"/>
      <c r="C446" s="415"/>
      <c r="D446" s="415"/>
      <c r="E446" s="415"/>
      <c r="F446" s="415"/>
      <c r="G446" s="415"/>
      <c r="H446" s="415"/>
      <c r="I446" s="415"/>
      <c r="J446" s="415"/>
      <c r="K446" s="415"/>
      <c r="L446" s="415"/>
      <c r="M446" s="415"/>
      <c r="N446" s="415"/>
      <c r="O446" s="415"/>
      <c r="P446" s="415"/>
      <c r="Q446" s="415"/>
      <c r="R446" s="415"/>
      <c r="S446" s="415"/>
      <c r="T446" s="415"/>
      <c r="U446" s="415"/>
      <c r="V446" s="415"/>
      <c r="W446" s="415"/>
      <c r="X446" s="415"/>
      <c r="Y446" s="415"/>
      <c r="Z446" s="415"/>
      <c r="AA446" s="415"/>
    </row>
    <row r="447">
      <c r="A447" s="415"/>
      <c r="B447" s="415"/>
      <c r="C447" s="415"/>
      <c r="D447" s="415"/>
      <c r="E447" s="415"/>
      <c r="F447" s="415"/>
      <c r="G447" s="415"/>
      <c r="H447" s="415"/>
      <c r="I447" s="415"/>
      <c r="J447" s="415"/>
      <c r="K447" s="415"/>
      <c r="L447" s="415"/>
      <c r="M447" s="415"/>
      <c r="N447" s="415"/>
      <c r="O447" s="415"/>
      <c r="P447" s="415"/>
      <c r="Q447" s="415"/>
      <c r="R447" s="415"/>
      <c r="S447" s="415"/>
      <c r="T447" s="415"/>
      <c r="U447" s="415"/>
      <c r="V447" s="415"/>
      <c r="W447" s="415"/>
      <c r="X447" s="415"/>
      <c r="Y447" s="415"/>
      <c r="Z447" s="415"/>
      <c r="AA447" s="415"/>
    </row>
    <row r="448">
      <c r="A448" s="415"/>
      <c r="B448" s="415"/>
      <c r="C448" s="415"/>
      <c r="D448" s="415"/>
      <c r="E448" s="415"/>
      <c r="F448" s="415"/>
      <c r="G448" s="415"/>
      <c r="H448" s="415"/>
      <c r="I448" s="415"/>
      <c r="J448" s="415"/>
      <c r="K448" s="415"/>
      <c r="L448" s="415"/>
      <c r="M448" s="415"/>
      <c r="N448" s="415"/>
      <c r="O448" s="415"/>
      <c r="P448" s="415"/>
      <c r="Q448" s="415"/>
      <c r="R448" s="415"/>
      <c r="S448" s="415"/>
      <c r="T448" s="415"/>
      <c r="U448" s="415"/>
      <c r="V448" s="415"/>
      <c r="W448" s="415"/>
      <c r="X448" s="415"/>
      <c r="Y448" s="415"/>
      <c r="Z448" s="415"/>
      <c r="AA448" s="415"/>
    </row>
    <row r="449">
      <c r="A449" s="415"/>
      <c r="B449" s="415"/>
      <c r="C449" s="415"/>
      <c r="D449" s="415"/>
      <c r="E449" s="415"/>
      <c r="F449" s="415"/>
      <c r="G449" s="415"/>
      <c r="H449" s="415"/>
      <c r="I449" s="415"/>
      <c r="J449" s="415"/>
      <c r="K449" s="415"/>
      <c r="L449" s="415"/>
      <c r="M449" s="415"/>
      <c r="N449" s="415"/>
      <c r="O449" s="415"/>
      <c r="P449" s="415"/>
      <c r="Q449" s="415"/>
      <c r="R449" s="415"/>
      <c r="S449" s="415"/>
      <c r="T449" s="415"/>
      <c r="U449" s="415"/>
      <c r="V449" s="415"/>
      <c r="W449" s="415"/>
      <c r="X449" s="415"/>
      <c r="Y449" s="415"/>
      <c r="Z449" s="415"/>
      <c r="AA449" s="415"/>
    </row>
    <row r="450">
      <c r="A450" s="415"/>
      <c r="B450" s="415"/>
      <c r="C450" s="415"/>
      <c r="D450" s="415"/>
      <c r="E450" s="415"/>
      <c r="F450" s="415"/>
      <c r="G450" s="415"/>
      <c r="H450" s="415"/>
      <c r="I450" s="415"/>
      <c r="J450" s="415"/>
      <c r="K450" s="415"/>
      <c r="L450" s="415"/>
      <c r="M450" s="415"/>
      <c r="N450" s="415"/>
      <c r="O450" s="415"/>
      <c r="P450" s="415"/>
      <c r="Q450" s="415"/>
      <c r="R450" s="415"/>
      <c r="S450" s="415"/>
      <c r="T450" s="415"/>
      <c r="U450" s="415"/>
      <c r="V450" s="415"/>
      <c r="W450" s="415"/>
      <c r="X450" s="415"/>
      <c r="Y450" s="415"/>
      <c r="Z450" s="415"/>
      <c r="AA450" s="415"/>
    </row>
    <row r="451">
      <c r="A451" s="415"/>
      <c r="B451" s="415"/>
      <c r="C451" s="415"/>
      <c r="D451" s="415"/>
      <c r="E451" s="415"/>
      <c r="F451" s="415"/>
      <c r="G451" s="415"/>
      <c r="H451" s="415"/>
      <c r="I451" s="415"/>
      <c r="J451" s="415"/>
      <c r="K451" s="415"/>
      <c r="L451" s="415"/>
      <c r="M451" s="415"/>
      <c r="N451" s="415"/>
      <c r="O451" s="415"/>
      <c r="P451" s="415"/>
      <c r="Q451" s="415"/>
      <c r="R451" s="415"/>
      <c r="S451" s="415"/>
      <c r="T451" s="415"/>
      <c r="U451" s="415"/>
      <c r="V451" s="415"/>
      <c r="W451" s="415"/>
      <c r="X451" s="415"/>
      <c r="Y451" s="415"/>
      <c r="Z451" s="415"/>
      <c r="AA451" s="415"/>
    </row>
    <row r="452">
      <c r="A452" s="415"/>
      <c r="B452" s="415"/>
      <c r="C452" s="415"/>
      <c r="D452" s="415"/>
      <c r="E452" s="415"/>
      <c r="F452" s="415"/>
      <c r="G452" s="415"/>
      <c r="H452" s="415"/>
      <c r="I452" s="415"/>
      <c r="J452" s="415"/>
      <c r="K452" s="415"/>
      <c r="L452" s="415"/>
      <c r="M452" s="415"/>
      <c r="N452" s="415"/>
      <c r="O452" s="415"/>
      <c r="P452" s="415"/>
      <c r="Q452" s="415"/>
      <c r="R452" s="415"/>
      <c r="S452" s="415"/>
      <c r="T452" s="415"/>
      <c r="U452" s="415"/>
      <c r="V452" s="415"/>
      <c r="W452" s="415"/>
      <c r="X452" s="415"/>
      <c r="Y452" s="415"/>
      <c r="Z452" s="415"/>
      <c r="AA452" s="415"/>
    </row>
    <row r="453">
      <c r="A453" s="415"/>
      <c r="B453" s="415"/>
      <c r="C453" s="415"/>
      <c r="D453" s="415"/>
      <c r="E453" s="415"/>
      <c r="F453" s="415"/>
      <c r="G453" s="415"/>
      <c r="H453" s="415"/>
      <c r="I453" s="415"/>
      <c r="J453" s="415"/>
      <c r="K453" s="415"/>
      <c r="L453" s="415"/>
      <c r="M453" s="415"/>
      <c r="N453" s="415"/>
      <c r="O453" s="415"/>
      <c r="P453" s="415"/>
      <c r="Q453" s="415"/>
      <c r="R453" s="415"/>
      <c r="S453" s="415"/>
      <c r="T453" s="415"/>
      <c r="U453" s="415"/>
      <c r="V453" s="415"/>
      <c r="W453" s="415"/>
      <c r="X453" s="415"/>
      <c r="Y453" s="415"/>
      <c r="Z453" s="415"/>
      <c r="AA453" s="415"/>
    </row>
    <row r="454">
      <c r="A454" s="415"/>
      <c r="B454" s="415"/>
      <c r="C454" s="415"/>
      <c r="D454" s="415"/>
      <c r="E454" s="415"/>
      <c r="F454" s="415"/>
      <c r="G454" s="415"/>
      <c r="H454" s="415"/>
      <c r="I454" s="415"/>
      <c r="J454" s="415"/>
      <c r="K454" s="415"/>
      <c r="L454" s="415"/>
      <c r="M454" s="415"/>
      <c r="N454" s="415"/>
      <c r="O454" s="415"/>
      <c r="P454" s="415"/>
      <c r="Q454" s="415"/>
      <c r="R454" s="415"/>
      <c r="S454" s="415"/>
      <c r="T454" s="415"/>
      <c r="U454" s="415"/>
      <c r="V454" s="415"/>
      <c r="W454" s="415"/>
      <c r="X454" s="415"/>
      <c r="Y454" s="415"/>
      <c r="Z454" s="415"/>
      <c r="AA454" s="415"/>
    </row>
    <row r="455">
      <c r="A455" s="415"/>
      <c r="B455" s="415"/>
      <c r="C455" s="415"/>
      <c r="D455" s="415"/>
      <c r="E455" s="415"/>
      <c r="F455" s="415"/>
      <c r="G455" s="415"/>
      <c r="H455" s="415"/>
      <c r="I455" s="415"/>
      <c r="J455" s="415"/>
      <c r="K455" s="415"/>
      <c r="L455" s="415"/>
      <c r="M455" s="415"/>
      <c r="N455" s="415"/>
      <c r="O455" s="415"/>
      <c r="P455" s="415"/>
      <c r="Q455" s="415"/>
      <c r="R455" s="415"/>
      <c r="S455" s="415"/>
      <c r="T455" s="415"/>
      <c r="U455" s="415"/>
      <c r="V455" s="415"/>
      <c r="W455" s="415"/>
      <c r="X455" s="415"/>
      <c r="Y455" s="415"/>
      <c r="Z455" s="415"/>
      <c r="AA455" s="415"/>
    </row>
    <row r="456">
      <c r="A456" s="415"/>
      <c r="B456" s="415"/>
      <c r="C456" s="415"/>
      <c r="D456" s="415"/>
      <c r="E456" s="415"/>
      <c r="F456" s="415"/>
      <c r="G456" s="415"/>
      <c r="H456" s="415"/>
      <c r="I456" s="415"/>
      <c r="J456" s="415"/>
      <c r="K456" s="415"/>
      <c r="L456" s="415"/>
      <c r="M456" s="415"/>
      <c r="N456" s="415"/>
      <c r="O456" s="415"/>
      <c r="P456" s="415"/>
      <c r="Q456" s="415"/>
      <c r="R456" s="415"/>
      <c r="S456" s="415"/>
      <c r="T456" s="415"/>
      <c r="U456" s="415"/>
      <c r="V456" s="415"/>
      <c r="W456" s="415"/>
      <c r="X456" s="415"/>
      <c r="Y456" s="415"/>
      <c r="Z456" s="415"/>
      <c r="AA456" s="415"/>
    </row>
    <row r="457">
      <c r="A457" s="415"/>
      <c r="B457" s="415"/>
      <c r="C457" s="415"/>
      <c r="D457" s="415"/>
      <c r="E457" s="415"/>
      <c r="F457" s="415"/>
      <c r="G457" s="415"/>
      <c r="H457" s="415"/>
      <c r="I457" s="415"/>
      <c r="J457" s="415"/>
      <c r="K457" s="415"/>
      <c r="L457" s="415"/>
      <c r="M457" s="415"/>
      <c r="N457" s="415"/>
      <c r="O457" s="415"/>
      <c r="P457" s="415"/>
      <c r="Q457" s="415"/>
      <c r="R457" s="415"/>
      <c r="S457" s="415"/>
      <c r="T457" s="415"/>
      <c r="U457" s="415"/>
      <c r="V457" s="415"/>
      <c r="W457" s="415"/>
      <c r="X457" s="415"/>
      <c r="Y457" s="415"/>
      <c r="Z457" s="415"/>
      <c r="AA457" s="415"/>
    </row>
    <row r="458">
      <c r="A458" s="415"/>
      <c r="B458" s="415"/>
      <c r="C458" s="415"/>
      <c r="D458" s="415"/>
      <c r="E458" s="415"/>
      <c r="F458" s="415"/>
      <c r="G458" s="415"/>
      <c r="H458" s="415"/>
      <c r="I458" s="415"/>
      <c r="J458" s="415"/>
      <c r="K458" s="415"/>
      <c r="L458" s="415"/>
      <c r="M458" s="415"/>
      <c r="N458" s="415"/>
      <c r="O458" s="415"/>
      <c r="P458" s="415"/>
      <c r="Q458" s="415"/>
      <c r="R458" s="415"/>
      <c r="S458" s="415"/>
      <c r="T458" s="415"/>
      <c r="U458" s="415"/>
      <c r="V458" s="415"/>
      <c r="W458" s="415"/>
      <c r="X458" s="415"/>
      <c r="Y458" s="415"/>
      <c r="Z458" s="415"/>
      <c r="AA458" s="415"/>
    </row>
    <row r="459">
      <c r="A459" s="415"/>
      <c r="B459" s="415"/>
      <c r="C459" s="415"/>
      <c r="D459" s="415"/>
      <c r="E459" s="415"/>
      <c r="F459" s="415"/>
      <c r="G459" s="415"/>
      <c r="H459" s="415"/>
      <c r="I459" s="415"/>
      <c r="J459" s="415"/>
      <c r="K459" s="415"/>
      <c r="L459" s="415"/>
      <c r="M459" s="415"/>
      <c r="N459" s="415"/>
      <c r="O459" s="415"/>
      <c r="P459" s="415"/>
      <c r="Q459" s="415"/>
      <c r="R459" s="415"/>
      <c r="S459" s="415"/>
      <c r="T459" s="415"/>
      <c r="U459" s="415"/>
      <c r="V459" s="415"/>
      <c r="W459" s="415"/>
      <c r="X459" s="415"/>
      <c r="Y459" s="415"/>
      <c r="Z459" s="415"/>
      <c r="AA459" s="415"/>
    </row>
    <row r="460">
      <c r="A460" s="415"/>
      <c r="B460" s="415"/>
      <c r="C460" s="415"/>
      <c r="D460" s="415"/>
      <c r="E460" s="415"/>
      <c r="F460" s="415"/>
      <c r="G460" s="415"/>
      <c r="H460" s="415"/>
      <c r="I460" s="415"/>
      <c r="J460" s="415"/>
      <c r="K460" s="415"/>
      <c r="L460" s="415"/>
      <c r="M460" s="415"/>
      <c r="N460" s="415"/>
      <c r="O460" s="415"/>
      <c r="P460" s="415"/>
      <c r="Q460" s="415"/>
      <c r="R460" s="415"/>
      <c r="S460" s="415"/>
      <c r="T460" s="415"/>
      <c r="U460" s="415"/>
      <c r="V460" s="415"/>
      <c r="W460" s="415"/>
      <c r="X460" s="415"/>
      <c r="Y460" s="415"/>
      <c r="Z460" s="415"/>
      <c r="AA460" s="415"/>
    </row>
    <row r="461">
      <c r="A461" s="415"/>
      <c r="B461" s="415"/>
      <c r="C461" s="415"/>
      <c r="D461" s="415"/>
      <c r="E461" s="415"/>
      <c r="F461" s="415"/>
      <c r="G461" s="415"/>
      <c r="H461" s="415"/>
      <c r="I461" s="415"/>
      <c r="J461" s="415"/>
      <c r="K461" s="415"/>
      <c r="L461" s="415"/>
      <c r="M461" s="415"/>
      <c r="N461" s="415"/>
      <c r="O461" s="415"/>
      <c r="P461" s="415"/>
      <c r="Q461" s="415"/>
      <c r="R461" s="415"/>
      <c r="S461" s="415"/>
      <c r="T461" s="415"/>
      <c r="U461" s="415"/>
      <c r="V461" s="415"/>
      <c r="W461" s="415"/>
      <c r="X461" s="415"/>
      <c r="Y461" s="415"/>
      <c r="Z461" s="415"/>
      <c r="AA461" s="415"/>
    </row>
    <row r="462">
      <c r="A462" s="415"/>
      <c r="B462" s="415"/>
      <c r="C462" s="415"/>
      <c r="D462" s="415"/>
      <c r="E462" s="415"/>
      <c r="F462" s="415"/>
      <c r="G462" s="415"/>
      <c r="H462" s="415"/>
      <c r="I462" s="415"/>
      <c r="J462" s="415"/>
      <c r="K462" s="415"/>
      <c r="L462" s="415"/>
      <c r="M462" s="415"/>
      <c r="N462" s="415"/>
      <c r="O462" s="415"/>
      <c r="P462" s="415"/>
      <c r="Q462" s="415"/>
      <c r="R462" s="415"/>
      <c r="S462" s="415"/>
      <c r="T462" s="415"/>
      <c r="U462" s="415"/>
      <c r="V462" s="415"/>
      <c r="W462" s="415"/>
      <c r="X462" s="415"/>
      <c r="Y462" s="415"/>
      <c r="Z462" s="415"/>
      <c r="AA462" s="415"/>
    </row>
    <row r="463">
      <c r="A463" s="415"/>
      <c r="B463" s="415"/>
      <c r="C463" s="415"/>
      <c r="D463" s="415"/>
      <c r="E463" s="415"/>
      <c r="F463" s="415"/>
      <c r="G463" s="415"/>
      <c r="H463" s="415"/>
      <c r="I463" s="415"/>
      <c r="J463" s="415"/>
      <c r="K463" s="415"/>
      <c r="L463" s="415"/>
      <c r="M463" s="415"/>
      <c r="N463" s="415"/>
      <c r="O463" s="415"/>
      <c r="P463" s="415"/>
      <c r="Q463" s="415"/>
      <c r="R463" s="415"/>
      <c r="S463" s="415"/>
      <c r="T463" s="415"/>
      <c r="U463" s="415"/>
      <c r="V463" s="415"/>
      <c r="W463" s="415"/>
      <c r="X463" s="415"/>
      <c r="Y463" s="415"/>
      <c r="Z463" s="415"/>
      <c r="AA463" s="415"/>
    </row>
    <row r="464">
      <c r="A464" s="415"/>
      <c r="B464" s="415"/>
      <c r="C464" s="415"/>
      <c r="D464" s="415"/>
      <c r="E464" s="415"/>
      <c r="F464" s="415"/>
      <c r="G464" s="415"/>
      <c r="H464" s="415"/>
      <c r="I464" s="415"/>
      <c r="J464" s="415"/>
      <c r="K464" s="415"/>
      <c r="L464" s="415"/>
      <c r="M464" s="415"/>
      <c r="N464" s="415"/>
      <c r="O464" s="415"/>
      <c r="P464" s="415"/>
      <c r="Q464" s="415"/>
      <c r="R464" s="415"/>
      <c r="S464" s="415"/>
      <c r="T464" s="415"/>
      <c r="U464" s="415"/>
      <c r="V464" s="415"/>
      <c r="W464" s="415"/>
      <c r="X464" s="415"/>
      <c r="Y464" s="415"/>
      <c r="Z464" s="415"/>
      <c r="AA464" s="415"/>
    </row>
    <row r="465">
      <c r="A465" s="415"/>
      <c r="B465" s="415"/>
      <c r="C465" s="415"/>
      <c r="D465" s="415"/>
      <c r="E465" s="415"/>
      <c r="F465" s="415"/>
      <c r="G465" s="415"/>
      <c r="H465" s="415"/>
      <c r="I465" s="415"/>
      <c r="J465" s="415"/>
      <c r="K465" s="415"/>
      <c r="L465" s="415"/>
      <c r="M465" s="415"/>
      <c r="N465" s="415"/>
      <c r="O465" s="415"/>
      <c r="P465" s="415"/>
      <c r="Q465" s="415"/>
      <c r="R465" s="415"/>
      <c r="S465" s="415"/>
      <c r="T465" s="415"/>
      <c r="U465" s="415"/>
      <c r="V465" s="415"/>
      <c r="W465" s="415"/>
      <c r="X465" s="415"/>
      <c r="Y465" s="415"/>
      <c r="Z465" s="415"/>
      <c r="AA465" s="415"/>
    </row>
    <row r="466">
      <c r="A466" s="415"/>
      <c r="B466" s="415"/>
      <c r="C466" s="415"/>
      <c r="D466" s="415"/>
      <c r="E466" s="415"/>
      <c r="F466" s="415"/>
      <c r="G466" s="415"/>
      <c r="H466" s="415"/>
      <c r="I466" s="415"/>
      <c r="J466" s="415"/>
      <c r="K466" s="415"/>
      <c r="L466" s="415"/>
      <c r="M466" s="415"/>
      <c r="N466" s="415"/>
      <c r="O466" s="415"/>
      <c r="P466" s="415"/>
      <c r="Q466" s="415"/>
      <c r="R466" s="415"/>
      <c r="S466" s="415"/>
      <c r="T466" s="415"/>
      <c r="U466" s="415"/>
      <c r="V466" s="415"/>
      <c r="W466" s="415"/>
      <c r="X466" s="415"/>
      <c r="Y466" s="415"/>
      <c r="Z466" s="415"/>
      <c r="AA466" s="415"/>
    </row>
    <row r="467">
      <c r="A467" s="415"/>
      <c r="B467" s="415"/>
      <c r="C467" s="415"/>
      <c r="D467" s="415"/>
      <c r="E467" s="415"/>
      <c r="F467" s="415"/>
      <c r="G467" s="415"/>
      <c r="H467" s="415"/>
      <c r="I467" s="415"/>
      <c r="J467" s="415"/>
      <c r="K467" s="415"/>
      <c r="L467" s="415"/>
      <c r="M467" s="415"/>
      <c r="N467" s="415"/>
      <c r="O467" s="415"/>
      <c r="P467" s="415"/>
      <c r="Q467" s="415"/>
      <c r="R467" s="415"/>
      <c r="S467" s="415"/>
      <c r="T467" s="415"/>
      <c r="U467" s="415"/>
      <c r="V467" s="415"/>
      <c r="W467" s="415"/>
      <c r="X467" s="415"/>
      <c r="Y467" s="415"/>
      <c r="Z467" s="415"/>
      <c r="AA467" s="415"/>
    </row>
    <row r="468">
      <c r="A468" s="415"/>
      <c r="B468" s="415"/>
      <c r="C468" s="415"/>
      <c r="D468" s="415"/>
      <c r="E468" s="415"/>
      <c r="F468" s="415"/>
      <c r="G468" s="415"/>
      <c r="H468" s="415"/>
      <c r="I468" s="415"/>
      <c r="J468" s="415"/>
      <c r="K468" s="415"/>
      <c r="L468" s="415"/>
      <c r="M468" s="415"/>
      <c r="N468" s="415"/>
      <c r="O468" s="415"/>
      <c r="P468" s="415"/>
      <c r="Q468" s="415"/>
      <c r="R468" s="415"/>
      <c r="S468" s="415"/>
      <c r="T468" s="415"/>
      <c r="U468" s="415"/>
      <c r="V468" s="415"/>
      <c r="W468" s="415"/>
      <c r="X468" s="415"/>
      <c r="Y468" s="415"/>
      <c r="Z468" s="415"/>
      <c r="AA468" s="415"/>
    </row>
    <row r="469">
      <c r="A469" s="415"/>
      <c r="B469" s="415"/>
      <c r="C469" s="415"/>
      <c r="D469" s="415"/>
      <c r="E469" s="415"/>
      <c r="F469" s="415"/>
      <c r="G469" s="415"/>
      <c r="H469" s="415"/>
      <c r="I469" s="415"/>
      <c r="J469" s="415"/>
      <c r="K469" s="415"/>
      <c r="L469" s="415"/>
      <c r="M469" s="415"/>
      <c r="N469" s="415"/>
      <c r="O469" s="415"/>
      <c r="P469" s="415"/>
      <c r="Q469" s="415"/>
      <c r="R469" s="415"/>
      <c r="S469" s="415"/>
      <c r="T469" s="415"/>
      <c r="U469" s="415"/>
      <c r="V469" s="415"/>
      <c r="W469" s="415"/>
      <c r="X469" s="415"/>
      <c r="Y469" s="415"/>
      <c r="Z469" s="415"/>
      <c r="AA469" s="415"/>
    </row>
    <row r="470">
      <c r="A470" s="415"/>
      <c r="B470" s="415"/>
      <c r="C470" s="415"/>
      <c r="D470" s="415"/>
      <c r="E470" s="415"/>
      <c r="F470" s="415"/>
      <c r="G470" s="415"/>
      <c r="H470" s="415"/>
      <c r="I470" s="415"/>
      <c r="J470" s="415"/>
      <c r="K470" s="415"/>
      <c r="L470" s="415"/>
      <c r="M470" s="415"/>
      <c r="N470" s="415"/>
      <c r="O470" s="415"/>
      <c r="P470" s="415"/>
      <c r="Q470" s="415"/>
      <c r="R470" s="415"/>
      <c r="S470" s="415"/>
      <c r="T470" s="415"/>
      <c r="U470" s="415"/>
      <c r="V470" s="415"/>
      <c r="W470" s="415"/>
      <c r="X470" s="415"/>
      <c r="Y470" s="415"/>
      <c r="Z470" s="415"/>
      <c r="AA470" s="415"/>
    </row>
    <row r="471">
      <c r="A471" s="415"/>
      <c r="B471" s="415"/>
      <c r="C471" s="415"/>
      <c r="D471" s="415"/>
      <c r="E471" s="415"/>
      <c r="F471" s="415"/>
      <c r="G471" s="415"/>
      <c r="H471" s="415"/>
      <c r="I471" s="415"/>
      <c r="J471" s="415"/>
      <c r="K471" s="415"/>
      <c r="L471" s="415"/>
      <c r="M471" s="415"/>
      <c r="N471" s="415"/>
      <c r="O471" s="415"/>
      <c r="P471" s="415"/>
      <c r="Q471" s="415"/>
      <c r="R471" s="415"/>
      <c r="S471" s="415"/>
      <c r="T471" s="415"/>
      <c r="U471" s="415"/>
      <c r="V471" s="415"/>
      <c r="W471" s="415"/>
      <c r="X471" s="415"/>
      <c r="Y471" s="415"/>
      <c r="Z471" s="415"/>
      <c r="AA471" s="415"/>
    </row>
    <row r="472">
      <c r="A472" s="415"/>
      <c r="B472" s="415"/>
      <c r="C472" s="415"/>
      <c r="D472" s="415"/>
      <c r="E472" s="415"/>
      <c r="F472" s="415"/>
      <c r="G472" s="415"/>
      <c r="H472" s="415"/>
      <c r="I472" s="415"/>
      <c r="J472" s="415"/>
      <c r="K472" s="415"/>
      <c r="L472" s="415"/>
      <c r="M472" s="415"/>
      <c r="N472" s="415"/>
      <c r="O472" s="415"/>
      <c r="P472" s="415"/>
      <c r="Q472" s="415"/>
      <c r="R472" s="415"/>
      <c r="S472" s="415"/>
      <c r="T472" s="415"/>
      <c r="U472" s="415"/>
      <c r="V472" s="415"/>
      <c r="W472" s="415"/>
      <c r="X472" s="415"/>
      <c r="Y472" s="415"/>
      <c r="Z472" s="415"/>
      <c r="AA472" s="415"/>
    </row>
    <row r="473">
      <c r="A473" s="415"/>
      <c r="B473" s="415"/>
      <c r="C473" s="415"/>
      <c r="D473" s="415"/>
      <c r="E473" s="415"/>
      <c r="F473" s="415"/>
      <c r="G473" s="415"/>
      <c r="H473" s="415"/>
      <c r="I473" s="415"/>
      <c r="J473" s="415"/>
      <c r="K473" s="415"/>
      <c r="L473" s="415"/>
      <c r="M473" s="415"/>
      <c r="N473" s="415"/>
      <c r="O473" s="415"/>
      <c r="P473" s="415"/>
      <c r="Q473" s="415"/>
      <c r="R473" s="415"/>
      <c r="S473" s="415"/>
      <c r="T473" s="415"/>
      <c r="U473" s="415"/>
      <c r="V473" s="415"/>
      <c r="W473" s="415"/>
      <c r="X473" s="415"/>
      <c r="Y473" s="415"/>
      <c r="Z473" s="415"/>
      <c r="AA473" s="415"/>
    </row>
    <row r="474">
      <c r="A474" s="415"/>
      <c r="B474" s="415"/>
      <c r="C474" s="415"/>
      <c r="D474" s="415"/>
      <c r="E474" s="415"/>
      <c r="F474" s="415"/>
      <c r="G474" s="415"/>
      <c r="H474" s="415"/>
      <c r="I474" s="415"/>
      <c r="J474" s="415"/>
      <c r="K474" s="415"/>
      <c r="L474" s="415"/>
      <c r="M474" s="415"/>
      <c r="N474" s="415"/>
      <c r="O474" s="415"/>
      <c r="P474" s="415"/>
      <c r="Q474" s="415"/>
      <c r="R474" s="415"/>
      <c r="S474" s="415"/>
      <c r="T474" s="415"/>
      <c r="U474" s="415"/>
      <c r="V474" s="415"/>
      <c r="W474" s="415"/>
      <c r="X474" s="415"/>
      <c r="Y474" s="415"/>
      <c r="Z474" s="415"/>
      <c r="AA474" s="415"/>
    </row>
    <row r="475">
      <c r="A475" s="415"/>
      <c r="B475" s="415"/>
      <c r="C475" s="415"/>
      <c r="D475" s="415"/>
      <c r="E475" s="415"/>
      <c r="F475" s="415"/>
      <c r="G475" s="415"/>
      <c r="H475" s="415"/>
      <c r="I475" s="415"/>
      <c r="J475" s="415"/>
      <c r="K475" s="415"/>
      <c r="L475" s="415"/>
      <c r="M475" s="415"/>
      <c r="N475" s="415"/>
      <c r="O475" s="415"/>
      <c r="P475" s="415"/>
      <c r="Q475" s="415"/>
      <c r="R475" s="415"/>
      <c r="S475" s="415"/>
      <c r="T475" s="415"/>
      <c r="U475" s="415"/>
      <c r="V475" s="415"/>
      <c r="W475" s="415"/>
      <c r="X475" s="415"/>
      <c r="Y475" s="415"/>
      <c r="Z475" s="415"/>
      <c r="AA475" s="415"/>
    </row>
    <row r="476">
      <c r="A476" s="415"/>
      <c r="B476" s="415"/>
      <c r="C476" s="415"/>
      <c r="D476" s="415"/>
      <c r="E476" s="415"/>
      <c r="F476" s="415"/>
      <c r="G476" s="415"/>
      <c r="H476" s="415"/>
      <c r="I476" s="415"/>
      <c r="J476" s="415"/>
      <c r="K476" s="415"/>
      <c r="L476" s="415"/>
      <c r="M476" s="415"/>
      <c r="N476" s="415"/>
      <c r="O476" s="415"/>
      <c r="P476" s="415"/>
      <c r="Q476" s="415"/>
      <c r="R476" s="415"/>
      <c r="S476" s="415"/>
      <c r="T476" s="415"/>
      <c r="U476" s="415"/>
      <c r="V476" s="415"/>
      <c r="W476" s="415"/>
      <c r="X476" s="415"/>
      <c r="Y476" s="415"/>
      <c r="Z476" s="415"/>
      <c r="AA476" s="415"/>
    </row>
    <row r="477">
      <c r="A477" s="415"/>
      <c r="B477" s="415"/>
      <c r="C477" s="415"/>
      <c r="D477" s="415"/>
      <c r="E477" s="415"/>
      <c r="F477" s="415"/>
      <c r="G477" s="415"/>
      <c r="H477" s="415"/>
      <c r="I477" s="415"/>
      <c r="J477" s="415"/>
      <c r="K477" s="415"/>
      <c r="L477" s="415"/>
      <c r="M477" s="415"/>
      <c r="N477" s="415"/>
      <c r="O477" s="415"/>
      <c r="P477" s="415"/>
      <c r="Q477" s="415"/>
      <c r="R477" s="415"/>
      <c r="S477" s="415"/>
      <c r="T477" s="415"/>
      <c r="U477" s="415"/>
      <c r="V477" s="415"/>
      <c r="W477" s="415"/>
      <c r="X477" s="415"/>
      <c r="Y477" s="415"/>
      <c r="Z477" s="415"/>
      <c r="AA477" s="415"/>
    </row>
    <row r="478">
      <c r="A478" s="415"/>
      <c r="B478" s="415"/>
      <c r="C478" s="415"/>
      <c r="D478" s="415"/>
      <c r="E478" s="415"/>
      <c r="F478" s="415"/>
      <c r="G478" s="415"/>
      <c r="H478" s="415"/>
      <c r="I478" s="415"/>
      <c r="J478" s="415"/>
      <c r="K478" s="415"/>
      <c r="L478" s="415"/>
      <c r="M478" s="415"/>
      <c r="N478" s="415"/>
      <c r="O478" s="415"/>
      <c r="P478" s="415"/>
      <c r="Q478" s="415"/>
      <c r="R478" s="415"/>
      <c r="S478" s="415"/>
      <c r="T478" s="415"/>
      <c r="U478" s="415"/>
      <c r="V478" s="415"/>
      <c r="W478" s="415"/>
      <c r="X478" s="415"/>
      <c r="Y478" s="415"/>
      <c r="Z478" s="415"/>
      <c r="AA478" s="415"/>
    </row>
    <row r="479">
      <c r="A479" s="415"/>
      <c r="B479" s="415"/>
      <c r="C479" s="415"/>
      <c r="D479" s="415"/>
      <c r="E479" s="415"/>
      <c r="F479" s="415"/>
      <c r="G479" s="415"/>
      <c r="H479" s="415"/>
      <c r="I479" s="415"/>
      <c r="J479" s="415"/>
      <c r="K479" s="415"/>
      <c r="L479" s="415"/>
      <c r="M479" s="415"/>
      <c r="N479" s="415"/>
      <c r="O479" s="415"/>
      <c r="P479" s="415"/>
      <c r="Q479" s="415"/>
      <c r="R479" s="415"/>
      <c r="S479" s="415"/>
      <c r="T479" s="415"/>
      <c r="U479" s="415"/>
      <c r="V479" s="415"/>
      <c r="W479" s="415"/>
      <c r="X479" s="415"/>
      <c r="Y479" s="415"/>
      <c r="Z479" s="415"/>
      <c r="AA479" s="415"/>
    </row>
    <row r="480">
      <c r="A480" s="415"/>
      <c r="B480" s="415"/>
      <c r="C480" s="415"/>
      <c r="D480" s="415"/>
      <c r="E480" s="415"/>
      <c r="F480" s="415"/>
      <c r="G480" s="415"/>
      <c r="H480" s="415"/>
      <c r="I480" s="415"/>
      <c r="J480" s="415"/>
      <c r="K480" s="415"/>
      <c r="L480" s="415"/>
      <c r="M480" s="415"/>
      <c r="N480" s="415"/>
      <c r="O480" s="415"/>
      <c r="P480" s="415"/>
      <c r="Q480" s="415"/>
      <c r="R480" s="415"/>
      <c r="S480" s="415"/>
      <c r="T480" s="415"/>
      <c r="U480" s="415"/>
      <c r="V480" s="415"/>
      <c r="W480" s="415"/>
      <c r="X480" s="415"/>
      <c r="Y480" s="415"/>
      <c r="Z480" s="415"/>
      <c r="AA480" s="415"/>
    </row>
    <row r="481">
      <c r="A481" s="415"/>
      <c r="B481" s="415"/>
      <c r="C481" s="415"/>
      <c r="D481" s="415"/>
      <c r="E481" s="415"/>
      <c r="F481" s="415"/>
      <c r="G481" s="415"/>
      <c r="H481" s="415"/>
      <c r="I481" s="415"/>
      <c r="J481" s="415"/>
      <c r="K481" s="415"/>
      <c r="L481" s="415"/>
      <c r="M481" s="415"/>
      <c r="N481" s="415"/>
      <c r="O481" s="415"/>
      <c r="P481" s="415"/>
      <c r="Q481" s="415"/>
      <c r="R481" s="415"/>
      <c r="S481" s="415"/>
      <c r="T481" s="415"/>
      <c r="U481" s="415"/>
      <c r="V481" s="415"/>
      <c r="W481" s="415"/>
      <c r="X481" s="415"/>
      <c r="Y481" s="415"/>
      <c r="Z481" s="415"/>
      <c r="AA481" s="415"/>
    </row>
    <row r="482">
      <c r="A482" s="415"/>
      <c r="B482" s="415"/>
      <c r="C482" s="415"/>
      <c r="D482" s="415"/>
      <c r="E482" s="415"/>
      <c r="F482" s="415"/>
      <c r="G482" s="415"/>
      <c r="H482" s="415"/>
      <c r="I482" s="415"/>
      <c r="J482" s="415"/>
      <c r="K482" s="415"/>
      <c r="L482" s="415"/>
      <c r="M482" s="415"/>
      <c r="N482" s="415"/>
      <c r="O482" s="415"/>
      <c r="P482" s="415"/>
      <c r="Q482" s="415"/>
      <c r="R482" s="415"/>
      <c r="S482" s="415"/>
      <c r="T482" s="415"/>
      <c r="U482" s="415"/>
      <c r="V482" s="415"/>
      <c r="W482" s="415"/>
      <c r="X482" s="415"/>
      <c r="Y482" s="415"/>
      <c r="Z482" s="415"/>
      <c r="AA482" s="415"/>
    </row>
    <row r="483">
      <c r="A483" s="415"/>
      <c r="B483" s="415"/>
      <c r="C483" s="415"/>
      <c r="D483" s="415"/>
      <c r="E483" s="415"/>
      <c r="F483" s="415"/>
      <c r="G483" s="415"/>
      <c r="H483" s="415"/>
      <c r="I483" s="415"/>
      <c r="J483" s="415"/>
      <c r="K483" s="415"/>
      <c r="L483" s="415"/>
      <c r="M483" s="415"/>
      <c r="N483" s="415"/>
      <c r="O483" s="415"/>
      <c r="P483" s="415"/>
      <c r="Q483" s="415"/>
      <c r="R483" s="415"/>
      <c r="S483" s="415"/>
      <c r="T483" s="415"/>
      <c r="U483" s="415"/>
      <c r="V483" s="415"/>
      <c r="W483" s="415"/>
      <c r="X483" s="415"/>
      <c r="Y483" s="415"/>
      <c r="Z483" s="415"/>
      <c r="AA483" s="415"/>
    </row>
    <row r="484">
      <c r="A484" s="415"/>
      <c r="B484" s="415"/>
      <c r="C484" s="415"/>
      <c r="D484" s="415"/>
      <c r="E484" s="415"/>
      <c r="F484" s="415"/>
      <c r="G484" s="415"/>
      <c r="H484" s="415"/>
      <c r="I484" s="415"/>
      <c r="J484" s="415"/>
      <c r="K484" s="415"/>
      <c r="L484" s="415"/>
      <c r="M484" s="415"/>
      <c r="N484" s="415"/>
      <c r="O484" s="415"/>
      <c r="P484" s="415"/>
      <c r="Q484" s="415"/>
      <c r="R484" s="415"/>
      <c r="S484" s="415"/>
      <c r="T484" s="415"/>
      <c r="U484" s="415"/>
      <c r="V484" s="415"/>
      <c r="W484" s="415"/>
      <c r="X484" s="415"/>
      <c r="Y484" s="415"/>
      <c r="Z484" s="415"/>
      <c r="AA484" s="415"/>
    </row>
    <row r="485">
      <c r="A485" s="415"/>
      <c r="B485" s="415"/>
      <c r="C485" s="415"/>
      <c r="D485" s="415"/>
      <c r="E485" s="415"/>
      <c r="F485" s="415"/>
      <c r="G485" s="415"/>
      <c r="H485" s="415"/>
      <c r="I485" s="415"/>
      <c r="J485" s="415"/>
      <c r="K485" s="415"/>
      <c r="L485" s="415"/>
      <c r="M485" s="415"/>
      <c r="N485" s="415"/>
      <c r="O485" s="415"/>
      <c r="P485" s="415"/>
      <c r="Q485" s="415"/>
      <c r="R485" s="415"/>
      <c r="S485" s="415"/>
      <c r="T485" s="415"/>
      <c r="U485" s="415"/>
      <c r="V485" s="415"/>
      <c r="W485" s="415"/>
      <c r="X485" s="415"/>
      <c r="Y485" s="415"/>
      <c r="Z485" s="415"/>
      <c r="AA485" s="415"/>
    </row>
    <row r="486">
      <c r="A486" s="415"/>
      <c r="B486" s="415"/>
      <c r="C486" s="415"/>
      <c r="D486" s="415"/>
      <c r="E486" s="415"/>
      <c r="F486" s="415"/>
      <c r="G486" s="415"/>
      <c r="H486" s="415"/>
      <c r="I486" s="415"/>
      <c r="J486" s="415"/>
      <c r="K486" s="415"/>
      <c r="L486" s="415"/>
      <c r="M486" s="415"/>
      <c r="N486" s="415"/>
      <c r="O486" s="415"/>
      <c r="P486" s="415"/>
      <c r="Q486" s="415"/>
      <c r="R486" s="415"/>
      <c r="S486" s="415"/>
      <c r="T486" s="415"/>
      <c r="U486" s="415"/>
      <c r="V486" s="415"/>
      <c r="W486" s="415"/>
      <c r="X486" s="415"/>
      <c r="Y486" s="415"/>
      <c r="Z486" s="415"/>
      <c r="AA486" s="415"/>
    </row>
    <row r="487">
      <c r="A487" s="415"/>
      <c r="B487" s="415"/>
      <c r="C487" s="415"/>
      <c r="D487" s="415"/>
      <c r="E487" s="415"/>
      <c r="F487" s="415"/>
      <c r="G487" s="415"/>
      <c r="H487" s="415"/>
      <c r="I487" s="415"/>
      <c r="J487" s="415"/>
      <c r="K487" s="415"/>
      <c r="L487" s="415"/>
      <c r="M487" s="415"/>
      <c r="N487" s="415"/>
      <c r="O487" s="415"/>
      <c r="P487" s="415"/>
      <c r="Q487" s="415"/>
      <c r="R487" s="415"/>
      <c r="S487" s="415"/>
      <c r="T487" s="415"/>
      <c r="U487" s="415"/>
      <c r="V487" s="415"/>
      <c r="W487" s="415"/>
      <c r="X487" s="415"/>
      <c r="Y487" s="415"/>
      <c r="Z487" s="415"/>
      <c r="AA487" s="415"/>
    </row>
    <row r="488">
      <c r="A488" s="415"/>
      <c r="B488" s="415"/>
      <c r="C488" s="415"/>
      <c r="D488" s="415"/>
      <c r="E488" s="415"/>
      <c r="F488" s="415"/>
      <c r="G488" s="415"/>
      <c r="H488" s="415"/>
      <c r="I488" s="415"/>
      <c r="J488" s="415"/>
      <c r="K488" s="415"/>
      <c r="L488" s="415"/>
      <c r="M488" s="415"/>
      <c r="N488" s="415"/>
      <c r="O488" s="415"/>
      <c r="P488" s="415"/>
      <c r="Q488" s="415"/>
      <c r="R488" s="415"/>
      <c r="S488" s="415"/>
      <c r="T488" s="415"/>
      <c r="U488" s="415"/>
      <c r="V488" s="415"/>
      <c r="W488" s="415"/>
      <c r="X488" s="415"/>
      <c r="Y488" s="415"/>
      <c r="Z488" s="415"/>
      <c r="AA488" s="415"/>
    </row>
    <row r="489">
      <c r="A489" s="415"/>
      <c r="B489" s="415"/>
      <c r="C489" s="415"/>
      <c r="D489" s="415"/>
      <c r="E489" s="415"/>
      <c r="F489" s="415"/>
      <c r="G489" s="415"/>
      <c r="H489" s="415"/>
      <c r="I489" s="415"/>
      <c r="J489" s="415"/>
      <c r="K489" s="415"/>
      <c r="L489" s="415"/>
      <c r="M489" s="415"/>
      <c r="N489" s="415"/>
      <c r="O489" s="415"/>
      <c r="P489" s="415"/>
      <c r="Q489" s="415"/>
      <c r="R489" s="415"/>
      <c r="S489" s="415"/>
      <c r="T489" s="415"/>
      <c r="U489" s="415"/>
      <c r="V489" s="415"/>
      <c r="W489" s="415"/>
      <c r="X489" s="415"/>
      <c r="Y489" s="415"/>
      <c r="Z489" s="415"/>
      <c r="AA489" s="415"/>
    </row>
    <row r="490">
      <c r="A490" s="415"/>
      <c r="B490" s="415"/>
      <c r="C490" s="415"/>
      <c r="D490" s="415"/>
      <c r="E490" s="415"/>
      <c r="F490" s="415"/>
      <c r="G490" s="415"/>
      <c r="H490" s="415"/>
      <c r="I490" s="415"/>
      <c r="J490" s="415"/>
      <c r="K490" s="415"/>
      <c r="L490" s="415"/>
      <c r="M490" s="415"/>
      <c r="N490" s="415"/>
      <c r="O490" s="415"/>
      <c r="P490" s="415"/>
      <c r="Q490" s="415"/>
      <c r="R490" s="415"/>
      <c r="S490" s="415"/>
      <c r="T490" s="415"/>
      <c r="U490" s="415"/>
      <c r="V490" s="415"/>
      <c r="W490" s="415"/>
      <c r="X490" s="415"/>
      <c r="Y490" s="415"/>
      <c r="Z490" s="415"/>
      <c r="AA490" s="415"/>
    </row>
    <row r="491">
      <c r="A491" s="415"/>
      <c r="B491" s="415"/>
      <c r="C491" s="415"/>
      <c r="D491" s="415"/>
      <c r="E491" s="415"/>
      <c r="F491" s="415"/>
      <c r="G491" s="415"/>
      <c r="H491" s="415"/>
      <c r="I491" s="415"/>
      <c r="J491" s="415"/>
      <c r="K491" s="415"/>
      <c r="L491" s="415"/>
      <c r="M491" s="415"/>
      <c r="N491" s="415"/>
      <c r="O491" s="415"/>
      <c r="P491" s="415"/>
      <c r="Q491" s="415"/>
      <c r="R491" s="415"/>
      <c r="S491" s="415"/>
      <c r="T491" s="415"/>
      <c r="U491" s="415"/>
      <c r="V491" s="415"/>
      <c r="W491" s="415"/>
      <c r="X491" s="415"/>
      <c r="Y491" s="415"/>
      <c r="Z491" s="415"/>
      <c r="AA491" s="415"/>
    </row>
    <row r="492">
      <c r="A492" s="415"/>
      <c r="B492" s="415"/>
      <c r="C492" s="415"/>
      <c r="D492" s="415"/>
      <c r="E492" s="415"/>
      <c r="F492" s="415"/>
      <c r="G492" s="415"/>
      <c r="H492" s="415"/>
      <c r="I492" s="415"/>
      <c r="J492" s="415"/>
      <c r="K492" s="415"/>
      <c r="L492" s="415"/>
      <c r="M492" s="415"/>
      <c r="N492" s="415"/>
      <c r="O492" s="415"/>
      <c r="P492" s="415"/>
      <c r="Q492" s="415"/>
      <c r="R492" s="415"/>
      <c r="S492" s="415"/>
      <c r="T492" s="415"/>
      <c r="U492" s="415"/>
      <c r="V492" s="415"/>
      <c r="W492" s="415"/>
      <c r="X492" s="415"/>
      <c r="Y492" s="415"/>
      <c r="Z492" s="415"/>
      <c r="AA492" s="415"/>
    </row>
    <row r="493">
      <c r="A493" s="415"/>
      <c r="B493" s="415"/>
      <c r="C493" s="415"/>
      <c r="D493" s="415"/>
      <c r="E493" s="415"/>
      <c r="F493" s="415"/>
      <c r="G493" s="415"/>
      <c r="H493" s="415"/>
      <c r="I493" s="415"/>
      <c r="J493" s="415"/>
      <c r="K493" s="415"/>
      <c r="L493" s="415"/>
      <c r="M493" s="415"/>
      <c r="N493" s="415"/>
      <c r="O493" s="415"/>
      <c r="P493" s="415"/>
      <c r="Q493" s="415"/>
      <c r="R493" s="415"/>
      <c r="S493" s="415"/>
      <c r="T493" s="415"/>
      <c r="U493" s="415"/>
      <c r="V493" s="415"/>
      <c r="W493" s="415"/>
      <c r="X493" s="415"/>
      <c r="Y493" s="415"/>
      <c r="Z493" s="415"/>
      <c r="AA493" s="415"/>
    </row>
    <row r="494">
      <c r="A494" s="415"/>
      <c r="B494" s="415"/>
      <c r="C494" s="415"/>
      <c r="D494" s="415"/>
      <c r="E494" s="415"/>
      <c r="F494" s="415"/>
      <c r="G494" s="415"/>
      <c r="H494" s="415"/>
      <c r="I494" s="415"/>
      <c r="J494" s="415"/>
      <c r="K494" s="415"/>
      <c r="L494" s="415"/>
      <c r="M494" s="415"/>
      <c r="N494" s="415"/>
      <c r="O494" s="415"/>
      <c r="P494" s="415"/>
      <c r="Q494" s="415"/>
      <c r="R494" s="415"/>
      <c r="S494" s="415"/>
      <c r="T494" s="415"/>
      <c r="U494" s="415"/>
      <c r="V494" s="415"/>
      <c r="W494" s="415"/>
      <c r="X494" s="415"/>
      <c r="Y494" s="415"/>
      <c r="Z494" s="415"/>
      <c r="AA494" s="415"/>
    </row>
    <row r="495">
      <c r="A495" s="415"/>
      <c r="B495" s="415"/>
      <c r="C495" s="415"/>
      <c r="D495" s="415"/>
      <c r="E495" s="415"/>
      <c r="F495" s="415"/>
      <c r="G495" s="415"/>
      <c r="H495" s="415"/>
      <c r="I495" s="415"/>
      <c r="J495" s="415"/>
      <c r="K495" s="415"/>
      <c r="L495" s="415"/>
      <c r="M495" s="415"/>
      <c r="N495" s="415"/>
      <c r="O495" s="415"/>
      <c r="P495" s="415"/>
      <c r="Q495" s="415"/>
      <c r="R495" s="415"/>
      <c r="S495" s="415"/>
      <c r="T495" s="415"/>
      <c r="U495" s="415"/>
      <c r="V495" s="415"/>
      <c r="W495" s="415"/>
      <c r="X495" s="415"/>
      <c r="Y495" s="415"/>
      <c r="Z495" s="415"/>
      <c r="AA495" s="415"/>
    </row>
    <row r="496">
      <c r="A496" s="415"/>
      <c r="B496" s="415"/>
      <c r="C496" s="415"/>
      <c r="D496" s="415"/>
      <c r="E496" s="415"/>
      <c r="F496" s="415"/>
      <c r="G496" s="415"/>
      <c r="H496" s="415"/>
      <c r="I496" s="415"/>
      <c r="J496" s="415"/>
      <c r="K496" s="415"/>
      <c r="L496" s="415"/>
      <c r="M496" s="415"/>
      <c r="N496" s="415"/>
      <c r="O496" s="415"/>
      <c r="P496" s="415"/>
      <c r="Q496" s="415"/>
      <c r="R496" s="415"/>
      <c r="S496" s="415"/>
      <c r="T496" s="415"/>
      <c r="U496" s="415"/>
      <c r="V496" s="415"/>
      <c r="W496" s="415"/>
      <c r="X496" s="415"/>
      <c r="Y496" s="415"/>
      <c r="Z496" s="415"/>
      <c r="AA496" s="415"/>
    </row>
    <row r="497">
      <c r="A497" s="415"/>
      <c r="B497" s="415"/>
      <c r="C497" s="415"/>
      <c r="D497" s="415"/>
      <c r="E497" s="415"/>
      <c r="F497" s="415"/>
      <c r="G497" s="415"/>
      <c r="H497" s="415"/>
      <c r="I497" s="415"/>
      <c r="J497" s="415"/>
      <c r="K497" s="415"/>
      <c r="L497" s="415"/>
      <c r="M497" s="415"/>
      <c r="N497" s="415"/>
      <c r="O497" s="415"/>
      <c r="P497" s="415"/>
      <c r="Q497" s="415"/>
      <c r="R497" s="415"/>
      <c r="S497" s="415"/>
      <c r="T497" s="415"/>
      <c r="U497" s="415"/>
      <c r="V497" s="415"/>
      <c r="W497" s="415"/>
      <c r="X497" s="415"/>
      <c r="Y497" s="415"/>
      <c r="Z497" s="415"/>
      <c r="AA497" s="415"/>
    </row>
    <row r="498">
      <c r="A498" s="415"/>
      <c r="B498" s="415"/>
      <c r="C498" s="415"/>
      <c r="D498" s="415"/>
      <c r="E498" s="415"/>
      <c r="F498" s="415"/>
      <c r="G498" s="415"/>
      <c r="H498" s="415"/>
      <c r="I498" s="415"/>
      <c r="J498" s="415"/>
      <c r="K498" s="415"/>
      <c r="L498" s="415"/>
      <c r="M498" s="415"/>
      <c r="N498" s="415"/>
      <c r="O498" s="415"/>
      <c r="P498" s="415"/>
      <c r="Q498" s="415"/>
      <c r="R498" s="415"/>
      <c r="S498" s="415"/>
      <c r="T498" s="415"/>
      <c r="U498" s="415"/>
      <c r="V498" s="415"/>
      <c r="W498" s="415"/>
      <c r="X498" s="415"/>
      <c r="Y498" s="415"/>
      <c r="Z498" s="415"/>
      <c r="AA498" s="415"/>
    </row>
    <row r="499">
      <c r="A499" s="415"/>
      <c r="B499" s="415"/>
      <c r="C499" s="415"/>
      <c r="D499" s="415"/>
      <c r="E499" s="415"/>
      <c r="F499" s="415"/>
      <c r="G499" s="415"/>
      <c r="H499" s="415"/>
      <c r="I499" s="415"/>
      <c r="J499" s="415"/>
      <c r="K499" s="415"/>
      <c r="L499" s="415"/>
      <c r="M499" s="415"/>
      <c r="N499" s="415"/>
      <c r="O499" s="415"/>
      <c r="P499" s="415"/>
      <c r="Q499" s="415"/>
      <c r="R499" s="415"/>
      <c r="S499" s="415"/>
      <c r="T499" s="415"/>
      <c r="U499" s="415"/>
      <c r="V499" s="415"/>
      <c r="W499" s="415"/>
      <c r="X499" s="415"/>
      <c r="Y499" s="415"/>
      <c r="Z499" s="415"/>
      <c r="AA499" s="415"/>
    </row>
    <row r="500">
      <c r="A500" s="415"/>
      <c r="B500" s="415"/>
      <c r="C500" s="415"/>
      <c r="D500" s="415"/>
      <c r="E500" s="415"/>
      <c r="F500" s="415"/>
      <c r="G500" s="415"/>
      <c r="H500" s="415"/>
      <c r="I500" s="415"/>
      <c r="J500" s="415"/>
      <c r="K500" s="415"/>
      <c r="L500" s="415"/>
      <c r="M500" s="415"/>
      <c r="N500" s="415"/>
      <c r="O500" s="415"/>
      <c r="P500" s="415"/>
      <c r="Q500" s="415"/>
      <c r="R500" s="415"/>
      <c r="S500" s="415"/>
      <c r="T500" s="415"/>
      <c r="U500" s="415"/>
      <c r="V500" s="415"/>
      <c r="W500" s="415"/>
      <c r="X500" s="415"/>
      <c r="Y500" s="415"/>
      <c r="Z500" s="415"/>
      <c r="AA500" s="415"/>
    </row>
    <row r="501">
      <c r="A501" s="415"/>
      <c r="B501" s="415"/>
      <c r="C501" s="415"/>
      <c r="D501" s="415"/>
      <c r="E501" s="415"/>
      <c r="F501" s="415"/>
      <c r="G501" s="415"/>
      <c r="H501" s="415"/>
      <c r="I501" s="415"/>
      <c r="J501" s="415"/>
      <c r="K501" s="415"/>
      <c r="L501" s="415"/>
      <c r="M501" s="415"/>
      <c r="N501" s="415"/>
      <c r="O501" s="415"/>
      <c r="P501" s="415"/>
      <c r="Q501" s="415"/>
      <c r="R501" s="415"/>
      <c r="S501" s="415"/>
      <c r="T501" s="415"/>
      <c r="U501" s="415"/>
      <c r="V501" s="415"/>
      <c r="W501" s="415"/>
      <c r="X501" s="415"/>
      <c r="Y501" s="415"/>
      <c r="Z501" s="415"/>
      <c r="AA501" s="415"/>
    </row>
    <row r="502">
      <c r="A502" s="415"/>
      <c r="B502" s="415"/>
      <c r="C502" s="415"/>
      <c r="D502" s="415"/>
      <c r="E502" s="415"/>
      <c r="F502" s="415"/>
      <c r="G502" s="415"/>
      <c r="H502" s="415"/>
      <c r="I502" s="415"/>
      <c r="J502" s="415"/>
      <c r="K502" s="415"/>
      <c r="L502" s="415"/>
      <c r="M502" s="415"/>
      <c r="N502" s="415"/>
      <c r="O502" s="415"/>
      <c r="P502" s="415"/>
      <c r="Q502" s="415"/>
      <c r="R502" s="415"/>
      <c r="S502" s="415"/>
      <c r="T502" s="415"/>
      <c r="U502" s="415"/>
      <c r="V502" s="415"/>
      <c r="W502" s="415"/>
      <c r="X502" s="415"/>
      <c r="Y502" s="415"/>
      <c r="Z502" s="415"/>
      <c r="AA502" s="415"/>
    </row>
    <row r="503">
      <c r="A503" s="415"/>
      <c r="B503" s="415"/>
      <c r="C503" s="415"/>
      <c r="D503" s="415"/>
      <c r="E503" s="415"/>
      <c r="F503" s="415"/>
      <c r="G503" s="415"/>
      <c r="H503" s="415"/>
      <c r="I503" s="415"/>
      <c r="J503" s="415"/>
      <c r="K503" s="415"/>
      <c r="L503" s="415"/>
      <c r="M503" s="415"/>
      <c r="N503" s="415"/>
      <c r="O503" s="415"/>
      <c r="P503" s="415"/>
      <c r="Q503" s="415"/>
      <c r="R503" s="415"/>
      <c r="S503" s="415"/>
      <c r="T503" s="415"/>
      <c r="U503" s="415"/>
      <c r="V503" s="415"/>
      <c r="W503" s="415"/>
      <c r="X503" s="415"/>
      <c r="Y503" s="415"/>
      <c r="Z503" s="415"/>
      <c r="AA503" s="415"/>
    </row>
    <row r="504">
      <c r="A504" s="415"/>
      <c r="B504" s="415"/>
      <c r="C504" s="415"/>
      <c r="D504" s="415"/>
      <c r="E504" s="415"/>
      <c r="F504" s="415"/>
      <c r="G504" s="415"/>
      <c r="H504" s="415"/>
      <c r="I504" s="415"/>
      <c r="J504" s="415"/>
      <c r="K504" s="415"/>
      <c r="L504" s="415"/>
      <c r="M504" s="415"/>
      <c r="N504" s="415"/>
      <c r="O504" s="415"/>
      <c r="P504" s="415"/>
      <c r="Q504" s="415"/>
      <c r="R504" s="415"/>
      <c r="S504" s="415"/>
      <c r="T504" s="415"/>
      <c r="U504" s="415"/>
      <c r="V504" s="415"/>
      <c r="W504" s="415"/>
      <c r="X504" s="415"/>
      <c r="Y504" s="415"/>
      <c r="Z504" s="415"/>
      <c r="AA504" s="415"/>
    </row>
    <row r="505">
      <c r="A505" s="415"/>
      <c r="B505" s="415"/>
      <c r="C505" s="415"/>
      <c r="D505" s="415"/>
      <c r="E505" s="415"/>
      <c r="F505" s="415"/>
      <c r="G505" s="415"/>
      <c r="H505" s="415"/>
      <c r="I505" s="415"/>
      <c r="J505" s="415"/>
      <c r="K505" s="415"/>
      <c r="L505" s="415"/>
      <c r="M505" s="415"/>
      <c r="N505" s="415"/>
      <c r="O505" s="415"/>
      <c r="P505" s="415"/>
      <c r="Q505" s="415"/>
      <c r="R505" s="415"/>
      <c r="S505" s="415"/>
      <c r="T505" s="415"/>
      <c r="U505" s="415"/>
      <c r="V505" s="415"/>
      <c r="W505" s="415"/>
      <c r="X505" s="415"/>
      <c r="Y505" s="415"/>
      <c r="Z505" s="415"/>
      <c r="AA505" s="415"/>
    </row>
    <row r="506">
      <c r="A506" s="415"/>
      <c r="B506" s="415"/>
      <c r="C506" s="415"/>
      <c r="D506" s="415"/>
      <c r="E506" s="415"/>
      <c r="F506" s="415"/>
      <c r="G506" s="415"/>
      <c r="H506" s="415"/>
      <c r="I506" s="415"/>
      <c r="J506" s="415"/>
      <c r="K506" s="415"/>
      <c r="L506" s="415"/>
      <c r="M506" s="415"/>
      <c r="N506" s="415"/>
      <c r="O506" s="415"/>
      <c r="P506" s="415"/>
      <c r="Q506" s="415"/>
      <c r="R506" s="415"/>
      <c r="S506" s="415"/>
      <c r="T506" s="415"/>
      <c r="U506" s="415"/>
      <c r="V506" s="415"/>
      <c r="W506" s="415"/>
      <c r="X506" s="415"/>
      <c r="Y506" s="415"/>
      <c r="Z506" s="415"/>
      <c r="AA506" s="415"/>
    </row>
    <row r="507">
      <c r="A507" s="415"/>
      <c r="B507" s="415"/>
      <c r="C507" s="415"/>
      <c r="D507" s="415"/>
      <c r="E507" s="415"/>
      <c r="F507" s="415"/>
      <c r="G507" s="415"/>
      <c r="H507" s="415"/>
      <c r="I507" s="415"/>
      <c r="J507" s="415"/>
      <c r="K507" s="415"/>
      <c r="L507" s="415"/>
      <c r="M507" s="415"/>
      <c r="N507" s="415"/>
      <c r="O507" s="415"/>
      <c r="P507" s="415"/>
      <c r="Q507" s="415"/>
      <c r="R507" s="415"/>
      <c r="S507" s="415"/>
      <c r="T507" s="415"/>
      <c r="U507" s="415"/>
      <c r="V507" s="415"/>
      <c r="W507" s="415"/>
      <c r="X507" s="415"/>
      <c r="Y507" s="415"/>
      <c r="Z507" s="415"/>
      <c r="AA507" s="415"/>
    </row>
    <row r="508">
      <c r="A508" s="415"/>
      <c r="B508" s="415"/>
      <c r="C508" s="415"/>
      <c r="D508" s="415"/>
      <c r="E508" s="415"/>
      <c r="F508" s="415"/>
      <c r="G508" s="415"/>
      <c r="H508" s="415"/>
      <c r="I508" s="415"/>
      <c r="J508" s="415"/>
      <c r="K508" s="415"/>
      <c r="L508" s="415"/>
      <c r="M508" s="415"/>
      <c r="N508" s="415"/>
      <c r="O508" s="415"/>
      <c r="P508" s="415"/>
      <c r="Q508" s="415"/>
      <c r="R508" s="415"/>
      <c r="S508" s="415"/>
      <c r="T508" s="415"/>
      <c r="U508" s="415"/>
      <c r="V508" s="415"/>
      <c r="W508" s="415"/>
      <c r="X508" s="415"/>
      <c r="Y508" s="415"/>
      <c r="Z508" s="415"/>
      <c r="AA508" s="415"/>
    </row>
    <row r="509">
      <c r="A509" s="415"/>
      <c r="B509" s="415"/>
      <c r="C509" s="415"/>
      <c r="D509" s="415"/>
      <c r="E509" s="415"/>
      <c r="F509" s="415"/>
      <c r="G509" s="415"/>
      <c r="H509" s="415"/>
      <c r="I509" s="415"/>
      <c r="J509" s="415"/>
      <c r="K509" s="415"/>
      <c r="L509" s="415"/>
      <c r="M509" s="415"/>
      <c r="N509" s="415"/>
      <c r="O509" s="415"/>
      <c r="P509" s="415"/>
      <c r="Q509" s="415"/>
      <c r="R509" s="415"/>
      <c r="S509" s="415"/>
      <c r="T509" s="415"/>
      <c r="U509" s="415"/>
      <c r="V509" s="415"/>
      <c r="W509" s="415"/>
      <c r="X509" s="415"/>
      <c r="Y509" s="415"/>
      <c r="Z509" s="415"/>
      <c r="AA509" s="415"/>
    </row>
    <row r="510">
      <c r="A510" s="415"/>
      <c r="B510" s="415"/>
      <c r="C510" s="415"/>
      <c r="D510" s="415"/>
      <c r="E510" s="415"/>
      <c r="F510" s="415"/>
      <c r="G510" s="415"/>
      <c r="H510" s="415"/>
      <c r="I510" s="415"/>
      <c r="J510" s="415"/>
      <c r="K510" s="415"/>
      <c r="L510" s="415"/>
      <c r="M510" s="415"/>
      <c r="N510" s="415"/>
      <c r="O510" s="415"/>
      <c r="P510" s="415"/>
      <c r="Q510" s="415"/>
      <c r="R510" s="415"/>
      <c r="S510" s="415"/>
      <c r="T510" s="415"/>
      <c r="U510" s="415"/>
      <c r="V510" s="415"/>
      <c r="W510" s="415"/>
      <c r="X510" s="415"/>
      <c r="Y510" s="415"/>
      <c r="Z510" s="415"/>
      <c r="AA510" s="415"/>
    </row>
    <row r="511">
      <c r="A511" s="415"/>
      <c r="B511" s="415"/>
      <c r="C511" s="415"/>
      <c r="D511" s="415"/>
      <c r="E511" s="415"/>
      <c r="F511" s="415"/>
      <c r="G511" s="415"/>
      <c r="H511" s="415"/>
      <c r="I511" s="415"/>
      <c r="J511" s="415"/>
      <c r="K511" s="415"/>
      <c r="L511" s="415"/>
      <c r="M511" s="415"/>
      <c r="N511" s="415"/>
      <c r="O511" s="415"/>
      <c r="P511" s="415"/>
      <c r="Q511" s="415"/>
      <c r="R511" s="415"/>
      <c r="S511" s="415"/>
      <c r="T511" s="415"/>
      <c r="U511" s="415"/>
      <c r="V511" s="415"/>
      <c r="W511" s="415"/>
      <c r="X511" s="415"/>
      <c r="Y511" s="415"/>
      <c r="Z511" s="415"/>
      <c r="AA511" s="415"/>
    </row>
    <row r="512">
      <c r="A512" s="415"/>
      <c r="B512" s="415"/>
      <c r="C512" s="415"/>
      <c r="D512" s="415"/>
      <c r="E512" s="415"/>
      <c r="F512" s="415"/>
      <c r="G512" s="415"/>
      <c r="H512" s="415"/>
      <c r="I512" s="415"/>
      <c r="J512" s="415"/>
      <c r="K512" s="415"/>
      <c r="L512" s="415"/>
      <c r="M512" s="415"/>
      <c r="N512" s="415"/>
      <c r="O512" s="415"/>
      <c r="P512" s="415"/>
      <c r="Q512" s="415"/>
      <c r="R512" s="415"/>
      <c r="S512" s="415"/>
      <c r="T512" s="415"/>
      <c r="U512" s="415"/>
      <c r="V512" s="415"/>
      <c r="W512" s="415"/>
      <c r="X512" s="415"/>
      <c r="Y512" s="415"/>
      <c r="Z512" s="415"/>
      <c r="AA512" s="415"/>
    </row>
    <row r="513">
      <c r="A513" s="415"/>
      <c r="B513" s="415"/>
      <c r="C513" s="415"/>
      <c r="D513" s="415"/>
      <c r="E513" s="415"/>
      <c r="F513" s="415"/>
      <c r="G513" s="415"/>
      <c r="H513" s="415"/>
      <c r="I513" s="415"/>
      <c r="J513" s="415"/>
      <c r="K513" s="415"/>
      <c r="L513" s="415"/>
      <c r="M513" s="415"/>
      <c r="N513" s="415"/>
      <c r="O513" s="415"/>
      <c r="P513" s="415"/>
      <c r="Q513" s="415"/>
      <c r="R513" s="415"/>
      <c r="S513" s="415"/>
      <c r="T513" s="415"/>
      <c r="U513" s="415"/>
      <c r="V513" s="415"/>
      <c r="W513" s="415"/>
      <c r="X513" s="415"/>
      <c r="Y513" s="415"/>
      <c r="Z513" s="415"/>
      <c r="AA513" s="415"/>
    </row>
    <row r="514">
      <c r="A514" s="415"/>
      <c r="B514" s="415"/>
      <c r="C514" s="415"/>
      <c r="D514" s="415"/>
      <c r="E514" s="415"/>
      <c r="F514" s="415"/>
      <c r="G514" s="415"/>
      <c r="H514" s="415"/>
      <c r="I514" s="415"/>
      <c r="J514" s="415"/>
      <c r="K514" s="415"/>
      <c r="L514" s="415"/>
      <c r="M514" s="415"/>
      <c r="N514" s="415"/>
      <c r="O514" s="415"/>
      <c r="P514" s="415"/>
      <c r="Q514" s="415"/>
      <c r="R514" s="415"/>
      <c r="S514" s="415"/>
      <c r="T514" s="415"/>
      <c r="U514" s="415"/>
      <c r="V514" s="415"/>
      <c r="W514" s="415"/>
      <c r="X514" s="415"/>
      <c r="Y514" s="415"/>
      <c r="Z514" s="415"/>
      <c r="AA514" s="415"/>
    </row>
    <row r="515">
      <c r="A515" s="415"/>
      <c r="B515" s="415"/>
      <c r="C515" s="415"/>
      <c r="D515" s="415"/>
      <c r="E515" s="415"/>
      <c r="F515" s="415"/>
      <c r="G515" s="415"/>
      <c r="H515" s="415"/>
      <c r="I515" s="415"/>
      <c r="J515" s="415"/>
      <c r="K515" s="415"/>
      <c r="L515" s="415"/>
      <c r="M515" s="415"/>
      <c r="N515" s="415"/>
      <c r="O515" s="415"/>
      <c r="P515" s="415"/>
      <c r="Q515" s="415"/>
      <c r="R515" s="415"/>
      <c r="S515" s="415"/>
      <c r="T515" s="415"/>
      <c r="U515" s="415"/>
      <c r="V515" s="415"/>
      <c r="W515" s="415"/>
      <c r="X515" s="415"/>
      <c r="Y515" s="415"/>
      <c r="Z515" s="415"/>
      <c r="AA515" s="415"/>
    </row>
    <row r="516">
      <c r="A516" s="415"/>
      <c r="B516" s="415"/>
      <c r="C516" s="415"/>
      <c r="D516" s="415"/>
      <c r="E516" s="415"/>
      <c r="F516" s="415"/>
      <c r="G516" s="415"/>
      <c r="H516" s="415"/>
      <c r="I516" s="415"/>
      <c r="J516" s="415"/>
      <c r="K516" s="415"/>
      <c r="L516" s="415"/>
      <c r="M516" s="415"/>
      <c r="N516" s="415"/>
      <c r="O516" s="415"/>
      <c r="P516" s="415"/>
      <c r="Q516" s="415"/>
      <c r="R516" s="415"/>
      <c r="S516" s="415"/>
      <c r="T516" s="415"/>
      <c r="U516" s="415"/>
      <c r="V516" s="415"/>
      <c r="W516" s="415"/>
      <c r="X516" s="415"/>
      <c r="Y516" s="415"/>
      <c r="Z516" s="415"/>
      <c r="AA516" s="415"/>
    </row>
    <row r="517">
      <c r="A517" s="415"/>
      <c r="B517" s="415"/>
      <c r="C517" s="415"/>
      <c r="D517" s="415"/>
      <c r="E517" s="415"/>
      <c r="F517" s="415"/>
      <c r="G517" s="415"/>
      <c r="H517" s="415"/>
      <c r="I517" s="415"/>
      <c r="J517" s="415"/>
      <c r="K517" s="415"/>
      <c r="L517" s="415"/>
      <c r="M517" s="415"/>
      <c r="N517" s="415"/>
      <c r="O517" s="415"/>
      <c r="P517" s="415"/>
      <c r="Q517" s="415"/>
      <c r="R517" s="415"/>
      <c r="S517" s="415"/>
      <c r="T517" s="415"/>
      <c r="U517" s="415"/>
      <c r="V517" s="415"/>
      <c r="W517" s="415"/>
      <c r="X517" s="415"/>
      <c r="Y517" s="415"/>
      <c r="Z517" s="415"/>
      <c r="AA517" s="415"/>
    </row>
    <row r="518">
      <c r="A518" s="415"/>
      <c r="B518" s="415"/>
      <c r="C518" s="415"/>
      <c r="D518" s="415"/>
      <c r="E518" s="415"/>
      <c r="F518" s="415"/>
      <c r="G518" s="415"/>
      <c r="H518" s="415"/>
      <c r="I518" s="415"/>
      <c r="J518" s="415"/>
      <c r="K518" s="415"/>
      <c r="L518" s="415"/>
      <c r="M518" s="415"/>
      <c r="N518" s="415"/>
      <c r="O518" s="415"/>
      <c r="P518" s="415"/>
      <c r="Q518" s="415"/>
      <c r="R518" s="415"/>
      <c r="S518" s="415"/>
      <c r="T518" s="415"/>
      <c r="U518" s="415"/>
      <c r="V518" s="415"/>
      <c r="W518" s="415"/>
      <c r="X518" s="415"/>
      <c r="Y518" s="415"/>
      <c r="Z518" s="415"/>
      <c r="AA518" s="415"/>
    </row>
    <row r="519">
      <c r="A519" s="415"/>
      <c r="B519" s="415"/>
      <c r="C519" s="415"/>
      <c r="D519" s="415"/>
      <c r="E519" s="415"/>
      <c r="F519" s="415"/>
      <c r="G519" s="415"/>
      <c r="H519" s="415"/>
      <c r="I519" s="415"/>
      <c r="J519" s="415"/>
      <c r="K519" s="415"/>
      <c r="L519" s="415"/>
      <c r="M519" s="415"/>
      <c r="N519" s="415"/>
      <c r="O519" s="415"/>
      <c r="P519" s="415"/>
      <c r="Q519" s="415"/>
      <c r="R519" s="415"/>
      <c r="S519" s="415"/>
      <c r="T519" s="415"/>
      <c r="U519" s="415"/>
      <c r="V519" s="415"/>
      <c r="W519" s="415"/>
      <c r="X519" s="415"/>
      <c r="Y519" s="415"/>
      <c r="Z519" s="415"/>
      <c r="AA519" s="415"/>
    </row>
    <row r="520">
      <c r="A520" s="415"/>
      <c r="B520" s="415"/>
      <c r="C520" s="415"/>
      <c r="D520" s="415"/>
      <c r="E520" s="415"/>
      <c r="F520" s="415"/>
      <c r="G520" s="415"/>
      <c r="H520" s="415"/>
      <c r="I520" s="415"/>
      <c r="J520" s="415"/>
      <c r="K520" s="415"/>
      <c r="L520" s="415"/>
      <c r="M520" s="415"/>
      <c r="N520" s="415"/>
      <c r="O520" s="415"/>
      <c r="P520" s="415"/>
      <c r="Q520" s="415"/>
      <c r="R520" s="415"/>
      <c r="S520" s="415"/>
      <c r="T520" s="415"/>
      <c r="U520" s="415"/>
      <c r="V520" s="415"/>
      <c r="W520" s="415"/>
      <c r="X520" s="415"/>
      <c r="Y520" s="415"/>
      <c r="Z520" s="415"/>
      <c r="AA520" s="415"/>
    </row>
    <row r="521">
      <c r="A521" s="415"/>
      <c r="B521" s="415"/>
      <c r="C521" s="415"/>
      <c r="D521" s="415"/>
      <c r="E521" s="415"/>
      <c r="F521" s="415"/>
      <c r="G521" s="415"/>
      <c r="H521" s="415"/>
      <c r="I521" s="415"/>
      <c r="J521" s="415"/>
      <c r="K521" s="415"/>
      <c r="L521" s="415"/>
      <c r="M521" s="415"/>
      <c r="N521" s="415"/>
      <c r="O521" s="415"/>
      <c r="P521" s="415"/>
      <c r="Q521" s="415"/>
      <c r="R521" s="415"/>
      <c r="S521" s="415"/>
      <c r="T521" s="415"/>
      <c r="U521" s="415"/>
      <c r="V521" s="415"/>
      <c r="W521" s="415"/>
      <c r="X521" s="415"/>
      <c r="Y521" s="415"/>
      <c r="Z521" s="415"/>
      <c r="AA521" s="415"/>
    </row>
    <row r="522">
      <c r="A522" s="415"/>
      <c r="B522" s="415"/>
      <c r="C522" s="415"/>
      <c r="D522" s="415"/>
      <c r="E522" s="415"/>
      <c r="F522" s="415"/>
      <c r="G522" s="415"/>
      <c r="H522" s="415"/>
      <c r="I522" s="415"/>
      <c r="J522" s="415"/>
      <c r="K522" s="415"/>
      <c r="L522" s="415"/>
      <c r="M522" s="415"/>
      <c r="N522" s="415"/>
      <c r="O522" s="415"/>
      <c r="P522" s="415"/>
      <c r="Q522" s="415"/>
      <c r="R522" s="415"/>
      <c r="S522" s="415"/>
      <c r="T522" s="415"/>
      <c r="U522" s="415"/>
      <c r="V522" s="415"/>
      <c r="W522" s="415"/>
      <c r="X522" s="415"/>
      <c r="Y522" s="415"/>
      <c r="Z522" s="415"/>
      <c r="AA522" s="415"/>
    </row>
    <row r="523">
      <c r="A523" s="415"/>
      <c r="B523" s="415"/>
      <c r="C523" s="415"/>
      <c r="D523" s="415"/>
      <c r="E523" s="415"/>
      <c r="F523" s="415"/>
      <c r="G523" s="415"/>
      <c r="H523" s="415"/>
      <c r="I523" s="415"/>
      <c r="J523" s="415"/>
      <c r="K523" s="415"/>
      <c r="L523" s="415"/>
      <c r="M523" s="415"/>
      <c r="N523" s="415"/>
      <c r="O523" s="415"/>
      <c r="P523" s="415"/>
      <c r="Q523" s="415"/>
      <c r="R523" s="415"/>
      <c r="S523" s="415"/>
      <c r="T523" s="415"/>
      <c r="U523" s="415"/>
      <c r="V523" s="415"/>
      <c r="W523" s="415"/>
      <c r="X523" s="415"/>
      <c r="Y523" s="415"/>
      <c r="Z523" s="415"/>
      <c r="AA523" s="415"/>
    </row>
    <row r="524">
      <c r="A524" s="415"/>
      <c r="B524" s="415"/>
      <c r="C524" s="415"/>
      <c r="D524" s="415"/>
      <c r="E524" s="415"/>
      <c r="F524" s="415"/>
      <c r="G524" s="415"/>
      <c r="H524" s="415"/>
      <c r="I524" s="415"/>
      <c r="J524" s="415"/>
      <c r="K524" s="415"/>
      <c r="L524" s="415"/>
      <c r="M524" s="415"/>
      <c r="N524" s="415"/>
      <c r="O524" s="415"/>
      <c r="P524" s="415"/>
      <c r="Q524" s="415"/>
      <c r="R524" s="415"/>
      <c r="S524" s="415"/>
      <c r="T524" s="415"/>
      <c r="U524" s="415"/>
      <c r="V524" s="415"/>
      <c r="W524" s="415"/>
      <c r="X524" s="415"/>
      <c r="Y524" s="415"/>
      <c r="Z524" s="415"/>
      <c r="AA524" s="415"/>
    </row>
    <row r="525">
      <c r="A525" s="415"/>
      <c r="B525" s="415"/>
      <c r="C525" s="415"/>
      <c r="D525" s="415"/>
      <c r="E525" s="415"/>
      <c r="F525" s="415"/>
      <c r="G525" s="415"/>
      <c r="H525" s="415"/>
      <c r="I525" s="415"/>
      <c r="J525" s="415"/>
      <c r="K525" s="415"/>
      <c r="L525" s="415"/>
      <c r="M525" s="415"/>
      <c r="N525" s="415"/>
      <c r="O525" s="415"/>
      <c r="P525" s="415"/>
      <c r="Q525" s="415"/>
      <c r="R525" s="415"/>
      <c r="S525" s="415"/>
      <c r="T525" s="415"/>
      <c r="U525" s="415"/>
      <c r="V525" s="415"/>
      <c r="W525" s="415"/>
      <c r="X525" s="415"/>
      <c r="Y525" s="415"/>
      <c r="Z525" s="415"/>
      <c r="AA525" s="415"/>
    </row>
    <row r="526">
      <c r="A526" s="415"/>
      <c r="B526" s="415"/>
      <c r="C526" s="415"/>
      <c r="D526" s="415"/>
      <c r="E526" s="415"/>
      <c r="F526" s="415"/>
      <c r="G526" s="415"/>
      <c r="H526" s="415"/>
      <c r="I526" s="415"/>
      <c r="J526" s="415"/>
      <c r="K526" s="415"/>
      <c r="L526" s="415"/>
      <c r="M526" s="415"/>
      <c r="N526" s="415"/>
      <c r="O526" s="415"/>
      <c r="P526" s="415"/>
      <c r="Q526" s="415"/>
      <c r="R526" s="415"/>
      <c r="S526" s="415"/>
      <c r="T526" s="415"/>
      <c r="U526" s="415"/>
      <c r="V526" s="415"/>
      <c r="W526" s="415"/>
      <c r="X526" s="415"/>
      <c r="Y526" s="415"/>
      <c r="Z526" s="415"/>
      <c r="AA526" s="415"/>
    </row>
    <row r="527">
      <c r="A527" s="415"/>
      <c r="B527" s="415"/>
      <c r="C527" s="415"/>
      <c r="D527" s="415"/>
      <c r="E527" s="415"/>
      <c r="F527" s="415"/>
      <c r="G527" s="415"/>
      <c r="H527" s="415"/>
      <c r="I527" s="415"/>
      <c r="J527" s="415"/>
      <c r="K527" s="415"/>
      <c r="L527" s="415"/>
      <c r="M527" s="415"/>
      <c r="N527" s="415"/>
      <c r="O527" s="415"/>
      <c r="P527" s="415"/>
      <c r="Q527" s="415"/>
      <c r="R527" s="415"/>
      <c r="S527" s="415"/>
      <c r="T527" s="415"/>
      <c r="U527" s="415"/>
      <c r="V527" s="415"/>
      <c r="W527" s="415"/>
      <c r="X527" s="415"/>
      <c r="Y527" s="415"/>
      <c r="Z527" s="415"/>
      <c r="AA527" s="415"/>
    </row>
    <row r="528">
      <c r="A528" s="415"/>
      <c r="B528" s="415"/>
      <c r="C528" s="415"/>
      <c r="D528" s="415"/>
      <c r="E528" s="415"/>
      <c r="F528" s="415"/>
      <c r="G528" s="415"/>
      <c r="H528" s="415"/>
      <c r="I528" s="415"/>
      <c r="J528" s="415"/>
      <c r="K528" s="415"/>
      <c r="L528" s="415"/>
      <c r="M528" s="415"/>
      <c r="N528" s="415"/>
      <c r="O528" s="415"/>
      <c r="P528" s="415"/>
      <c r="Q528" s="415"/>
      <c r="R528" s="415"/>
      <c r="S528" s="415"/>
      <c r="T528" s="415"/>
      <c r="U528" s="415"/>
      <c r="V528" s="415"/>
      <c r="W528" s="415"/>
      <c r="X528" s="415"/>
      <c r="Y528" s="415"/>
      <c r="Z528" s="415"/>
      <c r="AA528" s="415"/>
    </row>
    <row r="529">
      <c r="A529" s="415"/>
      <c r="B529" s="415"/>
      <c r="C529" s="415"/>
      <c r="D529" s="415"/>
      <c r="E529" s="415"/>
      <c r="F529" s="415"/>
      <c r="G529" s="415"/>
      <c r="H529" s="415"/>
      <c r="I529" s="415"/>
      <c r="J529" s="415"/>
      <c r="K529" s="415"/>
      <c r="L529" s="415"/>
      <c r="M529" s="415"/>
      <c r="N529" s="415"/>
      <c r="O529" s="415"/>
      <c r="P529" s="415"/>
      <c r="Q529" s="415"/>
      <c r="R529" s="415"/>
      <c r="S529" s="415"/>
      <c r="T529" s="415"/>
      <c r="U529" s="415"/>
      <c r="V529" s="415"/>
      <c r="W529" s="415"/>
      <c r="X529" s="415"/>
      <c r="Y529" s="415"/>
      <c r="Z529" s="415"/>
      <c r="AA529" s="415"/>
    </row>
    <row r="530">
      <c r="A530" s="415"/>
      <c r="B530" s="415"/>
      <c r="C530" s="415"/>
      <c r="D530" s="415"/>
      <c r="E530" s="415"/>
      <c r="F530" s="415"/>
      <c r="G530" s="415"/>
      <c r="H530" s="415"/>
      <c r="I530" s="415"/>
      <c r="J530" s="415"/>
      <c r="K530" s="415"/>
      <c r="L530" s="415"/>
      <c r="M530" s="415"/>
      <c r="N530" s="415"/>
      <c r="O530" s="415"/>
      <c r="P530" s="415"/>
      <c r="Q530" s="415"/>
      <c r="R530" s="415"/>
      <c r="S530" s="415"/>
      <c r="T530" s="415"/>
      <c r="U530" s="415"/>
      <c r="V530" s="415"/>
      <c r="W530" s="415"/>
      <c r="X530" s="415"/>
      <c r="Y530" s="415"/>
      <c r="Z530" s="415"/>
      <c r="AA530" s="415"/>
    </row>
    <row r="531">
      <c r="A531" s="415"/>
      <c r="B531" s="415"/>
      <c r="C531" s="415"/>
      <c r="D531" s="415"/>
      <c r="E531" s="415"/>
      <c r="F531" s="415"/>
      <c r="G531" s="415"/>
      <c r="H531" s="415"/>
      <c r="I531" s="415"/>
      <c r="J531" s="415"/>
      <c r="K531" s="415"/>
      <c r="L531" s="415"/>
      <c r="M531" s="415"/>
      <c r="N531" s="415"/>
      <c r="O531" s="415"/>
      <c r="P531" s="415"/>
      <c r="Q531" s="415"/>
      <c r="R531" s="415"/>
      <c r="S531" s="415"/>
      <c r="T531" s="415"/>
      <c r="U531" s="415"/>
      <c r="V531" s="415"/>
      <c r="W531" s="415"/>
      <c r="X531" s="415"/>
      <c r="Y531" s="415"/>
      <c r="Z531" s="415"/>
      <c r="AA531" s="415"/>
    </row>
    <row r="532">
      <c r="A532" s="415"/>
      <c r="B532" s="415"/>
      <c r="C532" s="415"/>
      <c r="D532" s="415"/>
      <c r="E532" s="415"/>
      <c r="F532" s="415"/>
      <c r="G532" s="415"/>
      <c r="H532" s="415"/>
      <c r="I532" s="415"/>
      <c r="J532" s="415"/>
      <c r="K532" s="415"/>
      <c r="L532" s="415"/>
      <c r="M532" s="415"/>
      <c r="N532" s="415"/>
      <c r="O532" s="415"/>
      <c r="P532" s="415"/>
      <c r="Q532" s="415"/>
      <c r="R532" s="415"/>
      <c r="S532" s="415"/>
      <c r="T532" s="415"/>
      <c r="U532" s="415"/>
      <c r="V532" s="415"/>
      <c r="W532" s="415"/>
      <c r="X532" s="415"/>
      <c r="Y532" s="415"/>
      <c r="Z532" s="415"/>
      <c r="AA532" s="415"/>
    </row>
    <row r="533">
      <c r="A533" s="415"/>
      <c r="B533" s="415"/>
      <c r="C533" s="415"/>
      <c r="D533" s="415"/>
      <c r="E533" s="415"/>
      <c r="F533" s="415"/>
      <c r="G533" s="415"/>
      <c r="H533" s="415"/>
      <c r="I533" s="415"/>
      <c r="J533" s="415"/>
      <c r="K533" s="415"/>
      <c r="L533" s="415"/>
      <c r="M533" s="415"/>
      <c r="N533" s="415"/>
      <c r="O533" s="415"/>
      <c r="P533" s="415"/>
      <c r="Q533" s="415"/>
      <c r="R533" s="415"/>
      <c r="S533" s="415"/>
      <c r="T533" s="415"/>
      <c r="U533" s="415"/>
      <c r="V533" s="415"/>
      <c r="W533" s="415"/>
      <c r="X533" s="415"/>
      <c r="Y533" s="415"/>
      <c r="Z533" s="415"/>
      <c r="AA533" s="415"/>
    </row>
    <row r="534">
      <c r="A534" s="415"/>
      <c r="B534" s="415"/>
      <c r="C534" s="415"/>
      <c r="D534" s="415"/>
      <c r="E534" s="415"/>
      <c r="F534" s="415"/>
      <c r="G534" s="415"/>
      <c r="H534" s="415"/>
      <c r="I534" s="415"/>
      <c r="J534" s="415"/>
      <c r="K534" s="415"/>
      <c r="L534" s="415"/>
      <c r="M534" s="415"/>
      <c r="N534" s="415"/>
      <c r="O534" s="415"/>
      <c r="P534" s="415"/>
      <c r="Q534" s="415"/>
      <c r="R534" s="415"/>
      <c r="S534" s="415"/>
      <c r="T534" s="415"/>
      <c r="U534" s="415"/>
      <c r="V534" s="415"/>
      <c r="W534" s="415"/>
      <c r="X534" s="415"/>
      <c r="Y534" s="415"/>
      <c r="Z534" s="415"/>
      <c r="AA534" s="415"/>
    </row>
    <row r="535">
      <c r="A535" s="415"/>
      <c r="B535" s="415"/>
      <c r="C535" s="415"/>
      <c r="D535" s="415"/>
      <c r="E535" s="415"/>
      <c r="F535" s="415"/>
      <c r="G535" s="415"/>
      <c r="H535" s="415"/>
      <c r="I535" s="415"/>
      <c r="J535" s="415"/>
      <c r="K535" s="415"/>
      <c r="L535" s="415"/>
      <c r="M535" s="415"/>
      <c r="N535" s="415"/>
      <c r="O535" s="415"/>
      <c r="P535" s="415"/>
      <c r="Q535" s="415"/>
      <c r="R535" s="415"/>
      <c r="S535" s="415"/>
      <c r="T535" s="415"/>
      <c r="U535" s="415"/>
      <c r="V535" s="415"/>
      <c r="W535" s="415"/>
      <c r="X535" s="415"/>
      <c r="Y535" s="415"/>
      <c r="Z535" s="415"/>
      <c r="AA535" s="415"/>
    </row>
    <row r="536">
      <c r="A536" s="415"/>
      <c r="B536" s="415"/>
      <c r="C536" s="415"/>
      <c r="D536" s="415"/>
      <c r="E536" s="415"/>
      <c r="F536" s="415"/>
      <c r="G536" s="415"/>
      <c r="H536" s="415"/>
      <c r="I536" s="415"/>
      <c r="J536" s="415"/>
      <c r="K536" s="415"/>
      <c r="L536" s="415"/>
      <c r="M536" s="415"/>
      <c r="N536" s="415"/>
      <c r="O536" s="415"/>
      <c r="P536" s="415"/>
      <c r="Q536" s="415"/>
      <c r="R536" s="415"/>
      <c r="S536" s="415"/>
      <c r="T536" s="415"/>
      <c r="U536" s="415"/>
      <c r="V536" s="415"/>
      <c r="W536" s="415"/>
      <c r="X536" s="415"/>
      <c r="Y536" s="415"/>
      <c r="Z536" s="415"/>
      <c r="AA536" s="415"/>
    </row>
    <row r="537">
      <c r="A537" s="415"/>
      <c r="B537" s="415"/>
      <c r="C537" s="415"/>
      <c r="D537" s="415"/>
      <c r="E537" s="415"/>
      <c r="F537" s="415"/>
      <c r="G537" s="415"/>
      <c r="H537" s="415"/>
      <c r="I537" s="415"/>
      <c r="J537" s="415"/>
      <c r="K537" s="415"/>
      <c r="L537" s="415"/>
      <c r="M537" s="415"/>
      <c r="N537" s="415"/>
      <c r="O537" s="415"/>
      <c r="P537" s="415"/>
      <c r="Q537" s="415"/>
      <c r="R537" s="415"/>
      <c r="S537" s="415"/>
      <c r="T537" s="415"/>
      <c r="U537" s="415"/>
      <c r="V537" s="415"/>
      <c r="W537" s="415"/>
      <c r="X537" s="415"/>
      <c r="Y537" s="415"/>
      <c r="Z537" s="415"/>
      <c r="AA537" s="415"/>
    </row>
    <row r="538">
      <c r="A538" s="415"/>
      <c r="B538" s="415"/>
      <c r="C538" s="415"/>
      <c r="D538" s="415"/>
      <c r="E538" s="415"/>
      <c r="F538" s="415"/>
      <c r="G538" s="415"/>
      <c r="H538" s="415"/>
      <c r="I538" s="415"/>
      <c r="J538" s="415"/>
      <c r="K538" s="415"/>
      <c r="L538" s="415"/>
      <c r="M538" s="415"/>
      <c r="N538" s="415"/>
      <c r="O538" s="415"/>
      <c r="P538" s="415"/>
      <c r="Q538" s="415"/>
      <c r="R538" s="415"/>
      <c r="S538" s="415"/>
      <c r="T538" s="415"/>
      <c r="U538" s="415"/>
      <c r="V538" s="415"/>
      <c r="W538" s="415"/>
      <c r="X538" s="415"/>
      <c r="Y538" s="415"/>
      <c r="Z538" s="415"/>
      <c r="AA538" s="415"/>
    </row>
    <row r="539">
      <c r="A539" s="415"/>
      <c r="B539" s="415"/>
      <c r="C539" s="415"/>
      <c r="D539" s="415"/>
      <c r="E539" s="415"/>
      <c r="F539" s="415"/>
      <c r="G539" s="415"/>
      <c r="H539" s="415"/>
      <c r="I539" s="415"/>
      <c r="J539" s="415"/>
      <c r="K539" s="415"/>
      <c r="L539" s="415"/>
      <c r="M539" s="415"/>
      <c r="N539" s="415"/>
      <c r="O539" s="415"/>
      <c r="P539" s="415"/>
      <c r="Q539" s="415"/>
      <c r="R539" s="415"/>
      <c r="S539" s="415"/>
      <c r="T539" s="415"/>
      <c r="U539" s="415"/>
      <c r="V539" s="415"/>
      <c r="W539" s="415"/>
      <c r="X539" s="415"/>
      <c r="Y539" s="415"/>
      <c r="Z539" s="415"/>
      <c r="AA539" s="415"/>
    </row>
    <row r="540">
      <c r="A540" s="415"/>
      <c r="B540" s="415"/>
      <c r="C540" s="415"/>
      <c r="D540" s="415"/>
      <c r="E540" s="415"/>
      <c r="F540" s="415"/>
      <c r="G540" s="415"/>
      <c r="H540" s="415"/>
      <c r="I540" s="415"/>
      <c r="J540" s="415"/>
      <c r="K540" s="415"/>
      <c r="L540" s="415"/>
      <c r="M540" s="415"/>
      <c r="N540" s="415"/>
      <c r="O540" s="415"/>
      <c r="P540" s="415"/>
      <c r="Q540" s="415"/>
      <c r="R540" s="415"/>
      <c r="S540" s="415"/>
      <c r="T540" s="415"/>
      <c r="U540" s="415"/>
      <c r="V540" s="415"/>
      <c r="W540" s="415"/>
      <c r="X540" s="415"/>
      <c r="Y540" s="415"/>
      <c r="Z540" s="415"/>
      <c r="AA540" s="415"/>
    </row>
    <row r="541">
      <c r="A541" s="415"/>
      <c r="B541" s="415"/>
      <c r="C541" s="415"/>
      <c r="D541" s="415"/>
      <c r="E541" s="415"/>
      <c r="F541" s="415"/>
      <c r="G541" s="415"/>
      <c r="H541" s="415"/>
      <c r="I541" s="415"/>
      <c r="J541" s="415"/>
      <c r="K541" s="415"/>
      <c r="L541" s="415"/>
      <c r="M541" s="415"/>
      <c r="N541" s="415"/>
      <c r="O541" s="415"/>
      <c r="P541" s="415"/>
      <c r="Q541" s="415"/>
      <c r="R541" s="415"/>
      <c r="S541" s="415"/>
      <c r="T541" s="415"/>
      <c r="U541" s="415"/>
      <c r="V541" s="415"/>
      <c r="W541" s="415"/>
      <c r="X541" s="415"/>
      <c r="Y541" s="415"/>
      <c r="Z541" s="415"/>
      <c r="AA541" s="415"/>
    </row>
    <row r="542">
      <c r="A542" s="415"/>
      <c r="B542" s="415"/>
      <c r="C542" s="415"/>
      <c r="D542" s="415"/>
      <c r="E542" s="415"/>
      <c r="F542" s="415"/>
      <c r="G542" s="415"/>
      <c r="H542" s="415"/>
      <c r="I542" s="415"/>
      <c r="J542" s="415"/>
      <c r="K542" s="415"/>
      <c r="L542" s="415"/>
      <c r="M542" s="415"/>
      <c r="N542" s="415"/>
      <c r="O542" s="415"/>
      <c r="P542" s="415"/>
      <c r="Q542" s="415"/>
      <c r="R542" s="415"/>
      <c r="S542" s="415"/>
      <c r="T542" s="415"/>
      <c r="U542" s="415"/>
      <c r="V542" s="415"/>
      <c r="W542" s="415"/>
      <c r="X542" s="415"/>
      <c r="Y542" s="415"/>
      <c r="Z542" s="415"/>
      <c r="AA542" s="415"/>
    </row>
    <row r="543">
      <c r="A543" s="415"/>
      <c r="B543" s="415"/>
      <c r="C543" s="415"/>
      <c r="D543" s="415"/>
      <c r="E543" s="415"/>
      <c r="F543" s="415"/>
      <c r="G543" s="415"/>
      <c r="H543" s="415"/>
      <c r="I543" s="415"/>
      <c r="J543" s="415"/>
      <c r="K543" s="415"/>
      <c r="L543" s="415"/>
      <c r="M543" s="415"/>
      <c r="N543" s="415"/>
      <c r="O543" s="415"/>
      <c r="P543" s="415"/>
      <c r="Q543" s="415"/>
      <c r="R543" s="415"/>
      <c r="S543" s="415"/>
      <c r="T543" s="415"/>
      <c r="U543" s="415"/>
      <c r="V543" s="415"/>
      <c r="W543" s="415"/>
      <c r="X543" s="415"/>
      <c r="Y543" s="415"/>
      <c r="Z543" s="415"/>
      <c r="AA543" s="415"/>
    </row>
    <row r="544">
      <c r="A544" s="415"/>
      <c r="B544" s="415"/>
      <c r="C544" s="415"/>
      <c r="D544" s="415"/>
      <c r="E544" s="415"/>
      <c r="F544" s="415"/>
      <c r="G544" s="415"/>
      <c r="H544" s="415"/>
      <c r="I544" s="415"/>
      <c r="J544" s="415"/>
      <c r="K544" s="415"/>
      <c r="L544" s="415"/>
      <c r="M544" s="415"/>
      <c r="N544" s="415"/>
      <c r="O544" s="415"/>
      <c r="P544" s="415"/>
      <c r="Q544" s="415"/>
      <c r="R544" s="415"/>
      <c r="S544" s="415"/>
      <c r="T544" s="415"/>
      <c r="U544" s="415"/>
      <c r="V544" s="415"/>
      <c r="W544" s="415"/>
      <c r="X544" s="415"/>
      <c r="Y544" s="415"/>
      <c r="Z544" s="415"/>
      <c r="AA544" s="415"/>
    </row>
    <row r="545">
      <c r="A545" s="415"/>
      <c r="B545" s="415"/>
      <c r="C545" s="415"/>
      <c r="D545" s="415"/>
      <c r="E545" s="415"/>
      <c r="F545" s="415"/>
      <c r="G545" s="415"/>
      <c r="H545" s="415"/>
      <c r="I545" s="415"/>
      <c r="J545" s="415"/>
      <c r="K545" s="415"/>
      <c r="L545" s="415"/>
      <c r="M545" s="415"/>
      <c r="N545" s="415"/>
      <c r="O545" s="415"/>
      <c r="P545" s="415"/>
      <c r="Q545" s="415"/>
      <c r="R545" s="415"/>
      <c r="S545" s="415"/>
      <c r="T545" s="415"/>
      <c r="U545" s="415"/>
      <c r="V545" s="415"/>
      <c r="W545" s="415"/>
      <c r="X545" s="415"/>
      <c r="Y545" s="415"/>
      <c r="Z545" s="415"/>
      <c r="AA545" s="415"/>
    </row>
    <row r="546">
      <c r="A546" s="415"/>
      <c r="B546" s="415"/>
      <c r="C546" s="415"/>
      <c r="D546" s="415"/>
      <c r="E546" s="415"/>
      <c r="F546" s="415"/>
      <c r="G546" s="415"/>
      <c r="H546" s="415"/>
      <c r="I546" s="415"/>
      <c r="J546" s="415"/>
      <c r="K546" s="415"/>
      <c r="L546" s="415"/>
      <c r="M546" s="415"/>
      <c r="N546" s="415"/>
      <c r="O546" s="415"/>
      <c r="P546" s="415"/>
      <c r="Q546" s="415"/>
      <c r="R546" s="415"/>
      <c r="S546" s="415"/>
      <c r="T546" s="415"/>
      <c r="U546" s="415"/>
      <c r="V546" s="415"/>
      <c r="W546" s="415"/>
      <c r="X546" s="415"/>
      <c r="Y546" s="415"/>
      <c r="Z546" s="415"/>
      <c r="AA546" s="415"/>
    </row>
    <row r="547">
      <c r="A547" s="415"/>
      <c r="B547" s="415"/>
      <c r="C547" s="415"/>
      <c r="D547" s="415"/>
      <c r="E547" s="415"/>
      <c r="F547" s="415"/>
      <c r="G547" s="415"/>
      <c r="H547" s="415"/>
      <c r="I547" s="415"/>
      <c r="J547" s="415"/>
      <c r="K547" s="415"/>
      <c r="L547" s="415"/>
      <c r="M547" s="415"/>
      <c r="N547" s="415"/>
      <c r="O547" s="415"/>
      <c r="P547" s="415"/>
      <c r="Q547" s="415"/>
      <c r="R547" s="415"/>
      <c r="S547" s="415"/>
      <c r="T547" s="415"/>
      <c r="U547" s="415"/>
      <c r="V547" s="415"/>
      <c r="W547" s="415"/>
      <c r="X547" s="415"/>
      <c r="Y547" s="415"/>
      <c r="Z547" s="415"/>
      <c r="AA547" s="415"/>
    </row>
    <row r="548">
      <c r="A548" s="415"/>
      <c r="B548" s="415"/>
      <c r="C548" s="415"/>
      <c r="D548" s="415"/>
      <c r="E548" s="415"/>
      <c r="F548" s="415"/>
      <c r="G548" s="415"/>
      <c r="H548" s="415"/>
      <c r="I548" s="415"/>
      <c r="J548" s="415"/>
      <c r="K548" s="415"/>
      <c r="L548" s="415"/>
      <c r="M548" s="415"/>
      <c r="N548" s="415"/>
      <c r="O548" s="415"/>
      <c r="P548" s="415"/>
      <c r="Q548" s="415"/>
      <c r="R548" s="415"/>
      <c r="S548" s="415"/>
      <c r="T548" s="415"/>
      <c r="U548" s="415"/>
      <c r="V548" s="415"/>
      <c r="W548" s="415"/>
      <c r="X548" s="415"/>
      <c r="Y548" s="415"/>
      <c r="Z548" s="415"/>
      <c r="AA548" s="415"/>
    </row>
    <row r="549">
      <c r="A549" s="415"/>
      <c r="B549" s="415"/>
      <c r="C549" s="415"/>
      <c r="D549" s="415"/>
      <c r="E549" s="415"/>
      <c r="F549" s="415"/>
      <c r="G549" s="415"/>
      <c r="H549" s="415"/>
      <c r="I549" s="415"/>
      <c r="J549" s="415"/>
      <c r="K549" s="415"/>
      <c r="L549" s="415"/>
      <c r="M549" s="415"/>
      <c r="N549" s="415"/>
      <c r="O549" s="415"/>
      <c r="P549" s="415"/>
      <c r="Q549" s="415"/>
      <c r="R549" s="415"/>
      <c r="S549" s="415"/>
      <c r="T549" s="415"/>
      <c r="U549" s="415"/>
      <c r="V549" s="415"/>
      <c r="W549" s="415"/>
      <c r="X549" s="415"/>
      <c r="Y549" s="415"/>
      <c r="Z549" s="415"/>
      <c r="AA549" s="415"/>
    </row>
    <row r="550">
      <c r="A550" s="415"/>
      <c r="B550" s="415"/>
      <c r="C550" s="415"/>
      <c r="D550" s="415"/>
      <c r="E550" s="415"/>
      <c r="F550" s="415"/>
      <c r="G550" s="415"/>
      <c r="H550" s="415"/>
      <c r="I550" s="415"/>
      <c r="J550" s="415"/>
      <c r="K550" s="415"/>
      <c r="L550" s="415"/>
      <c r="M550" s="415"/>
      <c r="N550" s="415"/>
      <c r="O550" s="415"/>
      <c r="P550" s="415"/>
      <c r="Q550" s="415"/>
      <c r="R550" s="415"/>
      <c r="S550" s="415"/>
      <c r="T550" s="415"/>
      <c r="U550" s="415"/>
      <c r="V550" s="415"/>
      <c r="W550" s="415"/>
      <c r="X550" s="415"/>
      <c r="Y550" s="415"/>
      <c r="Z550" s="415"/>
      <c r="AA550" s="415"/>
    </row>
    <row r="551">
      <c r="A551" s="415"/>
      <c r="B551" s="415"/>
      <c r="C551" s="415"/>
      <c r="D551" s="415"/>
      <c r="E551" s="415"/>
      <c r="F551" s="415"/>
      <c r="G551" s="415"/>
      <c r="H551" s="415"/>
      <c r="I551" s="415"/>
      <c r="J551" s="415"/>
      <c r="K551" s="415"/>
      <c r="L551" s="415"/>
      <c r="M551" s="415"/>
      <c r="N551" s="415"/>
      <c r="O551" s="415"/>
      <c r="P551" s="415"/>
      <c r="Q551" s="415"/>
      <c r="R551" s="415"/>
      <c r="S551" s="415"/>
      <c r="T551" s="415"/>
      <c r="U551" s="415"/>
      <c r="V551" s="415"/>
      <c r="W551" s="415"/>
      <c r="X551" s="415"/>
      <c r="Y551" s="415"/>
      <c r="Z551" s="415"/>
      <c r="AA551" s="415"/>
    </row>
    <row r="552">
      <c r="A552" s="415"/>
      <c r="B552" s="415"/>
      <c r="C552" s="415"/>
      <c r="D552" s="415"/>
      <c r="E552" s="415"/>
      <c r="F552" s="415"/>
      <c r="G552" s="415"/>
      <c r="H552" s="415"/>
      <c r="I552" s="415"/>
      <c r="J552" s="415"/>
      <c r="K552" s="415"/>
      <c r="L552" s="415"/>
      <c r="M552" s="415"/>
      <c r="N552" s="415"/>
      <c r="O552" s="415"/>
      <c r="P552" s="415"/>
      <c r="Q552" s="415"/>
      <c r="R552" s="415"/>
      <c r="S552" s="415"/>
      <c r="T552" s="415"/>
      <c r="U552" s="415"/>
      <c r="V552" s="415"/>
      <c r="W552" s="415"/>
      <c r="X552" s="415"/>
      <c r="Y552" s="415"/>
      <c r="Z552" s="415"/>
      <c r="AA552" s="415"/>
    </row>
    <row r="553">
      <c r="A553" s="415"/>
      <c r="B553" s="415"/>
      <c r="C553" s="415"/>
      <c r="D553" s="415"/>
      <c r="E553" s="415"/>
      <c r="F553" s="415"/>
      <c r="G553" s="415"/>
      <c r="H553" s="415"/>
      <c r="I553" s="415"/>
      <c r="J553" s="415"/>
      <c r="K553" s="415"/>
      <c r="L553" s="415"/>
      <c r="M553" s="415"/>
      <c r="N553" s="415"/>
      <c r="O553" s="415"/>
      <c r="P553" s="415"/>
      <c r="Q553" s="415"/>
      <c r="R553" s="415"/>
      <c r="S553" s="415"/>
      <c r="T553" s="415"/>
      <c r="U553" s="415"/>
      <c r="V553" s="415"/>
      <c r="W553" s="415"/>
      <c r="X553" s="415"/>
      <c r="Y553" s="415"/>
      <c r="Z553" s="415"/>
      <c r="AA553" s="415"/>
    </row>
    <row r="554">
      <c r="A554" s="415"/>
      <c r="B554" s="415"/>
      <c r="C554" s="415"/>
      <c r="D554" s="415"/>
      <c r="E554" s="415"/>
      <c r="F554" s="415"/>
      <c r="G554" s="415"/>
      <c r="H554" s="415"/>
      <c r="I554" s="415"/>
      <c r="J554" s="415"/>
      <c r="K554" s="415"/>
      <c r="L554" s="415"/>
      <c r="M554" s="415"/>
      <c r="N554" s="415"/>
      <c r="O554" s="415"/>
      <c r="P554" s="415"/>
      <c r="Q554" s="415"/>
      <c r="R554" s="415"/>
      <c r="S554" s="415"/>
      <c r="T554" s="415"/>
      <c r="U554" s="415"/>
      <c r="V554" s="415"/>
      <c r="W554" s="415"/>
      <c r="X554" s="415"/>
      <c r="Y554" s="415"/>
      <c r="Z554" s="415"/>
      <c r="AA554" s="415"/>
    </row>
    <row r="555">
      <c r="A555" s="415"/>
      <c r="B555" s="415"/>
      <c r="C555" s="415"/>
      <c r="D555" s="415"/>
      <c r="E555" s="415"/>
      <c r="F555" s="415"/>
      <c r="G555" s="415"/>
      <c r="H555" s="415"/>
      <c r="I555" s="415"/>
      <c r="J555" s="415"/>
      <c r="K555" s="415"/>
      <c r="L555" s="415"/>
      <c r="M555" s="415"/>
      <c r="N555" s="415"/>
      <c r="O555" s="415"/>
      <c r="P555" s="415"/>
      <c r="Q555" s="415"/>
      <c r="R555" s="415"/>
      <c r="S555" s="415"/>
      <c r="T555" s="415"/>
      <c r="U555" s="415"/>
      <c r="V555" s="415"/>
      <c r="W555" s="415"/>
      <c r="X555" s="415"/>
      <c r="Y555" s="415"/>
      <c r="Z555" s="415"/>
      <c r="AA555" s="415"/>
    </row>
    <row r="556">
      <c r="A556" s="415"/>
      <c r="B556" s="415"/>
      <c r="C556" s="415"/>
      <c r="D556" s="415"/>
      <c r="E556" s="415"/>
      <c r="F556" s="415"/>
      <c r="G556" s="415"/>
      <c r="H556" s="415"/>
      <c r="I556" s="415"/>
      <c r="J556" s="415"/>
      <c r="K556" s="415"/>
      <c r="L556" s="415"/>
      <c r="M556" s="415"/>
      <c r="N556" s="415"/>
      <c r="O556" s="415"/>
      <c r="P556" s="415"/>
      <c r="Q556" s="415"/>
      <c r="R556" s="415"/>
      <c r="S556" s="415"/>
      <c r="T556" s="415"/>
      <c r="U556" s="415"/>
      <c r="V556" s="415"/>
      <c r="W556" s="415"/>
      <c r="X556" s="415"/>
      <c r="Y556" s="415"/>
      <c r="Z556" s="415"/>
      <c r="AA556" s="415"/>
    </row>
    <row r="557">
      <c r="A557" s="415"/>
      <c r="B557" s="415"/>
      <c r="C557" s="415"/>
      <c r="D557" s="415"/>
      <c r="E557" s="415"/>
      <c r="F557" s="415"/>
      <c r="G557" s="415"/>
      <c r="H557" s="415"/>
      <c r="I557" s="415"/>
      <c r="J557" s="415"/>
      <c r="K557" s="415"/>
      <c r="L557" s="415"/>
      <c r="M557" s="415"/>
      <c r="N557" s="415"/>
      <c r="O557" s="415"/>
      <c r="P557" s="415"/>
      <c r="Q557" s="415"/>
      <c r="R557" s="415"/>
      <c r="S557" s="415"/>
      <c r="T557" s="415"/>
      <c r="U557" s="415"/>
      <c r="V557" s="415"/>
      <c r="W557" s="415"/>
      <c r="X557" s="415"/>
      <c r="Y557" s="415"/>
      <c r="Z557" s="415"/>
      <c r="AA557" s="415"/>
    </row>
    <row r="558">
      <c r="A558" s="415"/>
      <c r="B558" s="415"/>
      <c r="C558" s="415"/>
      <c r="D558" s="415"/>
      <c r="E558" s="415"/>
      <c r="F558" s="415"/>
      <c r="G558" s="415"/>
      <c r="H558" s="415"/>
      <c r="I558" s="415"/>
      <c r="J558" s="415"/>
      <c r="K558" s="415"/>
      <c r="L558" s="415"/>
      <c r="M558" s="415"/>
      <c r="N558" s="415"/>
      <c r="O558" s="415"/>
      <c r="P558" s="415"/>
      <c r="Q558" s="415"/>
      <c r="R558" s="415"/>
      <c r="S558" s="415"/>
      <c r="T558" s="415"/>
      <c r="U558" s="415"/>
      <c r="V558" s="415"/>
      <c r="W558" s="415"/>
      <c r="X558" s="415"/>
      <c r="Y558" s="415"/>
      <c r="Z558" s="415"/>
      <c r="AA558" s="415"/>
    </row>
    <row r="559">
      <c r="A559" s="415"/>
      <c r="B559" s="415"/>
      <c r="C559" s="415"/>
      <c r="D559" s="415"/>
      <c r="E559" s="415"/>
      <c r="F559" s="415"/>
      <c r="G559" s="415"/>
      <c r="H559" s="415"/>
      <c r="I559" s="415"/>
      <c r="J559" s="415"/>
      <c r="K559" s="415"/>
      <c r="L559" s="415"/>
      <c r="M559" s="415"/>
      <c r="N559" s="415"/>
      <c r="O559" s="415"/>
      <c r="P559" s="415"/>
      <c r="Q559" s="415"/>
      <c r="R559" s="415"/>
      <c r="S559" s="415"/>
      <c r="T559" s="415"/>
      <c r="U559" s="415"/>
      <c r="V559" s="415"/>
      <c r="W559" s="415"/>
      <c r="X559" s="415"/>
      <c r="Y559" s="415"/>
      <c r="Z559" s="415"/>
      <c r="AA559" s="415"/>
    </row>
    <row r="560">
      <c r="A560" s="415"/>
      <c r="B560" s="415"/>
      <c r="C560" s="415"/>
      <c r="D560" s="415"/>
      <c r="E560" s="415"/>
      <c r="F560" s="415"/>
      <c r="G560" s="415"/>
      <c r="H560" s="415"/>
      <c r="I560" s="415"/>
      <c r="J560" s="415"/>
      <c r="K560" s="415"/>
      <c r="L560" s="415"/>
      <c r="M560" s="415"/>
      <c r="N560" s="415"/>
      <c r="O560" s="415"/>
      <c r="P560" s="415"/>
      <c r="Q560" s="415"/>
      <c r="R560" s="415"/>
      <c r="S560" s="415"/>
      <c r="T560" s="415"/>
      <c r="U560" s="415"/>
      <c r="V560" s="415"/>
      <c r="W560" s="415"/>
      <c r="X560" s="415"/>
      <c r="Y560" s="415"/>
      <c r="Z560" s="415"/>
      <c r="AA560" s="415"/>
    </row>
    <row r="561">
      <c r="A561" s="415"/>
      <c r="B561" s="415"/>
      <c r="C561" s="415"/>
      <c r="D561" s="415"/>
      <c r="E561" s="415"/>
      <c r="F561" s="415"/>
      <c r="G561" s="415"/>
      <c r="H561" s="415"/>
      <c r="I561" s="415"/>
      <c r="J561" s="415"/>
      <c r="K561" s="415"/>
      <c r="L561" s="415"/>
      <c r="M561" s="415"/>
      <c r="N561" s="415"/>
      <c r="O561" s="415"/>
      <c r="P561" s="415"/>
      <c r="Q561" s="415"/>
      <c r="R561" s="415"/>
      <c r="S561" s="415"/>
      <c r="T561" s="415"/>
      <c r="U561" s="415"/>
      <c r="V561" s="415"/>
      <c r="W561" s="415"/>
      <c r="X561" s="415"/>
      <c r="Y561" s="415"/>
      <c r="Z561" s="415"/>
      <c r="AA561" s="415"/>
    </row>
    <row r="562">
      <c r="A562" s="415"/>
      <c r="B562" s="415"/>
      <c r="C562" s="415"/>
      <c r="D562" s="415"/>
      <c r="E562" s="415"/>
      <c r="F562" s="415"/>
      <c r="G562" s="415"/>
      <c r="H562" s="415"/>
      <c r="I562" s="415"/>
      <c r="J562" s="415"/>
      <c r="K562" s="415"/>
      <c r="L562" s="415"/>
      <c r="M562" s="415"/>
      <c r="N562" s="415"/>
      <c r="O562" s="415"/>
      <c r="P562" s="415"/>
      <c r="Q562" s="415"/>
      <c r="R562" s="415"/>
      <c r="S562" s="415"/>
      <c r="T562" s="415"/>
      <c r="U562" s="415"/>
      <c r="V562" s="415"/>
      <c r="W562" s="415"/>
      <c r="X562" s="415"/>
      <c r="Y562" s="415"/>
      <c r="Z562" s="415"/>
      <c r="AA562" s="415"/>
    </row>
    <row r="563">
      <c r="A563" s="415"/>
      <c r="B563" s="415"/>
      <c r="C563" s="415"/>
      <c r="D563" s="415"/>
      <c r="E563" s="415"/>
      <c r="F563" s="415"/>
      <c r="G563" s="415"/>
      <c r="H563" s="415"/>
      <c r="I563" s="415"/>
      <c r="J563" s="415"/>
      <c r="K563" s="415"/>
      <c r="L563" s="415"/>
      <c r="M563" s="415"/>
      <c r="N563" s="415"/>
      <c r="O563" s="415"/>
      <c r="P563" s="415"/>
      <c r="Q563" s="415"/>
      <c r="R563" s="415"/>
      <c r="S563" s="415"/>
      <c r="T563" s="415"/>
      <c r="U563" s="415"/>
      <c r="V563" s="415"/>
      <c r="W563" s="415"/>
      <c r="X563" s="415"/>
      <c r="Y563" s="415"/>
      <c r="Z563" s="415"/>
      <c r="AA563" s="415"/>
    </row>
    <row r="564">
      <c r="A564" s="415"/>
      <c r="B564" s="415"/>
      <c r="C564" s="415"/>
      <c r="D564" s="415"/>
      <c r="E564" s="415"/>
      <c r="F564" s="415"/>
      <c r="G564" s="415"/>
      <c r="H564" s="415"/>
      <c r="I564" s="415"/>
      <c r="J564" s="415"/>
      <c r="K564" s="415"/>
      <c r="L564" s="415"/>
      <c r="M564" s="415"/>
      <c r="N564" s="415"/>
      <c r="O564" s="415"/>
      <c r="P564" s="415"/>
      <c r="Q564" s="415"/>
      <c r="R564" s="415"/>
      <c r="S564" s="415"/>
      <c r="T564" s="415"/>
      <c r="U564" s="415"/>
      <c r="V564" s="415"/>
      <c r="W564" s="415"/>
      <c r="X564" s="415"/>
      <c r="Y564" s="415"/>
      <c r="Z564" s="415"/>
      <c r="AA564" s="415"/>
    </row>
    <row r="565">
      <c r="A565" s="415"/>
      <c r="B565" s="415"/>
      <c r="C565" s="415"/>
      <c r="D565" s="415"/>
      <c r="E565" s="415"/>
      <c r="F565" s="415"/>
      <c r="G565" s="415"/>
      <c r="H565" s="415"/>
      <c r="I565" s="415"/>
      <c r="J565" s="415"/>
      <c r="K565" s="415"/>
      <c r="L565" s="415"/>
      <c r="M565" s="415"/>
      <c r="N565" s="415"/>
      <c r="O565" s="415"/>
      <c r="P565" s="415"/>
      <c r="Q565" s="415"/>
      <c r="R565" s="415"/>
      <c r="S565" s="415"/>
      <c r="T565" s="415"/>
      <c r="U565" s="415"/>
      <c r="V565" s="415"/>
      <c r="W565" s="415"/>
      <c r="X565" s="415"/>
      <c r="Y565" s="415"/>
      <c r="Z565" s="415"/>
      <c r="AA565" s="415"/>
    </row>
    <row r="566">
      <c r="A566" s="415"/>
      <c r="B566" s="415"/>
      <c r="C566" s="415"/>
      <c r="D566" s="415"/>
      <c r="E566" s="415"/>
      <c r="F566" s="415"/>
      <c r="G566" s="415"/>
      <c r="H566" s="415"/>
      <c r="I566" s="415"/>
      <c r="J566" s="415"/>
      <c r="K566" s="415"/>
      <c r="L566" s="415"/>
      <c r="M566" s="415"/>
      <c r="N566" s="415"/>
      <c r="O566" s="415"/>
      <c r="P566" s="415"/>
      <c r="Q566" s="415"/>
      <c r="R566" s="415"/>
      <c r="S566" s="415"/>
      <c r="T566" s="415"/>
      <c r="U566" s="415"/>
      <c r="V566" s="415"/>
      <c r="W566" s="415"/>
      <c r="X566" s="415"/>
      <c r="Y566" s="415"/>
      <c r="Z566" s="415"/>
      <c r="AA566" s="415"/>
    </row>
    <row r="567">
      <c r="A567" s="415"/>
      <c r="B567" s="415"/>
      <c r="C567" s="415"/>
      <c r="D567" s="415"/>
      <c r="E567" s="415"/>
      <c r="F567" s="415"/>
      <c r="G567" s="415"/>
      <c r="H567" s="415"/>
      <c r="I567" s="415"/>
      <c r="J567" s="415"/>
      <c r="K567" s="415"/>
      <c r="L567" s="415"/>
      <c r="M567" s="415"/>
      <c r="N567" s="415"/>
      <c r="O567" s="415"/>
      <c r="P567" s="415"/>
      <c r="Q567" s="415"/>
      <c r="R567" s="415"/>
      <c r="S567" s="415"/>
      <c r="T567" s="415"/>
      <c r="U567" s="415"/>
      <c r="V567" s="415"/>
      <c r="W567" s="415"/>
      <c r="X567" s="415"/>
      <c r="Y567" s="415"/>
      <c r="Z567" s="415"/>
      <c r="AA567" s="415"/>
    </row>
    <row r="568">
      <c r="A568" s="415"/>
      <c r="B568" s="415"/>
      <c r="C568" s="415"/>
      <c r="D568" s="415"/>
      <c r="E568" s="415"/>
      <c r="F568" s="415"/>
      <c r="G568" s="415"/>
      <c r="H568" s="415"/>
      <c r="I568" s="415"/>
      <c r="J568" s="415"/>
      <c r="K568" s="415"/>
      <c r="L568" s="415"/>
      <c r="M568" s="415"/>
      <c r="N568" s="415"/>
      <c r="O568" s="415"/>
      <c r="P568" s="415"/>
      <c r="Q568" s="415"/>
      <c r="R568" s="415"/>
      <c r="S568" s="415"/>
      <c r="T568" s="415"/>
      <c r="U568" s="415"/>
      <c r="V568" s="415"/>
      <c r="W568" s="415"/>
      <c r="X568" s="415"/>
      <c r="Y568" s="415"/>
      <c r="Z568" s="415"/>
      <c r="AA568" s="415"/>
    </row>
    <row r="569">
      <c r="A569" s="415"/>
      <c r="B569" s="415"/>
      <c r="C569" s="415"/>
      <c r="D569" s="415"/>
      <c r="E569" s="415"/>
      <c r="F569" s="415"/>
      <c r="G569" s="415"/>
      <c r="H569" s="415"/>
      <c r="I569" s="415"/>
      <c r="J569" s="415"/>
      <c r="K569" s="415"/>
      <c r="L569" s="415"/>
      <c r="M569" s="415"/>
      <c r="N569" s="415"/>
      <c r="O569" s="415"/>
      <c r="P569" s="415"/>
      <c r="Q569" s="415"/>
      <c r="R569" s="415"/>
      <c r="S569" s="415"/>
      <c r="T569" s="415"/>
      <c r="U569" s="415"/>
      <c r="V569" s="415"/>
      <c r="W569" s="415"/>
      <c r="X569" s="415"/>
      <c r="Y569" s="415"/>
      <c r="Z569" s="415"/>
      <c r="AA569" s="415"/>
    </row>
    <row r="570">
      <c r="A570" s="415"/>
      <c r="B570" s="415"/>
      <c r="C570" s="415"/>
      <c r="D570" s="415"/>
      <c r="E570" s="415"/>
      <c r="F570" s="415"/>
      <c r="G570" s="415"/>
      <c r="H570" s="415"/>
      <c r="I570" s="415"/>
      <c r="J570" s="415"/>
      <c r="K570" s="415"/>
      <c r="L570" s="415"/>
      <c r="M570" s="415"/>
      <c r="N570" s="415"/>
      <c r="O570" s="415"/>
      <c r="P570" s="415"/>
      <c r="Q570" s="415"/>
      <c r="R570" s="415"/>
      <c r="S570" s="415"/>
      <c r="T570" s="415"/>
      <c r="U570" s="415"/>
      <c r="V570" s="415"/>
      <c r="W570" s="415"/>
      <c r="X570" s="415"/>
      <c r="Y570" s="415"/>
      <c r="Z570" s="415"/>
      <c r="AA570" s="415"/>
    </row>
    <row r="571">
      <c r="A571" s="415"/>
      <c r="B571" s="415"/>
      <c r="C571" s="415"/>
      <c r="D571" s="415"/>
      <c r="E571" s="415"/>
      <c r="F571" s="415"/>
      <c r="G571" s="415"/>
      <c r="H571" s="415"/>
      <c r="I571" s="415"/>
      <c r="J571" s="415"/>
      <c r="K571" s="415"/>
      <c r="L571" s="415"/>
      <c r="M571" s="415"/>
      <c r="N571" s="415"/>
      <c r="O571" s="415"/>
      <c r="P571" s="415"/>
      <c r="Q571" s="415"/>
      <c r="R571" s="415"/>
      <c r="S571" s="415"/>
      <c r="T571" s="415"/>
      <c r="U571" s="415"/>
      <c r="V571" s="415"/>
      <c r="W571" s="415"/>
      <c r="X571" s="415"/>
      <c r="Y571" s="415"/>
      <c r="Z571" s="415"/>
      <c r="AA571" s="415"/>
    </row>
    <row r="572">
      <c r="A572" s="415"/>
      <c r="B572" s="415"/>
      <c r="C572" s="415"/>
      <c r="D572" s="415"/>
      <c r="E572" s="415"/>
      <c r="F572" s="415"/>
      <c r="G572" s="415"/>
      <c r="H572" s="415"/>
      <c r="I572" s="415"/>
      <c r="J572" s="415"/>
      <c r="K572" s="415"/>
      <c r="L572" s="415"/>
      <c r="M572" s="415"/>
      <c r="N572" s="415"/>
      <c r="O572" s="415"/>
      <c r="P572" s="415"/>
      <c r="Q572" s="415"/>
      <c r="R572" s="415"/>
      <c r="S572" s="415"/>
      <c r="T572" s="415"/>
      <c r="U572" s="415"/>
      <c r="V572" s="415"/>
      <c r="W572" s="415"/>
      <c r="X572" s="415"/>
      <c r="Y572" s="415"/>
      <c r="Z572" s="415"/>
      <c r="AA572" s="415"/>
    </row>
    <row r="573">
      <c r="A573" s="415"/>
      <c r="B573" s="415"/>
      <c r="C573" s="415"/>
      <c r="D573" s="415"/>
      <c r="E573" s="415"/>
      <c r="F573" s="415"/>
      <c r="G573" s="415"/>
      <c r="H573" s="415"/>
      <c r="I573" s="415"/>
      <c r="J573" s="415"/>
      <c r="K573" s="415"/>
      <c r="L573" s="415"/>
      <c r="M573" s="415"/>
      <c r="N573" s="415"/>
      <c r="O573" s="415"/>
      <c r="P573" s="415"/>
      <c r="Q573" s="415"/>
      <c r="R573" s="415"/>
      <c r="S573" s="415"/>
      <c r="T573" s="415"/>
      <c r="U573" s="415"/>
      <c r="V573" s="415"/>
      <c r="W573" s="415"/>
      <c r="X573" s="415"/>
      <c r="Y573" s="415"/>
      <c r="Z573" s="415"/>
      <c r="AA573" s="415"/>
    </row>
    <row r="574">
      <c r="A574" s="415"/>
      <c r="B574" s="415"/>
      <c r="C574" s="415"/>
      <c r="D574" s="415"/>
      <c r="E574" s="415"/>
      <c r="F574" s="415"/>
      <c r="G574" s="415"/>
      <c r="H574" s="415"/>
      <c r="I574" s="415"/>
      <c r="J574" s="415"/>
      <c r="K574" s="415"/>
      <c r="L574" s="415"/>
      <c r="M574" s="415"/>
      <c r="N574" s="415"/>
      <c r="O574" s="415"/>
      <c r="P574" s="415"/>
      <c r="Q574" s="415"/>
      <c r="R574" s="415"/>
      <c r="S574" s="415"/>
      <c r="T574" s="415"/>
      <c r="U574" s="415"/>
      <c r="V574" s="415"/>
      <c r="W574" s="415"/>
      <c r="X574" s="415"/>
      <c r="Y574" s="415"/>
      <c r="Z574" s="415"/>
      <c r="AA574" s="415"/>
    </row>
    <row r="575">
      <c r="A575" s="415"/>
      <c r="B575" s="415"/>
      <c r="C575" s="415"/>
      <c r="D575" s="415"/>
      <c r="E575" s="415"/>
      <c r="F575" s="415"/>
      <c r="G575" s="415"/>
      <c r="H575" s="415"/>
      <c r="I575" s="415"/>
      <c r="J575" s="415"/>
      <c r="K575" s="415"/>
      <c r="L575" s="415"/>
      <c r="M575" s="415"/>
      <c r="N575" s="415"/>
      <c r="O575" s="415"/>
      <c r="P575" s="415"/>
      <c r="Q575" s="415"/>
      <c r="R575" s="415"/>
      <c r="S575" s="415"/>
      <c r="T575" s="415"/>
      <c r="U575" s="415"/>
      <c r="V575" s="415"/>
      <c r="W575" s="415"/>
      <c r="X575" s="415"/>
      <c r="Y575" s="415"/>
      <c r="Z575" s="415"/>
      <c r="AA575" s="415"/>
    </row>
    <row r="576">
      <c r="A576" s="415"/>
      <c r="B576" s="415"/>
      <c r="C576" s="415"/>
      <c r="D576" s="415"/>
      <c r="E576" s="415"/>
      <c r="F576" s="415"/>
      <c r="G576" s="415"/>
      <c r="H576" s="415"/>
      <c r="I576" s="415"/>
      <c r="J576" s="415"/>
      <c r="K576" s="415"/>
      <c r="L576" s="415"/>
      <c r="M576" s="415"/>
      <c r="N576" s="415"/>
      <c r="O576" s="415"/>
      <c r="P576" s="415"/>
      <c r="Q576" s="415"/>
      <c r="R576" s="415"/>
      <c r="S576" s="415"/>
      <c r="T576" s="415"/>
      <c r="U576" s="415"/>
      <c r="V576" s="415"/>
      <c r="W576" s="415"/>
      <c r="X576" s="415"/>
      <c r="Y576" s="415"/>
      <c r="Z576" s="415"/>
      <c r="AA576" s="415"/>
    </row>
    <row r="577">
      <c r="A577" s="415"/>
      <c r="B577" s="415"/>
      <c r="C577" s="415"/>
      <c r="D577" s="415"/>
      <c r="E577" s="415"/>
      <c r="F577" s="415"/>
      <c r="G577" s="415"/>
      <c r="H577" s="415"/>
      <c r="I577" s="415"/>
      <c r="J577" s="415"/>
      <c r="K577" s="415"/>
      <c r="L577" s="415"/>
      <c r="M577" s="415"/>
      <c r="N577" s="415"/>
      <c r="O577" s="415"/>
      <c r="P577" s="415"/>
      <c r="Q577" s="415"/>
      <c r="R577" s="415"/>
      <c r="S577" s="415"/>
      <c r="T577" s="415"/>
      <c r="U577" s="415"/>
      <c r="V577" s="415"/>
      <c r="W577" s="415"/>
      <c r="X577" s="415"/>
      <c r="Y577" s="415"/>
      <c r="Z577" s="415"/>
      <c r="AA577" s="415"/>
    </row>
    <row r="578">
      <c r="A578" s="415"/>
      <c r="B578" s="415"/>
      <c r="C578" s="415"/>
      <c r="D578" s="415"/>
      <c r="E578" s="415"/>
      <c r="F578" s="415"/>
      <c r="G578" s="415"/>
      <c r="H578" s="415"/>
      <c r="I578" s="415"/>
      <c r="J578" s="415"/>
      <c r="K578" s="415"/>
      <c r="L578" s="415"/>
      <c r="M578" s="415"/>
      <c r="N578" s="415"/>
      <c r="O578" s="415"/>
      <c r="P578" s="415"/>
      <c r="Q578" s="415"/>
      <c r="R578" s="415"/>
      <c r="S578" s="415"/>
      <c r="T578" s="415"/>
      <c r="U578" s="415"/>
      <c r="V578" s="415"/>
      <c r="W578" s="415"/>
      <c r="X578" s="415"/>
      <c r="Y578" s="415"/>
      <c r="Z578" s="415"/>
      <c r="AA578" s="415"/>
    </row>
    <row r="579">
      <c r="A579" s="415"/>
      <c r="B579" s="415"/>
      <c r="C579" s="415"/>
      <c r="D579" s="415"/>
      <c r="E579" s="415"/>
      <c r="F579" s="415"/>
      <c r="G579" s="415"/>
      <c r="H579" s="415"/>
      <c r="I579" s="415"/>
      <c r="J579" s="415"/>
      <c r="K579" s="415"/>
      <c r="L579" s="415"/>
      <c r="M579" s="415"/>
      <c r="N579" s="415"/>
      <c r="O579" s="415"/>
      <c r="P579" s="415"/>
      <c r="Q579" s="415"/>
      <c r="R579" s="415"/>
      <c r="S579" s="415"/>
      <c r="T579" s="415"/>
      <c r="U579" s="415"/>
      <c r="V579" s="415"/>
      <c r="W579" s="415"/>
      <c r="X579" s="415"/>
      <c r="Y579" s="415"/>
      <c r="Z579" s="415"/>
      <c r="AA579" s="415"/>
    </row>
    <row r="580">
      <c r="A580" s="415"/>
      <c r="B580" s="415"/>
      <c r="C580" s="415"/>
      <c r="D580" s="415"/>
      <c r="E580" s="415"/>
      <c r="F580" s="415"/>
      <c r="G580" s="415"/>
      <c r="H580" s="415"/>
      <c r="I580" s="415"/>
      <c r="J580" s="415"/>
      <c r="K580" s="415"/>
      <c r="L580" s="415"/>
      <c r="M580" s="415"/>
      <c r="N580" s="415"/>
      <c r="O580" s="415"/>
      <c r="P580" s="415"/>
      <c r="Q580" s="415"/>
      <c r="R580" s="415"/>
      <c r="S580" s="415"/>
      <c r="T580" s="415"/>
      <c r="U580" s="415"/>
      <c r="V580" s="415"/>
      <c r="W580" s="415"/>
      <c r="X580" s="415"/>
      <c r="Y580" s="415"/>
      <c r="Z580" s="415"/>
      <c r="AA580" s="415"/>
    </row>
    <row r="581">
      <c r="A581" s="415"/>
      <c r="B581" s="415"/>
      <c r="C581" s="415"/>
      <c r="D581" s="415"/>
      <c r="E581" s="415"/>
      <c r="F581" s="415"/>
      <c r="G581" s="415"/>
      <c r="H581" s="415"/>
      <c r="I581" s="415"/>
      <c r="J581" s="415"/>
      <c r="K581" s="415"/>
      <c r="L581" s="415"/>
      <c r="M581" s="415"/>
      <c r="N581" s="415"/>
      <c r="O581" s="415"/>
      <c r="P581" s="415"/>
      <c r="Q581" s="415"/>
      <c r="R581" s="415"/>
      <c r="S581" s="415"/>
      <c r="T581" s="415"/>
      <c r="U581" s="415"/>
      <c r="V581" s="415"/>
      <c r="W581" s="415"/>
      <c r="X581" s="415"/>
      <c r="Y581" s="415"/>
      <c r="Z581" s="415"/>
      <c r="AA581" s="415"/>
    </row>
    <row r="582">
      <c r="A582" s="415"/>
      <c r="B582" s="415"/>
      <c r="C582" s="415"/>
      <c r="D582" s="415"/>
      <c r="E582" s="415"/>
      <c r="F582" s="415"/>
      <c r="G582" s="415"/>
      <c r="H582" s="415"/>
      <c r="I582" s="415"/>
      <c r="J582" s="415"/>
      <c r="K582" s="415"/>
      <c r="L582" s="415"/>
      <c r="M582" s="415"/>
      <c r="N582" s="415"/>
      <c r="O582" s="415"/>
      <c r="P582" s="415"/>
      <c r="Q582" s="415"/>
      <c r="R582" s="415"/>
      <c r="S582" s="415"/>
      <c r="T582" s="415"/>
      <c r="U582" s="415"/>
      <c r="V582" s="415"/>
      <c r="W582" s="415"/>
      <c r="X582" s="415"/>
      <c r="Y582" s="415"/>
      <c r="Z582" s="415"/>
      <c r="AA582" s="415"/>
    </row>
    <row r="583">
      <c r="A583" s="415"/>
      <c r="B583" s="415"/>
      <c r="C583" s="415"/>
      <c r="D583" s="415"/>
      <c r="E583" s="415"/>
      <c r="F583" s="415"/>
      <c r="G583" s="415"/>
      <c r="H583" s="415"/>
      <c r="I583" s="415"/>
      <c r="J583" s="415"/>
      <c r="K583" s="415"/>
      <c r="L583" s="415"/>
      <c r="M583" s="415"/>
      <c r="N583" s="415"/>
      <c r="O583" s="415"/>
      <c r="P583" s="415"/>
      <c r="Q583" s="415"/>
      <c r="R583" s="415"/>
      <c r="S583" s="415"/>
      <c r="T583" s="415"/>
      <c r="U583" s="415"/>
      <c r="V583" s="415"/>
      <c r="W583" s="415"/>
      <c r="X583" s="415"/>
      <c r="Y583" s="415"/>
      <c r="Z583" s="415"/>
      <c r="AA583" s="415"/>
    </row>
    <row r="584">
      <c r="A584" s="415"/>
      <c r="B584" s="415"/>
      <c r="C584" s="415"/>
      <c r="D584" s="415"/>
      <c r="E584" s="415"/>
      <c r="F584" s="415"/>
      <c r="G584" s="415"/>
      <c r="H584" s="415"/>
      <c r="I584" s="415"/>
      <c r="J584" s="415"/>
      <c r="K584" s="415"/>
      <c r="L584" s="415"/>
      <c r="M584" s="415"/>
      <c r="N584" s="415"/>
      <c r="O584" s="415"/>
      <c r="P584" s="415"/>
      <c r="Q584" s="415"/>
      <c r="R584" s="415"/>
      <c r="S584" s="415"/>
      <c r="T584" s="415"/>
      <c r="U584" s="415"/>
      <c r="V584" s="415"/>
      <c r="W584" s="415"/>
      <c r="X584" s="415"/>
      <c r="Y584" s="415"/>
      <c r="Z584" s="415"/>
      <c r="AA584" s="415"/>
    </row>
    <row r="585">
      <c r="A585" s="415"/>
      <c r="B585" s="415"/>
      <c r="C585" s="415"/>
      <c r="D585" s="415"/>
      <c r="E585" s="415"/>
      <c r="F585" s="415"/>
      <c r="G585" s="415"/>
      <c r="H585" s="415"/>
      <c r="I585" s="415"/>
      <c r="J585" s="415"/>
      <c r="K585" s="415"/>
      <c r="L585" s="415"/>
      <c r="M585" s="415"/>
      <c r="N585" s="415"/>
      <c r="O585" s="415"/>
      <c r="P585" s="415"/>
      <c r="Q585" s="415"/>
      <c r="R585" s="415"/>
      <c r="S585" s="415"/>
      <c r="T585" s="415"/>
      <c r="U585" s="415"/>
      <c r="V585" s="415"/>
      <c r="W585" s="415"/>
      <c r="X585" s="415"/>
      <c r="Y585" s="415"/>
      <c r="Z585" s="415"/>
      <c r="AA585" s="415"/>
    </row>
    <row r="586">
      <c r="A586" s="415"/>
      <c r="B586" s="415"/>
      <c r="C586" s="415"/>
      <c r="D586" s="415"/>
      <c r="E586" s="415"/>
      <c r="F586" s="415"/>
      <c r="G586" s="415"/>
      <c r="H586" s="415"/>
      <c r="I586" s="415"/>
      <c r="J586" s="415"/>
      <c r="K586" s="415"/>
      <c r="L586" s="415"/>
      <c r="M586" s="415"/>
      <c r="N586" s="415"/>
      <c r="O586" s="415"/>
      <c r="P586" s="415"/>
      <c r="Q586" s="415"/>
      <c r="R586" s="415"/>
      <c r="S586" s="415"/>
      <c r="T586" s="415"/>
      <c r="U586" s="415"/>
      <c r="V586" s="415"/>
      <c r="W586" s="415"/>
      <c r="X586" s="415"/>
      <c r="Y586" s="415"/>
      <c r="Z586" s="415"/>
      <c r="AA586" s="415"/>
    </row>
    <row r="587">
      <c r="A587" s="415"/>
      <c r="B587" s="415"/>
      <c r="C587" s="415"/>
      <c r="D587" s="415"/>
      <c r="E587" s="415"/>
      <c r="F587" s="415"/>
      <c r="G587" s="415"/>
      <c r="H587" s="415"/>
      <c r="I587" s="415"/>
      <c r="J587" s="415"/>
      <c r="K587" s="415"/>
      <c r="L587" s="415"/>
      <c r="M587" s="415"/>
      <c r="N587" s="415"/>
      <c r="O587" s="415"/>
      <c r="P587" s="415"/>
      <c r="Q587" s="415"/>
      <c r="R587" s="415"/>
      <c r="S587" s="415"/>
      <c r="T587" s="415"/>
      <c r="U587" s="415"/>
      <c r="V587" s="415"/>
      <c r="W587" s="415"/>
      <c r="X587" s="415"/>
      <c r="Y587" s="415"/>
      <c r="Z587" s="415"/>
      <c r="AA587" s="415"/>
    </row>
    <row r="588">
      <c r="A588" s="415"/>
      <c r="B588" s="415"/>
      <c r="C588" s="415"/>
      <c r="D588" s="415"/>
      <c r="E588" s="415"/>
      <c r="F588" s="415"/>
      <c r="G588" s="415"/>
      <c r="H588" s="415"/>
      <c r="I588" s="415"/>
      <c r="J588" s="415"/>
      <c r="K588" s="415"/>
      <c r="L588" s="415"/>
      <c r="M588" s="415"/>
      <c r="N588" s="415"/>
      <c r="O588" s="415"/>
      <c r="P588" s="415"/>
      <c r="Q588" s="415"/>
      <c r="R588" s="415"/>
      <c r="S588" s="415"/>
      <c r="T588" s="415"/>
      <c r="U588" s="415"/>
      <c r="V588" s="415"/>
      <c r="W588" s="415"/>
      <c r="X588" s="415"/>
      <c r="Y588" s="415"/>
      <c r="Z588" s="415"/>
      <c r="AA588" s="415"/>
    </row>
    <row r="589">
      <c r="A589" s="415"/>
      <c r="B589" s="415"/>
      <c r="C589" s="415"/>
      <c r="D589" s="415"/>
      <c r="E589" s="415"/>
      <c r="F589" s="415"/>
      <c r="G589" s="415"/>
      <c r="H589" s="415"/>
      <c r="I589" s="415"/>
      <c r="J589" s="415"/>
      <c r="K589" s="415"/>
      <c r="L589" s="415"/>
      <c r="M589" s="415"/>
      <c r="N589" s="415"/>
      <c r="O589" s="415"/>
      <c r="P589" s="415"/>
      <c r="Q589" s="415"/>
      <c r="R589" s="415"/>
      <c r="S589" s="415"/>
      <c r="T589" s="415"/>
      <c r="U589" s="415"/>
      <c r="V589" s="415"/>
      <c r="W589" s="415"/>
      <c r="X589" s="415"/>
      <c r="Y589" s="415"/>
      <c r="Z589" s="415"/>
      <c r="AA589" s="415"/>
    </row>
    <row r="590">
      <c r="A590" s="415"/>
      <c r="B590" s="415"/>
      <c r="C590" s="415"/>
      <c r="D590" s="415"/>
      <c r="E590" s="415"/>
      <c r="F590" s="415"/>
      <c r="G590" s="415"/>
      <c r="H590" s="415"/>
      <c r="I590" s="415"/>
      <c r="J590" s="415"/>
      <c r="K590" s="415"/>
      <c r="L590" s="415"/>
      <c r="M590" s="415"/>
      <c r="N590" s="415"/>
      <c r="O590" s="415"/>
      <c r="P590" s="415"/>
      <c r="Q590" s="415"/>
      <c r="R590" s="415"/>
      <c r="S590" s="415"/>
      <c r="T590" s="415"/>
      <c r="U590" s="415"/>
      <c r="V590" s="415"/>
      <c r="W590" s="415"/>
      <c r="X590" s="415"/>
      <c r="Y590" s="415"/>
      <c r="Z590" s="415"/>
      <c r="AA590" s="415"/>
    </row>
    <row r="591">
      <c r="A591" s="415"/>
      <c r="B591" s="415"/>
      <c r="C591" s="415"/>
      <c r="D591" s="415"/>
      <c r="E591" s="415"/>
      <c r="F591" s="415"/>
      <c r="G591" s="415"/>
      <c r="H591" s="415"/>
      <c r="I591" s="415"/>
      <c r="J591" s="415"/>
      <c r="K591" s="415"/>
      <c r="L591" s="415"/>
      <c r="M591" s="415"/>
      <c r="N591" s="415"/>
      <c r="O591" s="415"/>
      <c r="P591" s="415"/>
      <c r="Q591" s="415"/>
      <c r="R591" s="415"/>
      <c r="S591" s="415"/>
      <c r="T591" s="415"/>
      <c r="U591" s="415"/>
      <c r="V591" s="415"/>
      <c r="W591" s="415"/>
      <c r="X591" s="415"/>
      <c r="Y591" s="415"/>
      <c r="Z591" s="415"/>
      <c r="AA591" s="415"/>
    </row>
    <row r="592">
      <c r="A592" s="415"/>
      <c r="B592" s="415"/>
      <c r="C592" s="415"/>
      <c r="D592" s="415"/>
      <c r="E592" s="415"/>
      <c r="F592" s="415"/>
      <c r="G592" s="415"/>
      <c r="H592" s="415"/>
      <c r="I592" s="415"/>
      <c r="J592" s="415"/>
      <c r="K592" s="415"/>
      <c r="L592" s="415"/>
      <c r="M592" s="415"/>
      <c r="N592" s="415"/>
      <c r="O592" s="415"/>
      <c r="P592" s="415"/>
      <c r="Q592" s="415"/>
      <c r="R592" s="415"/>
      <c r="S592" s="415"/>
      <c r="T592" s="415"/>
      <c r="U592" s="415"/>
      <c r="V592" s="415"/>
      <c r="W592" s="415"/>
      <c r="X592" s="415"/>
      <c r="Y592" s="415"/>
      <c r="Z592" s="415"/>
      <c r="AA592" s="415"/>
    </row>
    <row r="593">
      <c r="A593" s="415"/>
      <c r="B593" s="415"/>
      <c r="C593" s="415"/>
      <c r="D593" s="415"/>
      <c r="E593" s="415"/>
      <c r="F593" s="415"/>
      <c r="G593" s="415"/>
      <c r="H593" s="415"/>
      <c r="I593" s="415"/>
      <c r="J593" s="415"/>
      <c r="K593" s="415"/>
      <c r="L593" s="415"/>
      <c r="M593" s="415"/>
      <c r="N593" s="415"/>
      <c r="O593" s="415"/>
      <c r="P593" s="415"/>
      <c r="Q593" s="415"/>
      <c r="R593" s="415"/>
      <c r="S593" s="415"/>
      <c r="T593" s="415"/>
      <c r="U593" s="415"/>
      <c r="V593" s="415"/>
      <c r="W593" s="415"/>
      <c r="X593" s="415"/>
      <c r="Y593" s="415"/>
      <c r="Z593" s="415"/>
      <c r="AA593" s="415"/>
    </row>
    <row r="594">
      <c r="A594" s="415"/>
      <c r="B594" s="415"/>
      <c r="C594" s="415"/>
      <c r="D594" s="415"/>
      <c r="E594" s="415"/>
      <c r="F594" s="415"/>
      <c r="G594" s="415"/>
      <c r="H594" s="415"/>
      <c r="I594" s="415"/>
      <c r="J594" s="415"/>
      <c r="K594" s="415"/>
      <c r="L594" s="415"/>
      <c r="M594" s="415"/>
      <c r="N594" s="415"/>
      <c r="O594" s="415"/>
      <c r="P594" s="415"/>
      <c r="Q594" s="415"/>
      <c r="R594" s="415"/>
      <c r="S594" s="415"/>
      <c r="T594" s="415"/>
      <c r="U594" s="415"/>
      <c r="V594" s="415"/>
      <c r="W594" s="415"/>
      <c r="X594" s="415"/>
      <c r="Y594" s="415"/>
      <c r="Z594" s="415"/>
      <c r="AA594" s="415"/>
    </row>
    <row r="595">
      <c r="A595" s="415"/>
      <c r="B595" s="415"/>
      <c r="C595" s="415"/>
      <c r="D595" s="415"/>
      <c r="E595" s="415"/>
      <c r="F595" s="415"/>
      <c r="G595" s="415"/>
      <c r="H595" s="415"/>
      <c r="I595" s="415"/>
      <c r="J595" s="415"/>
      <c r="K595" s="415"/>
      <c r="L595" s="415"/>
      <c r="M595" s="415"/>
      <c r="N595" s="415"/>
      <c r="O595" s="415"/>
      <c r="P595" s="415"/>
      <c r="Q595" s="415"/>
      <c r="R595" s="415"/>
      <c r="S595" s="415"/>
      <c r="T595" s="415"/>
      <c r="U595" s="415"/>
      <c r="V595" s="415"/>
      <c r="W595" s="415"/>
      <c r="X595" s="415"/>
      <c r="Y595" s="415"/>
      <c r="Z595" s="415"/>
      <c r="AA595" s="415"/>
    </row>
    <row r="596">
      <c r="A596" s="415"/>
      <c r="B596" s="415"/>
      <c r="C596" s="415"/>
      <c r="D596" s="415"/>
      <c r="E596" s="415"/>
      <c r="F596" s="415"/>
      <c r="G596" s="415"/>
      <c r="H596" s="415"/>
      <c r="I596" s="415"/>
      <c r="J596" s="415"/>
      <c r="K596" s="415"/>
      <c r="L596" s="415"/>
      <c r="M596" s="415"/>
      <c r="N596" s="415"/>
      <c r="O596" s="415"/>
      <c r="P596" s="415"/>
      <c r="Q596" s="415"/>
      <c r="R596" s="415"/>
      <c r="S596" s="415"/>
      <c r="T596" s="415"/>
      <c r="U596" s="415"/>
      <c r="V596" s="415"/>
      <c r="W596" s="415"/>
      <c r="X596" s="415"/>
      <c r="Y596" s="415"/>
      <c r="Z596" s="415"/>
      <c r="AA596" s="415"/>
    </row>
    <row r="597">
      <c r="A597" s="415"/>
      <c r="B597" s="415"/>
      <c r="C597" s="415"/>
      <c r="D597" s="415"/>
      <c r="E597" s="415"/>
      <c r="F597" s="415"/>
      <c r="G597" s="415"/>
      <c r="H597" s="415"/>
      <c r="I597" s="415"/>
      <c r="J597" s="415"/>
      <c r="K597" s="415"/>
      <c r="L597" s="415"/>
      <c r="M597" s="415"/>
      <c r="N597" s="415"/>
      <c r="O597" s="415"/>
      <c r="P597" s="415"/>
      <c r="Q597" s="415"/>
      <c r="R597" s="415"/>
      <c r="S597" s="415"/>
      <c r="T597" s="415"/>
      <c r="U597" s="415"/>
      <c r="V597" s="415"/>
      <c r="W597" s="415"/>
      <c r="X597" s="415"/>
      <c r="Y597" s="415"/>
      <c r="Z597" s="415"/>
      <c r="AA597" s="415"/>
    </row>
    <row r="598">
      <c r="A598" s="415"/>
      <c r="B598" s="415"/>
      <c r="C598" s="415"/>
      <c r="D598" s="415"/>
      <c r="E598" s="415"/>
      <c r="F598" s="415"/>
      <c r="G598" s="415"/>
      <c r="H598" s="415"/>
      <c r="I598" s="415"/>
      <c r="J598" s="415"/>
      <c r="K598" s="415"/>
      <c r="L598" s="415"/>
      <c r="M598" s="415"/>
      <c r="N598" s="415"/>
      <c r="O598" s="415"/>
      <c r="P598" s="415"/>
      <c r="Q598" s="415"/>
      <c r="R598" s="415"/>
      <c r="S598" s="415"/>
      <c r="T598" s="415"/>
      <c r="U598" s="415"/>
      <c r="V598" s="415"/>
      <c r="W598" s="415"/>
      <c r="X598" s="415"/>
      <c r="Y598" s="415"/>
      <c r="Z598" s="415"/>
      <c r="AA598" s="415"/>
    </row>
    <row r="599">
      <c r="A599" s="415"/>
      <c r="B599" s="415"/>
      <c r="C599" s="415"/>
      <c r="D599" s="415"/>
      <c r="E599" s="415"/>
      <c r="F599" s="415"/>
      <c r="G599" s="415"/>
      <c r="H599" s="415"/>
      <c r="I599" s="415"/>
      <c r="J599" s="415"/>
      <c r="K599" s="415"/>
      <c r="L599" s="415"/>
      <c r="M599" s="415"/>
      <c r="N599" s="415"/>
      <c r="O599" s="415"/>
      <c r="P599" s="415"/>
      <c r="Q599" s="415"/>
      <c r="R599" s="415"/>
      <c r="S599" s="415"/>
      <c r="T599" s="415"/>
      <c r="U599" s="415"/>
      <c r="V599" s="415"/>
      <c r="W599" s="415"/>
      <c r="X599" s="415"/>
      <c r="Y599" s="415"/>
      <c r="Z599" s="415"/>
      <c r="AA599" s="415"/>
    </row>
    <row r="600">
      <c r="A600" s="415"/>
      <c r="B600" s="415"/>
      <c r="C600" s="415"/>
      <c r="D600" s="415"/>
      <c r="E600" s="415"/>
      <c r="F600" s="415"/>
      <c r="G600" s="415"/>
      <c r="H600" s="415"/>
      <c r="I600" s="415"/>
      <c r="J600" s="415"/>
      <c r="K600" s="415"/>
      <c r="L600" s="415"/>
      <c r="M600" s="415"/>
      <c r="N600" s="415"/>
      <c r="O600" s="415"/>
      <c r="P600" s="415"/>
      <c r="Q600" s="415"/>
      <c r="R600" s="415"/>
      <c r="S600" s="415"/>
      <c r="T600" s="415"/>
      <c r="U600" s="415"/>
      <c r="V600" s="415"/>
      <c r="W600" s="415"/>
      <c r="X600" s="415"/>
      <c r="Y600" s="415"/>
      <c r="Z600" s="415"/>
      <c r="AA600" s="415"/>
    </row>
    <row r="601">
      <c r="A601" s="415"/>
      <c r="B601" s="415"/>
      <c r="C601" s="415"/>
      <c r="D601" s="415"/>
      <c r="E601" s="415"/>
      <c r="F601" s="415"/>
      <c r="G601" s="415"/>
      <c r="H601" s="415"/>
      <c r="I601" s="415"/>
      <c r="J601" s="415"/>
      <c r="K601" s="415"/>
      <c r="L601" s="415"/>
      <c r="M601" s="415"/>
      <c r="N601" s="415"/>
      <c r="O601" s="415"/>
      <c r="P601" s="415"/>
      <c r="Q601" s="415"/>
      <c r="R601" s="415"/>
      <c r="S601" s="415"/>
      <c r="T601" s="415"/>
      <c r="U601" s="415"/>
      <c r="V601" s="415"/>
      <c r="W601" s="415"/>
      <c r="X601" s="415"/>
      <c r="Y601" s="415"/>
      <c r="Z601" s="415"/>
      <c r="AA601" s="415"/>
    </row>
    <row r="602">
      <c r="A602" s="415"/>
      <c r="B602" s="415"/>
      <c r="C602" s="415"/>
      <c r="D602" s="415"/>
      <c r="E602" s="415"/>
      <c r="F602" s="415"/>
      <c r="G602" s="415"/>
      <c r="H602" s="415"/>
      <c r="I602" s="415"/>
      <c r="J602" s="415"/>
      <c r="K602" s="415"/>
      <c r="L602" s="415"/>
      <c r="M602" s="415"/>
      <c r="N602" s="415"/>
      <c r="O602" s="415"/>
      <c r="P602" s="415"/>
      <c r="Q602" s="415"/>
      <c r="R602" s="415"/>
      <c r="S602" s="415"/>
      <c r="T602" s="415"/>
      <c r="U602" s="415"/>
      <c r="V602" s="415"/>
      <c r="W602" s="415"/>
      <c r="X602" s="415"/>
      <c r="Y602" s="415"/>
      <c r="Z602" s="415"/>
      <c r="AA602" s="415"/>
    </row>
    <row r="603">
      <c r="A603" s="415"/>
      <c r="B603" s="415"/>
      <c r="C603" s="415"/>
      <c r="D603" s="415"/>
      <c r="E603" s="415"/>
      <c r="F603" s="415"/>
      <c r="G603" s="415"/>
      <c r="H603" s="415"/>
      <c r="I603" s="415"/>
      <c r="J603" s="415"/>
      <c r="K603" s="415"/>
      <c r="L603" s="415"/>
      <c r="M603" s="415"/>
      <c r="N603" s="415"/>
      <c r="O603" s="415"/>
      <c r="P603" s="415"/>
      <c r="Q603" s="415"/>
      <c r="R603" s="415"/>
      <c r="S603" s="415"/>
      <c r="T603" s="415"/>
      <c r="U603" s="415"/>
      <c r="V603" s="415"/>
      <c r="W603" s="415"/>
      <c r="X603" s="415"/>
      <c r="Y603" s="415"/>
      <c r="Z603" s="415"/>
      <c r="AA603" s="415"/>
    </row>
    <row r="604">
      <c r="A604" s="415"/>
      <c r="B604" s="415"/>
      <c r="C604" s="415"/>
      <c r="D604" s="415"/>
      <c r="E604" s="415"/>
      <c r="F604" s="415"/>
      <c r="G604" s="415"/>
      <c r="H604" s="415"/>
      <c r="I604" s="415"/>
      <c r="J604" s="415"/>
      <c r="K604" s="415"/>
      <c r="L604" s="415"/>
      <c r="M604" s="415"/>
      <c r="N604" s="415"/>
      <c r="O604" s="415"/>
      <c r="P604" s="415"/>
      <c r="Q604" s="415"/>
      <c r="R604" s="415"/>
      <c r="S604" s="415"/>
      <c r="T604" s="415"/>
      <c r="U604" s="415"/>
      <c r="V604" s="415"/>
      <c r="W604" s="415"/>
      <c r="X604" s="415"/>
      <c r="Y604" s="415"/>
      <c r="Z604" s="415"/>
      <c r="AA604" s="415"/>
    </row>
    <row r="605">
      <c r="A605" s="415"/>
      <c r="B605" s="415"/>
      <c r="C605" s="415"/>
      <c r="D605" s="415"/>
      <c r="E605" s="415"/>
      <c r="F605" s="415"/>
      <c r="G605" s="415"/>
      <c r="H605" s="415"/>
      <c r="I605" s="415"/>
      <c r="J605" s="415"/>
      <c r="K605" s="415"/>
      <c r="L605" s="415"/>
      <c r="M605" s="415"/>
      <c r="N605" s="415"/>
      <c r="O605" s="415"/>
      <c r="P605" s="415"/>
      <c r="Q605" s="415"/>
      <c r="R605" s="415"/>
      <c r="S605" s="415"/>
      <c r="T605" s="415"/>
      <c r="U605" s="415"/>
      <c r="V605" s="415"/>
      <c r="W605" s="415"/>
      <c r="X605" s="415"/>
      <c r="Y605" s="415"/>
      <c r="Z605" s="415"/>
      <c r="AA605" s="415"/>
    </row>
    <row r="606">
      <c r="A606" s="415"/>
      <c r="B606" s="415"/>
      <c r="C606" s="415"/>
      <c r="D606" s="415"/>
      <c r="E606" s="415"/>
      <c r="F606" s="415"/>
      <c r="G606" s="415"/>
      <c r="H606" s="415"/>
      <c r="I606" s="415"/>
      <c r="J606" s="415"/>
      <c r="K606" s="415"/>
      <c r="L606" s="415"/>
      <c r="M606" s="415"/>
      <c r="N606" s="415"/>
      <c r="O606" s="415"/>
      <c r="P606" s="415"/>
      <c r="Q606" s="415"/>
      <c r="R606" s="415"/>
      <c r="S606" s="415"/>
      <c r="T606" s="415"/>
      <c r="U606" s="415"/>
      <c r="V606" s="415"/>
      <c r="W606" s="415"/>
      <c r="X606" s="415"/>
      <c r="Y606" s="415"/>
      <c r="Z606" s="415"/>
      <c r="AA606" s="415"/>
    </row>
    <row r="607">
      <c r="A607" s="415"/>
      <c r="B607" s="415"/>
      <c r="C607" s="415"/>
      <c r="D607" s="415"/>
      <c r="E607" s="415"/>
      <c r="F607" s="415"/>
      <c r="G607" s="415"/>
      <c r="H607" s="415"/>
      <c r="I607" s="415"/>
      <c r="J607" s="415"/>
      <c r="K607" s="415"/>
      <c r="L607" s="415"/>
      <c r="M607" s="415"/>
      <c r="N607" s="415"/>
      <c r="O607" s="415"/>
      <c r="P607" s="415"/>
      <c r="Q607" s="415"/>
      <c r="R607" s="415"/>
      <c r="S607" s="415"/>
      <c r="T607" s="415"/>
      <c r="U607" s="415"/>
      <c r="V607" s="415"/>
      <c r="W607" s="415"/>
      <c r="X607" s="415"/>
      <c r="Y607" s="415"/>
      <c r="Z607" s="415"/>
      <c r="AA607" s="415"/>
    </row>
    <row r="608">
      <c r="A608" s="415"/>
      <c r="B608" s="415"/>
      <c r="C608" s="415"/>
      <c r="D608" s="415"/>
      <c r="E608" s="415"/>
      <c r="F608" s="415"/>
      <c r="G608" s="415"/>
      <c r="H608" s="415"/>
      <c r="I608" s="415"/>
      <c r="J608" s="415"/>
      <c r="K608" s="415"/>
      <c r="L608" s="415"/>
      <c r="M608" s="415"/>
      <c r="N608" s="415"/>
      <c r="O608" s="415"/>
      <c r="P608" s="415"/>
      <c r="Q608" s="415"/>
      <c r="R608" s="415"/>
      <c r="S608" s="415"/>
      <c r="T608" s="415"/>
      <c r="U608" s="415"/>
      <c r="V608" s="415"/>
      <c r="W608" s="415"/>
      <c r="X608" s="415"/>
      <c r="Y608" s="415"/>
      <c r="Z608" s="415"/>
      <c r="AA608" s="415"/>
    </row>
    <row r="609">
      <c r="A609" s="415"/>
      <c r="B609" s="415"/>
      <c r="C609" s="415"/>
      <c r="D609" s="415"/>
      <c r="E609" s="415"/>
      <c r="F609" s="415"/>
      <c r="G609" s="415"/>
      <c r="H609" s="415"/>
      <c r="I609" s="415"/>
      <c r="J609" s="415"/>
      <c r="K609" s="415"/>
      <c r="L609" s="415"/>
      <c r="M609" s="415"/>
      <c r="N609" s="415"/>
      <c r="O609" s="415"/>
      <c r="P609" s="415"/>
      <c r="Q609" s="415"/>
      <c r="R609" s="415"/>
      <c r="S609" s="415"/>
      <c r="T609" s="415"/>
      <c r="U609" s="415"/>
      <c r="V609" s="415"/>
      <c r="W609" s="415"/>
      <c r="X609" s="415"/>
      <c r="Y609" s="415"/>
      <c r="Z609" s="415"/>
      <c r="AA609" s="415"/>
    </row>
    <row r="610">
      <c r="A610" s="415"/>
      <c r="B610" s="415"/>
      <c r="C610" s="415"/>
      <c r="D610" s="415"/>
      <c r="E610" s="415"/>
      <c r="F610" s="415"/>
      <c r="G610" s="415"/>
      <c r="H610" s="415"/>
      <c r="I610" s="415"/>
      <c r="J610" s="415"/>
      <c r="K610" s="415"/>
      <c r="L610" s="415"/>
      <c r="M610" s="415"/>
      <c r="N610" s="415"/>
      <c r="O610" s="415"/>
      <c r="P610" s="415"/>
      <c r="Q610" s="415"/>
      <c r="R610" s="415"/>
      <c r="S610" s="415"/>
      <c r="T610" s="415"/>
      <c r="U610" s="415"/>
      <c r="V610" s="415"/>
      <c r="W610" s="415"/>
      <c r="X610" s="415"/>
      <c r="Y610" s="415"/>
      <c r="Z610" s="415"/>
      <c r="AA610" s="415"/>
    </row>
    <row r="611">
      <c r="A611" s="415"/>
      <c r="B611" s="415"/>
      <c r="C611" s="415"/>
      <c r="D611" s="415"/>
      <c r="E611" s="415"/>
      <c r="F611" s="415"/>
      <c r="G611" s="415"/>
      <c r="H611" s="415"/>
      <c r="I611" s="415"/>
      <c r="J611" s="415"/>
      <c r="K611" s="415"/>
      <c r="L611" s="415"/>
      <c r="M611" s="415"/>
      <c r="N611" s="415"/>
      <c r="O611" s="415"/>
      <c r="P611" s="415"/>
      <c r="Q611" s="415"/>
      <c r="R611" s="415"/>
      <c r="S611" s="415"/>
      <c r="T611" s="415"/>
      <c r="U611" s="415"/>
      <c r="V611" s="415"/>
      <c r="W611" s="415"/>
      <c r="X611" s="415"/>
      <c r="Y611" s="415"/>
      <c r="Z611" s="415"/>
      <c r="AA611" s="415"/>
    </row>
    <row r="612">
      <c r="A612" s="415"/>
      <c r="B612" s="415"/>
      <c r="C612" s="415"/>
      <c r="D612" s="415"/>
      <c r="E612" s="415"/>
      <c r="F612" s="415"/>
      <c r="G612" s="415"/>
      <c r="H612" s="415"/>
      <c r="I612" s="415"/>
      <c r="J612" s="415"/>
      <c r="K612" s="415"/>
      <c r="L612" s="415"/>
      <c r="M612" s="415"/>
      <c r="N612" s="415"/>
      <c r="O612" s="415"/>
      <c r="P612" s="415"/>
      <c r="Q612" s="415"/>
      <c r="R612" s="415"/>
      <c r="S612" s="415"/>
      <c r="T612" s="415"/>
      <c r="U612" s="415"/>
      <c r="V612" s="415"/>
      <c r="W612" s="415"/>
      <c r="X612" s="415"/>
      <c r="Y612" s="415"/>
      <c r="Z612" s="415"/>
      <c r="AA612" s="415"/>
    </row>
    <row r="613">
      <c r="A613" s="415"/>
      <c r="B613" s="415"/>
      <c r="C613" s="415"/>
      <c r="D613" s="415"/>
      <c r="E613" s="415"/>
      <c r="F613" s="415"/>
      <c r="G613" s="415"/>
      <c r="H613" s="415"/>
      <c r="I613" s="415"/>
      <c r="J613" s="415"/>
      <c r="K613" s="415"/>
      <c r="L613" s="415"/>
      <c r="M613" s="415"/>
      <c r="N613" s="415"/>
      <c r="O613" s="415"/>
      <c r="P613" s="415"/>
      <c r="Q613" s="415"/>
      <c r="R613" s="415"/>
      <c r="S613" s="415"/>
      <c r="T613" s="415"/>
      <c r="U613" s="415"/>
      <c r="V613" s="415"/>
      <c r="W613" s="415"/>
      <c r="X613" s="415"/>
      <c r="Y613" s="415"/>
      <c r="Z613" s="415"/>
      <c r="AA613" s="415"/>
    </row>
    <row r="614">
      <c r="A614" s="415"/>
      <c r="B614" s="415"/>
      <c r="C614" s="415"/>
      <c r="D614" s="415"/>
      <c r="E614" s="415"/>
      <c r="F614" s="415"/>
      <c r="G614" s="415"/>
      <c r="H614" s="415"/>
      <c r="I614" s="415"/>
      <c r="J614" s="415"/>
      <c r="K614" s="415"/>
      <c r="L614" s="415"/>
      <c r="M614" s="415"/>
      <c r="N614" s="415"/>
      <c r="O614" s="415"/>
      <c r="P614" s="415"/>
      <c r="Q614" s="415"/>
      <c r="R614" s="415"/>
      <c r="S614" s="415"/>
      <c r="T614" s="415"/>
      <c r="U614" s="415"/>
      <c r="V614" s="415"/>
      <c r="W614" s="415"/>
      <c r="X614" s="415"/>
      <c r="Y614" s="415"/>
      <c r="Z614" s="415"/>
      <c r="AA614" s="415"/>
    </row>
    <row r="615">
      <c r="A615" s="415"/>
      <c r="B615" s="415"/>
      <c r="C615" s="415"/>
      <c r="D615" s="415"/>
      <c r="E615" s="415"/>
      <c r="F615" s="415"/>
      <c r="G615" s="415"/>
      <c r="H615" s="415"/>
      <c r="I615" s="415"/>
      <c r="J615" s="415"/>
      <c r="K615" s="415"/>
      <c r="L615" s="415"/>
      <c r="M615" s="415"/>
      <c r="N615" s="415"/>
      <c r="O615" s="415"/>
      <c r="P615" s="415"/>
      <c r="Q615" s="415"/>
      <c r="R615" s="415"/>
      <c r="S615" s="415"/>
      <c r="T615" s="415"/>
      <c r="U615" s="415"/>
      <c r="V615" s="415"/>
      <c r="W615" s="415"/>
      <c r="X615" s="415"/>
      <c r="Y615" s="415"/>
      <c r="Z615" s="415"/>
      <c r="AA615" s="415"/>
    </row>
    <row r="616">
      <c r="A616" s="415"/>
      <c r="B616" s="415"/>
      <c r="C616" s="415"/>
      <c r="D616" s="415"/>
      <c r="E616" s="415"/>
      <c r="F616" s="415"/>
      <c r="G616" s="415"/>
      <c r="H616" s="415"/>
      <c r="I616" s="415"/>
      <c r="J616" s="415"/>
      <c r="K616" s="415"/>
      <c r="L616" s="415"/>
      <c r="M616" s="415"/>
      <c r="N616" s="415"/>
      <c r="O616" s="415"/>
      <c r="P616" s="415"/>
      <c r="Q616" s="415"/>
      <c r="R616" s="415"/>
      <c r="S616" s="415"/>
      <c r="T616" s="415"/>
      <c r="U616" s="415"/>
      <c r="V616" s="415"/>
      <c r="W616" s="415"/>
      <c r="X616" s="415"/>
      <c r="Y616" s="415"/>
      <c r="Z616" s="415"/>
      <c r="AA616" s="415"/>
    </row>
    <row r="617">
      <c r="A617" s="415"/>
      <c r="B617" s="415"/>
      <c r="C617" s="415"/>
      <c r="D617" s="415"/>
      <c r="E617" s="415"/>
      <c r="F617" s="415"/>
      <c r="G617" s="415"/>
      <c r="H617" s="415"/>
      <c r="I617" s="415"/>
      <c r="J617" s="415"/>
      <c r="K617" s="415"/>
      <c r="L617" s="415"/>
      <c r="M617" s="415"/>
      <c r="N617" s="415"/>
      <c r="O617" s="415"/>
      <c r="P617" s="415"/>
      <c r="Q617" s="415"/>
      <c r="R617" s="415"/>
      <c r="S617" s="415"/>
      <c r="T617" s="415"/>
      <c r="U617" s="415"/>
      <c r="V617" s="415"/>
      <c r="W617" s="415"/>
      <c r="X617" s="415"/>
      <c r="Y617" s="415"/>
      <c r="Z617" s="415"/>
      <c r="AA617" s="415"/>
    </row>
    <row r="618">
      <c r="A618" s="415"/>
      <c r="B618" s="415"/>
      <c r="C618" s="415"/>
      <c r="D618" s="415"/>
      <c r="E618" s="415"/>
      <c r="F618" s="415"/>
      <c r="G618" s="415"/>
      <c r="H618" s="415"/>
      <c r="I618" s="415"/>
      <c r="J618" s="415"/>
      <c r="K618" s="415"/>
      <c r="L618" s="415"/>
      <c r="M618" s="415"/>
      <c r="N618" s="415"/>
      <c r="O618" s="415"/>
      <c r="P618" s="415"/>
      <c r="Q618" s="415"/>
      <c r="R618" s="415"/>
      <c r="S618" s="415"/>
      <c r="T618" s="415"/>
      <c r="U618" s="415"/>
      <c r="V618" s="415"/>
      <c r="W618" s="415"/>
      <c r="X618" s="415"/>
      <c r="Y618" s="415"/>
      <c r="Z618" s="415"/>
      <c r="AA618" s="415"/>
    </row>
    <row r="619">
      <c r="A619" s="415"/>
      <c r="B619" s="415"/>
      <c r="C619" s="415"/>
      <c r="D619" s="415"/>
      <c r="E619" s="415"/>
      <c r="F619" s="415"/>
      <c r="G619" s="415"/>
      <c r="H619" s="415"/>
      <c r="I619" s="415"/>
      <c r="J619" s="415"/>
      <c r="K619" s="415"/>
      <c r="L619" s="415"/>
      <c r="M619" s="415"/>
      <c r="N619" s="415"/>
      <c r="O619" s="415"/>
      <c r="P619" s="415"/>
      <c r="Q619" s="415"/>
      <c r="R619" s="415"/>
      <c r="S619" s="415"/>
      <c r="T619" s="415"/>
      <c r="U619" s="415"/>
      <c r="V619" s="415"/>
      <c r="W619" s="415"/>
      <c r="X619" s="415"/>
      <c r="Y619" s="415"/>
      <c r="Z619" s="415"/>
      <c r="AA619" s="415"/>
    </row>
    <row r="620">
      <c r="A620" s="415"/>
      <c r="B620" s="415"/>
      <c r="C620" s="415"/>
      <c r="D620" s="415"/>
      <c r="E620" s="415"/>
      <c r="F620" s="415"/>
      <c r="G620" s="415"/>
      <c r="H620" s="415"/>
      <c r="I620" s="415"/>
      <c r="J620" s="415"/>
      <c r="K620" s="415"/>
      <c r="L620" s="415"/>
      <c r="M620" s="415"/>
      <c r="N620" s="415"/>
      <c r="O620" s="415"/>
      <c r="P620" s="415"/>
      <c r="Q620" s="415"/>
      <c r="R620" s="415"/>
      <c r="S620" s="415"/>
      <c r="T620" s="415"/>
      <c r="U620" s="415"/>
      <c r="V620" s="415"/>
      <c r="W620" s="415"/>
      <c r="X620" s="415"/>
      <c r="Y620" s="415"/>
      <c r="Z620" s="415"/>
      <c r="AA620" s="415"/>
    </row>
    <row r="621">
      <c r="A621" s="415"/>
      <c r="B621" s="415"/>
      <c r="C621" s="415"/>
      <c r="D621" s="415"/>
      <c r="E621" s="415"/>
      <c r="F621" s="415"/>
      <c r="G621" s="415"/>
      <c r="H621" s="415"/>
      <c r="I621" s="415"/>
      <c r="J621" s="415"/>
      <c r="K621" s="415"/>
      <c r="L621" s="415"/>
      <c r="M621" s="415"/>
      <c r="N621" s="415"/>
      <c r="O621" s="415"/>
      <c r="P621" s="415"/>
      <c r="Q621" s="415"/>
      <c r="R621" s="415"/>
      <c r="S621" s="415"/>
      <c r="T621" s="415"/>
      <c r="U621" s="415"/>
      <c r="V621" s="415"/>
      <c r="W621" s="415"/>
      <c r="X621" s="415"/>
      <c r="Y621" s="415"/>
      <c r="Z621" s="415"/>
      <c r="AA621" s="415"/>
    </row>
    <row r="622">
      <c r="A622" s="415"/>
      <c r="B622" s="415"/>
      <c r="C622" s="415"/>
      <c r="D622" s="415"/>
      <c r="E622" s="415"/>
      <c r="F622" s="415"/>
      <c r="G622" s="415"/>
      <c r="H622" s="415"/>
      <c r="I622" s="415"/>
      <c r="J622" s="415"/>
      <c r="K622" s="415"/>
      <c r="L622" s="415"/>
      <c r="M622" s="415"/>
      <c r="N622" s="415"/>
      <c r="O622" s="415"/>
      <c r="P622" s="415"/>
      <c r="Q622" s="415"/>
      <c r="R622" s="415"/>
      <c r="S622" s="415"/>
      <c r="T622" s="415"/>
      <c r="U622" s="415"/>
      <c r="V622" s="415"/>
      <c r="W622" s="415"/>
      <c r="X622" s="415"/>
      <c r="Y622" s="415"/>
      <c r="Z622" s="415"/>
      <c r="AA622" s="415"/>
    </row>
    <row r="623">
      <c r="A623" s="415"/>
      <c r="B623" s="415"/>
      <c r="C623" s="415"/>
      <c r="D623" s="415"/>
      <c r="E623" s="415"/>
      <c r="F623" s="415"/>
      <c r="G623" s="415"/>
      <c r="H623" s="415"/>
      <c r="I623" s="415"/>
      <c r="J623" s="415"/>
      <c r="K623" s="415"/>
      <c r="L623" s="415"/>
      <c r="M623" s="415"/>
      <c r="N623" s="415"/>
      <c r="O623" s="415"/>
      <c r="P623" s="415"/>
      <c r="Q623" s="415"/>
      <c r="R623" s="415"/>
      <c r="S623" s="415"/>
      <c r="T623" s="415"/>
      <c r="U623" s="415"/>
      <c r="V623" s="415"/>
      <c r="W623" s="415"/>
      <c r="X623" s="415"/>
      <c r="Y623" s="415"/>
      <c r="Z623" s="415"/>
      <c r="AA623" s="415"/>
    </row>
    <row r="624">
      <c r="A624" s="415"/>
      <c r="B624" s="415"/>
      <c r="C624" s="415"/>
      <c r="D624" s="415"/>
      <c r="E624" s="415"/>
      <c r="F624" s="415"/>
      <c r="G624" s="415"/>
      <c r="H624" s="415"/>
      <c r="I624" s="415"/>
      <c r="J624" s="415"/>
      <c r="K624" s="415"/>
      <c r="L624" s="415"/>
      <c r="M624" s="415"/>
      <c r="N624" s="415"/>
      <c r="O624" s="415"/>
      <c r="P624" s="415"/>
      <c r="Q624" s="415"/>
      <c r="R624" s="415"/>
      <c r="S624" s="415"/>
      <c r="T624" s="415"/>
      <c r="U624" s="415"/>
      <c r="V624" s="415"/>
      <c r="W624" s="415"/>
      <c r="X624" s="415"/>
      <c r="Y624" s="415"/>
      <c r="Z624" s="415"/>
      <c r="AA624" s="415"/>
    </row>
    <row r="625">
      <c r="A625" s="415"/>
      <c r="B625" s="415"/>
      <c r="C625" s="415"/>
      <c r="D625" s="415"/>
      <c r="E625" s="415"/>
      <c r="F625" s="415"/>
      <c r="G625" s="415"/>
      <c r="H625" s="415"/>
      <c r="I625" s="415"/>
      <c r="J625" s="415"/>
      <c r="K625" s="415"/>
      <c r="L625" s="415"/>
      <c r="M625" s="415"/>
      <c r="N625" s="415"/>
      <c r="O625" s="415"/>
      <c r="P625" s="415"/>
      <c r="Q625" s="415"/>
      <c r="R625" s="415"/>
      <c r="S625" s="415"/>
      <c r="T625" s="415"/>
      <c r="U625" s="415"/>
      <c r="V625" s="415"/>
      <c r="W625" s="415"/>
      <c r="X625" s="415"/>
      <c r="Y625" s="415"/>
      <c r="Z625" s="415"/>
      <c r="AA625" s="415"/>
    </row>
    <row r="626">
      <c r="A626" s="415"/>
      <c r="B626" s="415"/>
      <c r="C626" s="415"/>
      <c r="D626" s="415"/>
      <c r="E626" s="415"/>
      <c r="F626" s="415"/>
      <c r="G626" s="415"/>
      <c r="H626" s="415"/>
      <c r="I626" s="415"/>
      <c r="J626" s="415"/>
      <c r="K626" s="415"/>
      <c r="L626" s="415"/>
      <c r="M626" s="415"/>
      <c r="N626" s="415"/>
      <c r="O626" s="415"/>
      <c r="P626" s="415"/>
      <c r="Q626" s="415"/>
      <c r="R626" s="415"/>
      <c r="S626" s="415"/>
      <c r="T626" s="415"/>
      <c r="U626" s="415"/>
      <c r="V626" s="415"/>
      <c r="W626" s="415"/>
      <c r="X626" s="415"/>
      <c r="Y626" s="415"/>
      <c r="Z626" s="415"/>
      <c r="AA626" s="415"/>
    </row>
    <row r="627">
      <c r="A627" s="415"/>
      <c r="B627" s="415"/>
      <c r="C627" s="415"/>
      <c r="D627" s="415"/>
      <c r="E627" s="415"/>
      <c r="F627" s="415"/>
      <c r="G627" s="415"/>
      <c r="H627" s="415"/>
      <c r="I627" s="415"/>
      <c r="J627" s="415"/>
      <c r="K627" s="415"/>
      <c r="L627" s="415"/>
      <c r="M627" s="415"/>
      <c r="N627" s="415"/>
      <c r="O627" s="415"/>
      <c r="P627" s="415"/>
      <c r="Q627" s="415"/>
      <c r="R627" s="415"/>
      <c r="S627" s="415"/>
      <c r="T627" s="415"/>
      <c r="U627" s="415"/>
      <c r="V627" s="415"/>
      <c r="W627" s="415"/>
      <c r="X627" s="415"/>
      <c r="Y627" s="415"/>
      <c r="Z627" s="415"/>
      <c r="AA627" s="415"/>
    </row>
    <row r="628">
      <c r="A628" s="415"/>
      <c r="B628" s="415"/>
      <c r="C628" s="415"/>
      <c r="D628" s="415"/>
      <c r="E628" s="415"/>
      <c r="F628" s="415"/>
      <c r="G628" s="415"/>
      <c r="H628" s="415"/>
      <c r="I628" s="415"/>
      <c r="J628" s="415"/>
      <c r="K628" s="415"/>
      <c r="L628" s="415"/>
      <c r="M628" s="415"/>
      <c r="N628" s="415"/>
      <c r="O628" s="415"/>
      <c r="P628" s="415"/>
      <c r="Q628" s="415"/>
      <c r="R628" s="415"/>
      <c r="S628" s="415"/>
      <c r="T628" s="415"/>
      <c r="U628" s="415"/>
      <c r="V628" s="415"/>
      <c r="W628" s="415"/>
      <c r="X628" s="415"/>
      <c r="Y628" s="415"/>
      <c r="Z628" s="415"/>
      <c r="AA628" s="415"/>
    </row>
    <row r="629">
      <c r="A629" s="415"/>
      <c r="B629" s="415"/>
      <c r="C629" s="415"/>
      <c r="D629" s="415"/>
      <c r="E629" s="415"/>
      <c r="F629" s="415"/>
      <c r="G629" s="415"/>
      <c r="H629" s="415"/>
      <c r="I629" s="415"/>
      <c r="J629" s="415"/>
      <c r="K629" s="415"/>
      <c r="L629" s="415"/>
      <c r="M629" s="415"/>
      <c r="N629" s="415"/>
      <c r="O629" s="415"/>
      <c r="P629" s="415"/>
      <c r="Q629" s="415"/>
      <c r="R629" s="415"/>
      <c r="S629" s="415"/>
      <c r="T629" s="415"/>
      <c r="U629" s="415"/>
      <c r="V629" s="415"/>
      <c r="W629" s="415"/>
      <c r="X629" s="415"/>
      <c r="Y629" s="415"/>
      <c r="Z629" s="415"/>
      <c r="AA629" s="415"/>
    </row>
    <row r="630">
      <c r="A630" s="415"/>
      <c r="B630" s="415"/>
      <c r="C630" s="415"/>
      <c r="D630" s="415"/>
      <c r="E630" s="415"/>
      <c r="F630" s="415"/>
      <c r="G630" s="415"/>
      <c r="H630" s="415"/>
      <c r="I630" s="415"/>
      <c r="J630" s="415"/>
      <c r="K630" s="415"/>
      <c r="L630" s="415"/>
      <c r="M630" s="415"/>
      <c r="N630" s="415"/>
      <c r="O630" s="415"/>
      <c r="P630" s="415"/>
      <c r="Q630" s="415"/>
      <c r="R630" s="415"/>
      <c r="S630" s="415"/>
      <c r="T630" s="415"/>
      <c r="U630" s="415"/>
      <c r="V630" s="415"/>
      <c r="W630" s="415"/>
      <c r="X630" s="415"/>
      <c r="Y630" s="415"/>
      <c r="Z630" s="415"/>
      <c r="AA630" s="415"/>
    </row>
    <row r="631">
      <c r="A631" s="415"/>
      <c r="B631" s="415"/>
      <c r="C631" s="415"/>
      <c r="D631" s="415"/>
      <c r="E631" s="415"/>
      <c r="F631" s="415"/>
      <c r="G631" s="415"/>
      <c r="H631" s="415"/>
      <c r="I631" s="415"/>
      <c r="J631" s="415"/>
      <c r="K631" s="415"/>
      <c r="L631" s="415"/>
      <c r="M631" s="415"/>
      <c r="N631" s="415"/>
      <c r="O631" s="415"/>
      <c r="P631" s="415"/>
      <c r="Q631" s="415"/>
      <c r="R631" s="415"/>
      <c r="S631" s="415"/>
      <c r="T631" s="415"/>
      <c r="U631" s="415"/>
      <c r="V631" s="415"/>
      <c r="W631" s="415"/>
      <c r="X631" s="415"/>
      <c r="Y631" s="415"/>
      <c r="Z631" s="415"/>
      <c r="AA631" s="415"/>
    </row>
    <row r="632">
      <c r="A632" s="415"/>
      <c r="B632" s="415"/>
      <c r="C632" s="415"/>
      <c r="D632" s="415"/>
      <c r="E632" s="415"/>
      <c r="F632" s="415"/>
      <c r="G632" s="415"/>
      <c r="H632" s="415"/>
      <c r="I632" s="415"/>
      <c r="J632" s="415"/>
      <c r="K632" s="415"/>
      <c r="L632" s="415"/>
      <c r="M632" s="415"/>
      <c r="N632" s="415"/>
      <c r="O632" s="415"/>
      <c r="P632" s="415"/>
      <c r="Q632" s="415"/>
      <c r="R632" s="415"/>
      <c r="S632" s="415"/>
      <c r="T632" s="415"/>
      <c r="U632" s="415"/>
      <c r="V632" s="415"/>
      <c r="W632" s="415"/>
      <c r="X632" s="415"/>
      <c r="Y632" s="415"/>
      <c r="Z632" s="415"/>
      <c r="AA632" s="415"/>
    </row>
    <row r="633">
      <c r="A633" s="415"/>
      <c r="B633" s="415"/>
      <c r="C633" s="415"/>
      <c r="D633" s="415"/>
      <c r="E633" s="415"/>
      <c r="F633" s="415"/>
      <c r="G633" s="415"/>
      <c r="H633" s="415"/>
      <c r="I633" s="415"/>
      <c r="J633" s="415"/>
      <c r="K633" s="415"/>
      <c r="L633" s="415"/>
      <c r="M633" s="415"/>
      <c r="N633" s="415"/>
      <c r="O633" s="415"/>
      <c r="P633" s="415"/>
      <c r="Q633" s="415"/>
      <c r="R633" s="415"/>
      <c r="S633" s="415"/>
      <c r="T633" s="415"/>
      <c r="U633" s="415"/>
      <c r="V633" s="415"/>
      <c r="W633" s="415"/>
      <c r="X633" s="415"/>
      <c r="Y633" s="415"/>
      <c r="Z633" s="415"/>
      <c r="AA633" s="415"/>
    </row>
    <row r="634">
      <c r="A634" s="415"/>
      <c r="B634" s="415"/>
      <c r="C634" s="415"/>
      <c r="D634" s="415"/>
      <c r="E634" s="415"/>
      <c r="F634" s="415"/>
      <c r="G634" s="415"/>
      <c r="H634" s="415"/>
      <c r="I634" s="415"/>
      <c r="J634" s="415"/>
      <c r="K634" s="415"/>
      <c r="L634" s="415"/>
      <c r="M634" s="415"/>
      <c r="N634" s="415"/>
      <c r="O634" s="415"/>
      <c r="P634" s="415"/>
      <c r="Q634" s="415"/>
      <c r="R634" s="415"/>
      <c r="S634" s="415"/>
      <c r="T634" s="415"/>
      <c r="U634" s="415"/>
      <c r="V634" s="415"/>
      <c r="W634" s="415"/>
      <c r="X634" s="415"/>
      <c r="Y634" s="415"/>
      <c r="Z634" s="415"/>
      <c r="AA634" s="415"/>
    </row>
    <row r="635">
      <c r="A635" s="415"/>
      <c r="B635" s="415"/>
      <c r="C635" s="415"/>
      <c r="D635" s="415"/>
      <c r="E635" s="415"/>
      <c r="F635" s="415"/>
      <c r="G635" s="415"/>
      <c r="H635" s="415"/>
      <c r="I635" s="415"/>
      <c r="J635" s="415"/>
      <c r="K635" s="415"/>
      <c r="L635" s="415"/>
      <c r="M635" s="415"/>
      <c r="N635" s="415"/>
      <c r="O635" s="415"/>
      <c r="P635" s="415"/>
      <c r="Q635" s="415"/>
      <c r="R635" s="415"/>
      <c r="S635" s="415"/>
      <c r="T635" s="415"/>
      <c r="U635" s="415"/>
      <c r="V635" s="415"/>
      <c r="W635" s="415"/>
      <c r="X635" s="415"/>
      <c r="Y635" s="415"/>
      <c r="Z635" s="415"/>
      <c r="AA635" s="415"/>
    </row>
    <row r="636">
      <c r="A636" s="415"/>
      <c r="B636" s="415"/>
      <c r="C636" s="415"/>
      <c r="D636" s="415"/>
      <c r="E636" s="415"/>
      <c r="F636" s="415"/>
      <c r="G636" s="415"/>
      <c r="H636" s="415"/>
      <c r="I636" s="415"/>
      <c r="J636" s="415"/>
      <c r="K636" s="415"/>
      <c r="L636" s="415"/>
      <c r="M636" s="415"/>
      <c r="N636" s="415"/>
      <c r="O636" s="415"/>
      <c r="P636" s="415"/>
      <c r="Q636" s="415"/>
      <c r="R636" s="415"/>
      <c r="S636" s="415"/>
      <c r="T636" s="415"/>
      <c r="U636" s="415"/>
      <c r="V636" s="415"/>
      <c r="W636" s="415"/>
      <c r="X636" s="415"/>
      <c r="Y636" s="415"/>
      <c r="Z636" s="415"/>
      <c r="AA636" s="415"/>
    </row>
    <row r="637">
      <c r="A637" s="415"/>
      <c r="B637" s="415"/>
      <c r="C637" s="415"/>
      <c r="D637" s="415"/>
      <c r="E637" s="415"/>
      <c r="F637" s="415"/>
      <c r="G637" s="415"/>
      <c r="H637" s="415"/>
      <c r="I637" s="415"/>
      <c r="J637" s="415"/>
      <c r="K637" s="415"/>
      <c r="L637" s="415"/>
      <c r="M637" s="415"/>
      <c r="N637" s="415"/>
      <c r="O637" s="415"/>
      <c r="P637" s="415"/>
      <c r="Q637" s="415"/>
      <c r="R637" s="415"/>
      <c r="S637" s="415"/>
      <c r="T637" s="415"/>
      <c r="U637" s="415"/>
      <c r="V637" s="415"/>
      <c r="W637" s="415"/>
      <c r="X637" s="415"/>
      <c r="Y637" s="415"/>
      <c r="Z637" s="415"/>
      <c r="AA637" s="415"/>
    </row>
    <row r="638">
      <c r="A638" s="415"/>
      <c r="B638" s="415"/>
      <c r="C638" s="415"/>
      <c r="D638" s="415"/>
      <c r="E638" s="415"/>
      <c r="F638" s="415"/>
      <c r="G638" s="415"/>
      <c r="H638" s="415"/>
      <c r="I638" s="415"/>
      <c r="J638" s="415"/>
      <c r="K638" s="415"/>
      <c r="L638" s="415"/>
      <c r="M638" s="415"/>
      <c r="N638" s="415"/>
      <c r="O638" s="415"/>
      <c r="P638" s="415"/>
      <c r="Q638" s="415"/>
      <c r="R638" s="415"/>
      <c r="S638" s="415"/>
      <c r="T638" s="415"/>
      <c r="U638" s="415"/>
      <c r="V638" s="415"/>
      <c r="W638" s="415"/>
      <c r="X638" s="415"/>
      <c r="Y638" s="415"/>
      <c r="Z638" s="415"/>
      <c r="AA638" s="415"/>
    </row>
    <row r="639">
      <c r="A639" s="415"/>
      <c r="B639" s="415"/>
      <c r="C639" s="415"/>
      <c r="D639" s="415"/>
      <c r="E639" s="415"/>
      <c r="F639" s="415"/>
      <c r="G639" s="415"/>
      <c r="H639" s="415"/>
      <c r="I639" s="415"/>
      <c r="J639" s="415"/>
      <c r="K639" s="415"/>
      <c r="L639" s="415"/>
      <c r="M639" s="415"/>
      <c r="N639" s="415"/>
      <c r="O639" s="415"/>
      <c r="P639" s="415"/>
      <c r="Q639" s="415"/>
      <c r="R639" s="415"/>
      <c r="S639" s="415"/>
      <c r="T639" s="415"/>
      <c r="U639" s="415"/>
      <c r="V639" s="415"/>
      <c r="W639" s="415"/>
      <c r="X639" s="415"/>
      <c r="Y639" s="415"/>
      <c r="Z639" s="415"/>
      <c r="AA639" s="415"/>
    </row>
    <row r="640">
      <c r="A640" s="415"/>
      <c r="B640" s="415"/>
      <c r="C640" s="415"/>
      <c r="D640" s="415"/>
      <c r="E640" s="415"/>
      <c r="F640" s="415"/>
      <c r="G640" s="415"/>
      <c r="H640" s="415"/>
      <c r="I640" s="415"/>
      <c r="J640" s="415"/>
      <c r="K640" s="415"/>
      <c r="L640" s="415"/>
      <c r="M640" s="415"/>
      <c r="N640" s="415"/>
      <c r="O640" s="415"/>
      <c r="P640" s="415"/>
      <c r="Q640" s="415"/>
      <c r="R640" s="415"/>
      <c r="S640" s="415"/>
      <c r="T640" s="415"/>
      <c r="U640" s="415"/>
      <c r="V640" s="415"/>
      <c r="W640" s="415"/>
      <c r="X640" s="415"/>
      <c r="Y640" s="415"/>
      <c r="Z640" s="415"/>
      <c r="AA640" s="415"/>
    </row>
    <row r="641">
      <c r="A641" s="415"/>
      <c r="B641" s="415"/>
      <c r="C641" s="415"/>
      <c r="D641" s="415"/>
      <c r="E641" s="415"/>
      <c r="F641" s="415"/>
      <c r="G641" s="415"/>
      <c r="H641" s="415"/>
      <c r="I641" s="415"/>
      <c r="J641" s="415"/>
      <c r="K641" s="415"/>
      <c r="L641" s="415"/>
      <c r="M641" s="415"/>
      <c r="N641" s="415"/>
      <c r="O641" s="415"/>
      <c r="P641" s="415"/>
      <c r="Q641" s="415"/>
      <c r="R641" s="415"/>
      <c r="S641" s="415"/>
      <c r="T641" s="415"/>
      <c r="U641" s="415"/>
      <c r="V641" s="415"/>
      <c r="W641" s="415"/>
      <c r="X641" s="415"/>
      <c r="Y641" s="415"/>
      <c r="Z641" s="415"/>
      <c r="AA641" s="415"/>
    </row>
    <row r="642">
      <c r="A642" s="415"/>
      <c r="B642" s="415"/>
      <c r="C642" s="415"/>
      <c r="D642" s="415"/>
      <c r="E642" s="415"/>
      <c r="F642" s="415"/>
      <c r="G642" s="415"/>
      <c r="H642" s="415"/>
      <c r="I642" s="415"/>
      <c r="J642" s="415"/>
      <c r="K642" s="415"/>
      <c r="L642" s="415"/>
      <c r="M642" s="415"/>
      <c r="N642" s="415"/>
      <c r="O642" s="415"/>
      <c r="P642" s="415"/>
      <c r="Q642" s="415"/>
      <c r="R642" s="415"/>
      <c r="S642" s="415"/>
      <c r="T642" s="415"/>
      <c r="U642" s="415"/>
      <c r="V642" s="415"/>
      <c r="W642" s="415"/>
      <c r="X642" s="415"/>
      <c r="Y642" s="415"/>
      <c r="Z642" s="415"/>
      <c r="AA642" s="415"/>
    </row>
    <row r="643">
      <c r="A643" s="415"/>
      <c r="B643" s="415"/>
      <c r="C643" s="415"/>
      <c r="D643" s="415"/>
      <c r="E643" s="415"/>
      <c r="F643" s="415"/>
      <c r="G643" s="415"/>
      <c r="H643" s="415"/>
      <c r="I643" s="415"/>
      <c r="J643" s="415"/>
      <c r="K643" s="415"/>
      <c r="L643" s="415"/>
      <c r="M643" s="415"/>
      <c r="N643" s="415"/>
      <c r="O643" s="415"/>
      <c r="P643" s="415"/>
      <c r="Q643" s="415"/>
      <c r="R643" s="415"/>
      <c r="S643" s="415"/>
      <c r="T643" s="415"/>
      <c r="U643" s="415"/>
      <c r="V643" s="415"/>
      <c r="W643" s="415"/>
      <c r="X643" s="415"/>
      <c r="Y643" s="415"/>
      <c r="Z643" s="415"/>
      <c r="AA643" s="415"/>
    </row>
    <row r="644">
      <c r="A644" s="415"/>
      <c r="B644" s="415"/>
      <c r="C644" s="415"/>
      <c r="D644" s="415"/>
      <c r="E644" s="415"/>
      <c r="F644" s="415"/>
      <c r="G644" s="415"/>
      <c r="H644" s="415"/>
      <c r="I644" s="415"/>
      <c r="J644" s="415"/>
      <c r="K644" s="415"/>
      <c r="L644" s="415"/>
      <c r="M644" s="415"/>
      <c r="N644" s="415"/>
      <c r="O644" s="415"/>
      <c r="P644" s="415"/>
      <c r="Q644" s="415"/>
      <c r="R644" s="415"/>
      <c r="S644" s="415"/>
      <c r="T644" s="415"/>
      <c r="U644" s="415"/>
      <c r="V644" s="415"/>
      <c r="W644" s="415"/>
      <c r="X644" s="415"/>
      <c r="Y644" s="415"/>
      <c r="Z644" s="415"/>
      <c r="AA644" s="415"/>
    </row>
    <row r="645">
      <c r="A645" s="415"/>
      <c r="B645" s="415"/>
      <c r="C645" s="415"/>
      <c r="D645" s="415"/>
      <c r="E645" s="415"/>
      <c r="F645" s="415"/>
      <c r="G645" s="415"/>
      <c r="H645" s="415"/>
      <c r="I645" s="415"/>
      <c r="J645" s="415"/>
      <c r="K645" s="415"/>
      <c r="L645" s="415"/>
      <c r="M645" s="415"/>
      <c r="N645" s="415"/>
      <c r="O645" s="415"/>
      <c r="P645" s="415"/>
      <c r="Q645" s="415"/>
      <c r="R645" s="415"/>
      <c r="S645" s="415"/>
      <c r="T645" s="415"/>
      <c r="U645" s="415"/>
      <c r="V645" s="415"/>
      <c r="W645" s="415"/>
      <c r="X645" s="415"/>
      <c r="Y645" s="415"/>
      <c r="Z645" s="415"/>
      <c r="AA645" s="415"/>
    </row>
    <row r="646">
      <c r="A646" s="415"/>
      <c r="B646" s="415"/>
      <c r="C646" s="415"/>
      <c r="D646" s="415"/>
      <c r="E646" s="415"/>
      <c r="F646" s="415"/>
      <c r="G646" s="415"/>
      <c r="H646" s="415"/>
      <c r="I646" s="415"/>
      <c r="J646" s="415"/>
      <c r="K646" s="415"/>
      <c r="L646" s="415"/>
      <c r="M646" s="415"/>
      <c r="N646" s="415"/>
      <c r="O646" s="415"/>
      <c r="P646" s="415"/>
      <c r="Q646" s="415"/>
      <c r="R646" s="415"/>
      <c r="S646" s="415"/>
      <c r="T646" s="415"/>
      <c r="U646" s="415"/>
      <c r="V646" s="415"/>
      <c r="W646" s="415"/>
      <c r="X646" s="415"/>
      <c r="Y646" s="415"/>
      <c r="Z646" s="415"/>
      <c r="AA646" s="415"/>
    </row>
    <row r="647">
      <c r="A647" s="415"/>
      <c r="B647" s="415"/>
      <c r="C647" s="415"/>
      <c r="D647" s="415"/>
      <c r="E647" s="415"/>
      <c r="F647" s="415"/>
      <c r="G647" s="415"/>
      <c r="H647" s="415"/>
      <c r="I647" s="415"/>
      <c r="J647" s="415"/>
      <c r="K647" s="415"/>
      <c r="L647" s="415"/>
      <c r="M647" s="415"/>
      <c r="N647" s="415"/>
      <c r="O647" s="415"/>
      <c r="P647" s="415"/>
      <c r="Q647" s="415"/>
      <c r="R647" s="415"/>
      <c r="S647" s="415"/>
      <c r="T647" s="415"/>
      <c r="U647" s="415"/>
      <c r="V647" s="415"/>
      <c r="W647" s="415"/>
      <c r="X647" s="415"/>
      <c r="Y647" s="415"/>
      <c r="Z647" s="415"/>
      <c r="AA647" s="415"/>
    </row>
    <row r="648">
      <c r="A648" s="415"/>
      <c r="B648" s="415"/>
      <c r="C648" s="415"/>
      <c r="D648" s="415"/>
      <c r="E648" s="415"/>
      <c r="F648" s="415"/>
      <c r="G648" s="415"/>
      <c r="H648" s="415"/>
      <c r="I648" s="415"/>
      <c r="J648" s="415"/>
      <c r="K648" s="415"/>
      <c r="L648" s="415"/>
      <c r="M648" s="415"/>
      <c r="N648" s="415"/>
      <c r="O648" s="415"/>
      <c r="P648" s="415"/>
      <c r="Q648" s="415"/>
      <c r="R648" s="415"/>
      <c r="S648" s="415"/>
      <c r="T648" s="415"/>
      <c r="U648" s="415"/>
      <c r="V648" s="415"/>
      <c r="W648" s="415"/>
      <c r="X648" s="415"/>
      <c r="Y648" s="415"/>
      <c r="Z648" s="415"/>
      <c r="AA648" s="415"/>
    </row>
    <row r="649">
      <c r="A649" s="415"/>
      <c r="B649" s="415"/>
      <c r="C649" s="415"/>
      <c r="D649" s="415"/>
      <c r="E649" s="415"/>
      <c r="F649" s="415"/>
      <c r="G649" s="415"/>
      <c r="H649" s="415"/>
      <c r="I649" s="415"/>
      <c r="J649" s="415"/>
      <c r="K649" s="415"/>
      <c r="L649" s="415"/>
      <c r="M649" s="415"/>
      <c r="N649" s="415"/>
      <c r="O649" s="415"/>
      <c r="P649" s="415"/>
      <c r="Q649" s="415"/>
      <c r="R649" s="415"/>
      <c r="S649" s="415"/>
      <c r="T649" s="415"/>
      <c r="U649" s="415"/>
      <c r="V649" s="415"/>
      <c r="W649" s="415"/>
      <c r="X649" s="415"/>
      <c r="Y649" s="415"/>
      <c r="Z649" s="415"/>
      <c r="AA649" s="415"/>
    </row>
    <row r="650">
      <c r="A650" s="415"/>
      <c r="B650" s="415"/>
      <c r="C650" s="415"/>
      <c r="D650" s="415"/>
      <c r="E650" s="415"/>
      <c r="F650" s="415"/>
      <c r="G650" s="415"/>
      <c r="H650" s="415"/>
      <c r="I650" s="415"/>
      <c r="J650" s="415"/>
      <c r="K650" s="415"/>
      <c r="L650" s="415"/>
      <c r="M650" s="415"/>
      <c r="N650" s="415"/>
      <c r="O650" s="415"/>
      <c r="P650" s="415"/>
      <c r="Q650" s="415"/>
      <c r="R650" s="415"/>
      <c r="S650" s="415"/>
      <c r="T650" s="415"/>
      <c r="U650" s="415"/>
      <c r="V650" s="415"/>
      <c r="W650" s="415"/>
      <c r="X650" s="415"/>
      <c r="Y650" s="415"/>
      <c r="Z650" s="415"/>
      <c r="AA650" s="415"/>
    </row>
    <row r="651">
      <c r="A651" s="415"/>
      <c r="B651" s="415"/>
      <c r="C651" s="415"/>
      <c r="D651" s="415"/>
      <c r="E651" s="415"/>
      <c r="F651" s="415"/>
      <c r="G651" s="415"/>
      <c r="H651" s="415"/>
      <c r="I651" s="415"/>
      <c r="J651" s="415"/>
      <c r="K651" s="415"/>
      <c r="L651" s="415"/>
      <c r="M651" s="415"/>
      <c r="N651" s="415"/>
      <c r="O651" s="415"/>
      <c r="P651" s="415"/>
      <c r="Q651" s="415"/>
      <c r="R651" s="415"/>
      <c r="S651" s="415"/>
      <c r="T651" s="415"/>
      <c r="U651" s="415"/>
      <c r="V651" s="415"/>
      <c r="W651" s="415"/>
      <c r="X651" s="415"/>
      <c r="Y651" s="415"/>
      <c r="Z651" s="415"/>
      <c r="AA651" s="415"/>
    </row>
    <row r="652">
      <c r="A652" s="415"/>
      <c r="B652" s="415"/>
      <c r="C652" s="415"/>
      <c r="D652" s="415"/>
      <c r="E652" s="415"/>
      <c r="F652" s="415"/>
      <c r="G652" s="415"/>
      <c r="H652" s="415"/>
      <c r="I652" s="415"/>
      <c r="J652" s="415"/>
      <c r="K652" s="415"/>
      <c r="L652" s="415"/>
      <c r="M652" s="415"/>
      <c r="N652" s="415"/>
      <c r="O652" s="415"/>
      <c r="P652" s="415"/>
      <c r="Q652" s="415"/>
      <c r="R652" s="415"/>
      <c r="S652" s="415"/>
      <c r="T652" s="415"/>
      <c r="U652" s="415"/>
      <c r="V652" s="415"/>
      <c r="W652" s="415"/>
      <c r="X652" s="415"/>
      <c r="Y652" s="415"/>
      <c r="Z652" s="415"/>
      <c r="AA652" s="415"/>
    </row>
    <row r="653">
      <c r="A653" s="415"/>
      <c r="B653" s="415"/>
      <c r="C653" s="415"/>
      <c r="D653" s="415"/>
      <c r="E653" s="415"/>
      <c r="F653" s="415"/>
      <c r="G653" s="415"/>
      <c r="H653" s="415"/>
      <c r="I653" s="415"/>
      <c r="J653" s="415"/>
      <c r="K653" s="415"/>
      <c r="L653" s="415"/>
      <c r="M653" s="415"/>
      <c r="N653" s="415"/>
      <c r="O653" s="415"/>
      <c r="P653" s="415"/>
      <c r="Q653" s="415"/>
      <c r="R653" s="415"/>
      <c r="S653" s="415"/>
      <c r="T653" s="415"/>
      <c r="U653" s="415"/>
      <c r="V653" s="415"/>
      <c r="W653" s="415"/>
      <c r="X653" s="415"/>
      <c r="Y653" s="415"/>
      <c r="Z653" s="415"/>
      <c r="AA653" s="415"/>
    </row>
    <row r="654">
      <c r="A654" s="415"/>
      <c r="B654" s="415"/>
      <c r="C654" s="415"/>
      <c r="D654" s="415"/>
      <c r="E654" s="415"/>
      <c r="F654" s="415"/>
      <c r="G654" s="415"/>
      <c r="H654" s="415"/>
      <c r="I654" s="415"/>
      <c r="J654" s="415"/>
      <c r="K654" s="415"/>
      <c r="L654" s="415"/>
      <c r="M654" s="415"/>
      <c r="N654" s="415"/>
      <c r="O654" s="415"/>
      <c r="P654" s="415"/>
      <c r="Q654" s="415"/>
      <c r="R654" s="415"/>
      <c r="S654" s="415"/>
      <c r="T654" s="415"/>
      <c r="U654" s="415"/>
      <c r="V654" s="415"/>
      <c r="W654" s="415"/>
      <c r="X654" s="415"/>
      <c r="Y654" s="415"/>
      <c r="Z654" s="415"/>
      <c r="AA654" s="415"/>
    </row>
    <row r="655">
      <c r="A655" s="415"/>
      <c r="B655" s="415"/>
      <c r="C655" s="415"/>
      <c r="D655" s="415"/>
      <c r="E655" s="415"/>
      <c r="F655" s="415"/>
      <c r="G655" s="415"/>
      <c r="H655" s="415"/>
      <c r="I655" s="415"/>
      <c r="J655" s="415"/>
      <c r="K655" s="415"/>
      <c r="L655" s="415"/>
      <c r="M655" s="415"/>
      <c r="N655" s="415"/>
      <c r="O655" s="415"/>
      <c r="P655" s="415"/>
      <c r="Q655" s="415"/>
      <c r="R655" s="415"/>
      <c r="S655" s="415"/>
      <c r="T655" s="415"/>
      <c r="U655" s="415"/>
      <c r="V655" s="415"/>
      <c r="W655" s="415"/>
      <c r="X655" s="415"/>
      <c r="Y655" s="415"/>
      <c r="Z655" s="415"/>
      <c r="AA655" s="415"/>
    </row>
    <row r="656">
      <c r="A656" s="415"/>
      <c r="B656" s="415"/>
      <c r="C656" s="415"/>
      <c r="D656" s="415"/>
      <c r="E656" s="415"/>
      <c r="F656" s="415"/>
      <c r="G656" s="415"/>
      <c r="H656" s="415"/>
      <c r="I656" s="415"/>
      <c r="J656" s="415"/>
      <c r="K656" s="415"/>
      <c r="L656" s="415"/>
      <c r="M656" s="415"/>
      <c r="N656" s="415"/>
      <c r="O656" s="415"/>
      <c r="P656" s="415"/>
      <c r="Q656" s="415"/>
      <c r="R656" s="415"/>
      <c r="S656" s="415"/>
      <c r="T656" s="415"/>
      <c r="U656" s="415"/>
      <c r="V656" s="415"/>
      <c r="W656" s="415"/>
      <c r="X656" s="415"/>
      <c r="Y656" s="415"/>
      <c r="Z656" s="415"/>
      <c r="AA656" s="415"/>
    </row>
    <row r="657">
      <c r="A657" s="415"/>
      <c r="B657" s="415"/>
      <c r="C657" s="415"/>
      <c r="D657" s="415"/>
      <c r="E657" s="415"/>
      <c r="F657" s="415"/>
      <c r="G657" s="415"/>
      <c r="H657" s="415"/>
      <c r="I657" s="415"/>
      <c r="J657" s="415"/>
      <c r="K657" s="415"/>
      <c r="L657" s="415"/>
      <c r="M657" s="415"/>
      <c r="N657" s="415"/>
      <c r="O657" s="415"/>
      <c r="P657" s="415"/>
      <c r="Q657" s="415"/>
      <c r="R657" s="415"/>
      <c r="S657" s="415"/>
      <c r="T657" s="415"/>
      <c r="U657" s="415"/>
      <c r="V657" s="415"/>
      <c r="W657" s="415"/>
      <c r="X657" s="415"/>
      <c r="Y657" s="415"/>
      <c r="Z657" s="415"/>
      <c r="AA657" s="415"/>
    </row>
    <row r="658">
      <c r="A658" s="415"/>
      <c r="B658" s="415"/>
      <c r="C658" s="415"/>
      <c r="D658" s="415"/>
      <c r="E658" s="415"/>
      <c r="F658" s="415"/>
      <c r="G658" s="415"/>
      <c r="H658" s="415"/>
      <c r="I658" s="415"/>
      <c r="J658" s="415"/>
      <c r="K658" s="415"/>
      <c r="L658" s="415"/>
      <c r="M658" s="415"/>
      <c r="N658" s="415"/>
      <c r="O658" s="415"/>
      <c r="P658" s="415"/>
      <c r="Q658" s="415"/>
      <c r="R658" s="415"/>
      <c r="S658" s="415"/>
      <c r="T658" s="415"/>
      <c r="U658" s="415"/>
      <c r="V658" s="415"/>
      <c r="W658" s="415"/>
      <c r="X658" s="415"/>
      <c r="Y658" s="415"/>
      <c r="Z658" s="415"/>
      <c r="AA658" s="415"/>
    </row>
    <row r="659">
      <c r="A659" s="415"/>
      <c r="B659" s="415"/>
      <c r="C659" s="415"/>
      <c r="D659" s="415"/>
      <c r="E659" s="415"/>
      <c r="F659" s="415"/>
      <c r="G659" s="415"/>
      <c r="H659" s="415"/>
      <c r="I659" s="415"/>
      <c r="J659" s="415"/>
      <c r="K659" s="415"/>
      <c r="L659" s="415"/>
      <c r="M659" s="415"/>
      <c r="N659" s="415"/>
      <c r="O659" s="415"/>
      <c r="P659" s="415"/>
      <c r="Q659" s="415"/>
      <c r="R659" s="415"/>
      <c r="S659" s="415"/>
      <c r="T659" s="415"/>
      <c r="U659" s="415"/>
      <c r="V659" s="415"/>
      <c r="W659" s="415"/>
      <c r="X659" s="415"/>
      <c r="Y659" s="415"/>
      <c r="Z659" s="415"/>
      <c r="AA659" s="415"/>
    </row>
    <row r="660">
      <c r="A660" s="415"/>
      <c r="B660" s="415"/>
      <c r="C660" s="415"/>
      <c r="D660" s="415"/>
      <c r="E660" s="415"/>
      <c r="F660" s="415"/>
      <c r="G660" s="415"/>
      <c r="H660" s="415"/>
      <c r="I660" s="415"/>
      <c r="J660" s="415"/>
      <c r="K660" s="415"/>
      <c r="L660" s="415"/>
      <c r="M660" s="415"/>
      <c r="N660" s="415"/>
      <c r="O660" s="415"/>
      <c r="P660" s="415"/>
      <c r="Q660" s="415"/>
      <c r="R660" s="415"/>
      <c r="S660" s="415"/>
      <c r="T660" s="415"/>
      <c r="U660" s="415"/>
      <c r="V660" s="415"/>
      <c r="W660" s="415"/>
      <c r="X660" s="415"/>
      <c r="Y660" s="415"/>
      <c r="Z660" s="415"/>
      <c r="AA660" s="415"/>
    </row>
    <row r="661">
      <c r="A661" s="415"/>
      <c r="B661" s="415"/>
      <c r="C661" s="415"/>
      <c r="D661" s="415"/>
      <c r="E661" s="415"/>
      <c r="F661" s="415"/>
      <c r="G661" s="415"/>
      <c r="H661" s="415"/>
      <c r="I661" s="415"/>
      <c r="J661" s="415"/>
      <c r="K661" s="415"/>
      <c r="L661" s="415"/>
      <c r="M661" s="415"/>
      <c r="N661" s="415"/>
      <c r="O661" s="415"/>
      <c r="P661" s="415"/>
      <c r="Q661" s="415"/>
      <c r="R661" s="415"/>
      <c r="S661" s="415"/>
      <c r="T661" s="415"/>
      <c r="U661" s="415"/>
      <c r="V661" s="415"/>
      <c r="W661" s="415"/>
      <c r="X661" s="415"/>
      <c r="Y661" s="415"/>
      <c r="Z661" s="415"/>
      <c r="AA661" s="415"/>
    </row>
    <row r="662">
      <c r="A662" s="415"/>
      <c r="B662" s="415"/>
      <c r="C662" s="415"/>
      <c r="D662" s="415"/>
      <c r="E662" s="415"/>
      <c r="F662" s="415"/>
      <c r="G662" s="415"/>
      <c r="H662" s="415"/>
      <c r="I662" s="415"/>
      <c r="J662" s="415"/>
      <c r="K662" s="415"/>
      <c r="L662" s="415"/>
      <c r="M662" s="415"/>
      <c r="N662" s="415"/>
      <c r="O662" s="415"/>
      <c r="P662" s="415"/>
      <c r="Q662" s="415"/>
      <c r="R662" s="415"/>
      <c r="S662" s="415"/>
      <c r="T662" s="415"/>
      <c r="U662" s="415"/>
      <c r="V662" s="415"/>
      <c r="W662" s="415"/>
      <c r="X662" s="415"/>
      <c r="Y662" s="415"/>
      <c r="Z662" s="415"/>
      <c r="AA662" s="415"/>
    </row>
    <row r="663">
      <c r="A663" s="415"/>
      <c r="B663" s="415"/>
      <c r="C663" s="415"/>
      <c r="D663" s="415"/>
      <c r="E663" s="415"/>
      <c r="F663" s="415"/>
      <c r="G663" s="415"/>
      <c r="H663" s="415"/>
      <c r="I663" s="415"/>
      <c r="J663" s="415"/>
      <c r="K663" s="415"/>
      <c r="L663" s="415"/>
      <c r="M663" s="415"/>
      <c r="N663" s="415"/>
      <c r="O663" s="415"/>
      <c r="P663" s="415"/>
      <c r="Q663" s="415"/>
      <c r="R663" s="415"/>
      <c r="S663" s="415"/>
      <c r="T663" s="415"/>
      <c r="U663" s="415"/>
      <c r="V663" s="415"/>
      <c r="W663" s="415"/>
      <c r="X663" s="415"/>
      <c r="Y663" s="415"/>
      <c r="Z663" s="415"/>
      <c r="AA663" s="415"/>
    </row>
    <row r="664">
      <c r="A664" s="415"/>
      <c r="B664" s="415"/>
      <c r="C664" s="415"/>
      <c r="D664" s="415"/>
      <c r="E664" s="415"/>
      <c r="F664" s="415"/>
      <c r="G664" s="415"/>
      <c r="H664" s="415"/>
      <c r="I664" s="415"/>
      <c r="J664" s="415"/>
      <c r="K664" s="415"/>
      <c r="L664" s="415"/>
      <c r="M664" s="415"/>
      <c r="N664" s="415"/>
      <c r="O664" s="415"/>
      <c r="P664" s="415"/>
      <c r="Q664" s="415"/>
      <c r="R664" s="415"/>
      <c r="S664" s="415"/>
      <c r="T664" s="415"/>
      <c r="U664" s="415"/>
      <c r="V664" s="415"/>
      <c r="W664" s="415"/>
      <c r="X664" s="415"/>
      <c r="Y664" s="415"/>
      <c r="Z664" s="415"/>
      <c r="AA664" s="415"/>
    </row>
    <row r="665">
      <c r="A665" s="415"/>
      <c r="B665" s="415"/>
      <c r="C665" s="415"/>
      <c r="D665" s="415"/>
      <c r="E665" s="415"/>
      <c r="F665" s="415"/>
      <c r="G665" s="415"/>
      <c r="H665" s="415"/>
      <c r="I665" s="415"/>
      <c r="J665" s="415"/>
      <c r="K665" s="415"/>
      <c r="L665" s="415"/>
      <c r="M665" s="415"/>
      <c r="N665" s="415"/>
      <c r="O665" s="415"/>
      <c r="P665" s="415"/>
      <c r="Q665" s="415"/>
      <c r="R665" s="415"/>
      <c r="S665" s="415"/>
      <c r="T665" s="415"/>
      <c r="U665" s="415"/>
      <c r="V665" s="415"/>
      <c r="W665" s="415"/>
      <c r="X665" s="415"/>
      <c r="Y665" s="415"/>
      <c r="Z665" s="415"/>
      <c r="AA665" s="415"/>
    </row>
    <row r="666">
      <c r="A666" s="415"/>
      <c r="B666" s="415"/>
      <c r="C666" s="415"/>
      <c r="D666" s="415"/>
      <c r="E666" s="415"/>
      <c r="F666" s="415"/>
      <c r="G666" s="415"/>
      <c r="H666" s="415"/>
      <c r="I666" s="415"/>
      <c r="J666" s="415"/>
      <c r="K666" s="415"/>
      <c r="L666" s="415"/>
      <c r="M666" s="415"/>
      <c r="N666" s="415"/>
      <c r="O666" s="415"/>
      <c r="P666" s="415"/>
      <c r="Q666" s="415"/>
      <c r="R666" s="415"/>
      <c r="S666" s="415"/>
      <c r="T666" s="415"/>
      <c r="U666" s="415"/>
      <c r="V666" s="415"/>
      <c r="W666" s="415"/>
      <c r="X666" s="415"/>
      <c r="Y666" s="415"/>
      <c r="Z666" s="415"/>
      <c r="AA666" s="415"/>
    </row>
    <row r="667">
      <c r="A667" s="415"/>
      <c r="B667" s="415"/>
      <c r="C667" s="415"/>
      <c r="D667" s="415"/>
      <c r="E667" s="415"/>
      <c r="F667" s="415"/>
      <c r="G667" s="415"/>
      <c r="H667" s="415"/>
      <c r="I667" s="415"/>
      <c r="J667" s="415"/>
      <c r="K667" s="415"/>
      <c r="L667" s="415"/>
      <c r="M667" s="415"/>
      <c r="N667" s="415"/>
      <c r="O667" s="415"/>
      <c r="P667" s="415"/>
      <c r="Q667" s="415"/>
      <c r="R667" s="415"/>
      <c r="S667" s="415"/>
      <c r="T667" s="415"/>
      <c r="U667" s="415"/>
      <c r="V667" s="415"/>
      <c r="W667" s="415"/>
      <c r="X667" s="415"/>
      <c r="Y667" s="415"/>
      <c r="Z667" s="415"/>
      <c r="AA667" s="415"/>
    </row>
    <row r="668">
      <c r="A668" s="415"/>
      <c r="B668" s="415"/>
      <c r="C668" s="415"/>
      <c r="D668" s="415"/>
      <c r="E668" s="415"/>
      <c r="F668" s="415"/>
      <c r="G668" s="415"/>
      <c r="H668" s="415"/>
      <c r="I668" s="415"/>
      <c r="J668" s="415"/>
      <c r="K668" s="415"/>
      <c r="L668" s="415"/>
      <c r="M668" s="415"/>
      <c r="N668" s="415"/>
      <c r="O668" s="415"/>
      <c r="P668" s="415"/>
      <c r="Q668" s="415"/>
      <c r="R668" s="415"/>
      <c r="S668" s="415"/>
      <c r="T668" s="415"/>
      <c r="U668" s="415"/>
      <c r="V668" s="415"/>
      <c r="W668" s="415"/>
      <c r="X668" s="415"/>
      <c r="Y668" s="415"/>
      <c r="Z668" s="415"/>
      <c r="AA668" s="415"/>
    </row>
    <row r="669">
      <c r="A669" s="415"/>
      <c r="B669" s="415"/>
      <c r="C669" s="415"/>
      <c r="D669" s="415"/>
      <c r="E669" s="415"/>
      <c r="F669" s="415"/>
      <c r="G669" s="415"/>
      <c r="H669" s="415"/>
      <c r="I669" s="415"/>
      <c r="J669" s="415"/>
      <c r="K669" s="415"/>
      <c r="L669" s="415"/>
      <c r="M669" s="415"/>
      <c r="N669" s="415"/>
      <c r="O669" s="415"/>
      <c r="P669" s="415"/>
      <c r="Q669" s="415"/>
      <c r="R669" s="415"/>
      <c r="S669" s="415"/>
      <c r="T669" s="415"/>
      <c r="U669" s="415"/>
      <c r="V669" s="415"/>
      <c r="W669" s="415"/>
      <c r="X669" s="415"/>
      <c r="Y669" s="415"/>
      <c r="Z669" s="415"/>
      <c r="AA669" s="415"/>
    </row>
    <row r="670">
      <c r="A670" s="415"/>
      <c r="B670" s="415"/>
      <c r="C670" s="415"/>
      <c r="D670" s="415"/>
      <c r="E670" s="415"/>
      <c r="F670" s="415"/>
      <c r="G670" s="415"/>
      <c r="H670" s="415"/>
      <c r="I670" s="415"/>
      <c r="J670" s="415"/>
      <c r="K670" s="415"/>
      <c r="L670" s="415"/>
      <c r="M670" s="415"/>
      <c r="N670" s="415"/>
      <c r="O670" s="415"/>
      <c r="P670" s="415"/>
      <c r="Q670" s="415"/>
      <c r="R670" s="415"/>
      <c r="S670" s="415"/>
      <c r="T670" s="415"/>
      <c r="U670" s="415"/>
      <c r="V670" s="415"/>
      <c r="W670" s="415"/>
      <c r="X670" s="415"/>
      <c r="Y670" s="415"/>
      <c r="Z670" s="415"/>
      <c r="AA670" s="415"/>
    </row>
    <row r="671">
      <c r="A671" s="415"/>
      <c r="B671" s="415"/>
      <c r="C671" s="415"/>
      <c r="D671" s="415"/>
      <c r="E671" s="415"/>
      <c r="F671" s="415"/>
      <c r="G671" s="415"/>
      <c r="H671" s="415"/>
      <c r="I671" s="415"/>
      <c r="J671" s="415"/>
      <c r="K671" s="415"/>
      <c r="L671" s="415"/>
      <c r="M671" s="415"/>
      <c r="N671" s="415"/>
      <c r="O671" s="415"/>
      <c r="P671" s="415"/>
      <c r="Q671" s="415"/>
      <c r="R671" s="415"/>
      <c r="S671" s="415"/>
      <c r="T671" s="415"/>
      <c r="U671" s="415"/>
      <c r="V671" s="415"/>
      <c r="W671" s="415"/>
      <c r="X671" s="415"/>
      <c r="Y671" s="415"/>
      <c r="Z671" s="415"/>
      <c r="AA671" s="415"/>
    </row>
    <row r="672">
      <c r="A672" s="415"/>
      <c r="B672" s="415"/>
      <c r="C672" s="415"/>
      <c r="D672" s="415"/>
      <c r="E672" s="415"/>
      <c r="F672" s="415"/>
      <c r="G672" s="415"/>
      <c r="H672" s="415"/>
      <c r="I672" s="415"/>
      <c r="J672" s="415"/>
      <c r="K672" s="415"/>
      <c r="L672" s="415"/>
      <c r="M672" s="415"/>
      <c r="N672" s="415"/>
      <c r="O672" s="415"/>
      <c r="P672" s="415"/>
      <c r="Q672" s="415"/>
      <c r="R672" s="415"/>
      <c r="S672" s="415"/>
      <c r="T672" s="415"/>
      <c r="U672" s="415"/>
      <c r="V672" s="415"/>
      <c r="W672" s="415"/>
      <c r="X672" s="415"/>
      <c r="Y672" s="415"/>
      <c r="Z672" s="415"/>
      <c r="AA672" s="415"/>
    </row>
    <row r="673">
      <c r="A673" s="415"/>
      <c r="B673" s="415"/>
      <c r="C673" s="415"/>
      <c r="D673" s="415"/>
      <c r="E673" s="415"/>
      <c r="F673" s="415"/>
      <c r="G673" s="415"/>
      <c r="H673" s="415"/>
      <c r="I673" s="415"/>
      <c r="J673" s="415"/>
      <c r="K673" s="415"/>
      <c r="L673" s="415"/>
      <c r="M673" s="415"/>
      <c r="N673" s="415"/>
      <c r="O673" s="415"/>
      <c r="P673" s="415"/>
      <c r="Q673" s="415"/>
      <c r="R673" s="415"/>
      <c r="S673" s="415"/>
      <c r="T673" s="415"/>
      <c r="U673" s="415"/>
      <c r="V673" s="415"/>
      <c r="W673" s="415"/>
      <c r="X673" s="415"/>
      <c r="Y673" s="415"/>
      <c r="Z673" s="415"/>
      <c r="AA673" s="415"/>
    </row>
    <row r="674">
      <c r="A674" s="415"/>
      <c r="B674" s="415"/>
      <c r="C674" s="415"/>
      <c r="D674" s="415"/>
      <c r="E674" s="415"/>
      <c r="F674" s="415"/>
      <c r="G674" s="415"/>
      <c r="H674" s="415"/>
      <c r="I674" s="415"/>
      <c r="J674" s="415"/>
      <c r="K674" s="415"/>
      <c r="L674" s="415"/>
      <c r="M674" s="415"/>
      <c r="N674" s="415"/>
      <c r="O674" s="415"/>
      <c r="P674" s="415"/>
      <c r="Q674" s="415"/>
      <c r="R674" s="415"/>
      <c r="S674" s="415"/>
      <c r="T674" s="415"/>
      <c r="U674" s="415"/>
      <c r="V674" s="415"/>
      <c r="W674" s="415"/>
      <c r="X674" s="415"/>
      <c r="Y674" s="415"/>
      <c r="Z674" s="415"/>
      <c r="AA674" s="415"/>
    </row>
    <row r="675">
      <c r="A675" s="415"/>
      <c r="B675" s="415"/>
      <c r="C675" s="415"/>
      <c r="D675" s="415"/>
      <c r="E675" s="415"/>
      <c r="F675" s="415"/>
      <c r="G675" s="415"/>
      <c r="H675" s="415"/>
      <c r="I675" s="415"/>
      <c r="J675" s="415"/>
      <c r="K675" s="415"/>
      <c r="L675" s="415"/>
      <c r="M675" s="415"/>
      <c r="N675" s="415"/>
      <c r="O675" s="415"/>
      <c r="P675" s="415"/>
      <c r="Q675" s="415"/>
      <c r="R675" s="415"/>
      <c r="S675" s="415"/>
      <c r="T675" s="415"/>
      <c r="U675" s="415"/>
      <c r="V675" s="415"/>
      <c r="W675" s="415"/>
      <c r="X675" s="415"/>
      <c r="Y675" s="415"/>
      <c r="Z675" s="415"/>
      <c r="AA675" s="415"/>
    </row>
    <row r="676">
      <c r="A676" s="415"/>
      <c r="B676" s="415"/>
      <c r="C676" s="415"/>
      <c r="D676" s="415"/>
      <c r="E676" s="415"/>
      <c r="F676" s="415"/>
      <c r="G676" s="415"/>
      <c r="H676" s="415"/>
      <c r="I676" s="415"/>
      <c r="J676" s="415"/>
      <c r="K676" s="415"/>
      <c r="L676" s="415"/>
      <c r="M676" s="415"/>
      <c r="N676" s="415"/>
      <c r="O676" s="415"/>
      <c r="P676" s="415"/>
      <c r="Q676" s="415"/>
      <c r="R676" s="415"/>
      <c r="S676" s="415"/>
      <c r="T676" s="415"/>
      <c r="U676" s="415"/>
      <c r="V676" s="415"/>
      <c r="W676" s="415"/>
      <c r="X676" s="415"/>
      <c r="Y676" s="415"/>
      <c r="Z676" s="415"/>
      <c r="AA676" s="415"/>
    </row>
    <row r="677">
      <c r="A677" s="415"/>
      <c r="B677" s="415"/>
      <c r="C677" s="415"/>
      <c r="D677" s="415"/>
      <c r="E677" s="415"/>
      <c r="F677" s="415"/>
      <c r="G677" s="415"/>
      <c r="H677" s="415"/>
      <c r="I677" s="415"/>
      <c r="J677" s="415"/>
      <c r="K677" s="415"/>
      <c r="L677" s="415"/>
      <c r="M677" s="415"/>
      <c r="N677" s="415"/>
      <c r="O677" s="415"/>
      <c r="P677" s="415"/>
      <c r="Q677" s="415"/>
      <c r="R677" s="415"/>
      <c r="S677" s="415"/>
      <c r="T677" s="415"/>
      <c r="U677" s="415"/>
      <c r="V677" s="415"/>
      <c r="W677" s="415"/>
      <c r="X677" s="415"/>
      <c r="Y677" s="415"/>
      <c r="Z677" s="415"/>
      <c r="AA677" s="415"/>
    </row>
    <row r="678">
      <c r="A678" s="415"/>
      <c r="B678" s="415"/>
      <c r="C678" s="415"/>
      <c r="D678" s="415"/>
      <c r="E678" s="415"/>
      <c r="F678" s="415"/>
      <c r="G678" s="415"/>
      <c r="H678" s="415"/>
      <c r="I678" s="415"/>
      <c r="J678" s="415"/>
      <c r="K678" s="415"/>
      <c r="L678" s="415"/>
      <c r="M678" s="415"/>
      <c r="N678" s="415"/>
      <c r="O678" s="415"/>
      <c r="P678" s="415"/>
      <c r="Q678" s="415"/>
      <c r="R678" s="415"/>
      <c r="S678" s="415"/>
      <c r="T678" s="415"/>
      <c r="U678" s="415"/>
      <c r="V678" s="415"/>
      <c r="W678" s="415"/>
      <c r="X678" s="415"/>
      <c r="Y678" s="415"/>
      <c r="Z678" s="415"/>
      <c r="AA678" s="415"/>
    </row>
    <row r="679">
      <c r="A679" s="415"/>
      <c r="B679" s="415"/>
      <c r="C679" s="415"/>
      <c r="D679" s="415"/>
      <c r="E679" s="415"/>
      <c r="F679" s="415"/>
      <c r="G679" s="415"/>
      <c r="H679" s="415"/>
      <c r="I679" s="415"/>
      <c r="J679" s="415"/>
      <c r="K679" s="415"/>
      <c r="L679" s="415"/>
      <c r="M679" s="415"/>
      <c r="N679" s="415"/>
      <c r="O679" s="415"/>
      <c r="P679" s="415"/>
      <c r="Q679" s="415"/>
      <c r="R679" s="415"/>
      <c r="S679" s="415"/>
      <c r="T679" s="415"/>
      <c r="U679" s="415"/>
      <c r="V679" s="415"/>
      <c r="W679" s="415"/>
      <c r="X679" s="415"/>
      <c r="Y679" s="415"/>
      <c r="Z679" s="415"/>
      <c r="AA679" s="415"/>
    </row>
    <row r="680">
      <c r="A680" s="415"/>
      <c r="B680" s="415"/>
      <c r="C680" s="415"/>
      <c r="D680" s="415"/>
      <c r="E680" s="415"/>
      <c r="F680" s="415"/>
      <c r="G680" s="415"/>
      <c r="H680" s="415"/>
      <c r="I680" s="415"/>
      <c r="J680" s="415"/>
      <c r="K680" s="415"/>
      <c r="L680" s="415"/>
      <c r="M680" s="415"/>
      <c r="N680" s="415"/>
      <c r="O680" s="415"/>
      <c r="P680" s="415"/>
      <c r="Q680" s="415"/>
      <c r="R680" s="415"/>
      <c r="S680" s="415"/>
      <c r="T680" s="415"/>
      <c r="U680" s="415"/>
      <c r="V680" s="415"/>
      <c r="W680" s="415"/>
      <c r="X680" s="415"/>
      <c r="Y680" s="415"/>
      <c r="Z680" s="415"/>
      <c r="AA680" s="415"/>
    </row>
    <row r="681">
      <c r="A681" s="415"/>
      <c r="B681" s="415"/>
      <c r="C681" s="415"/>
      <c r="D681" s="415"/>
      <c r="E681" s="415"/>
      <c r="F681" s="415"/>
      <c r="G681" s="415"/>
      <c r="H681" s="415"/>
      <c r="I681" s="415"/>
      <c r="J681" s="415"/>
      <c r="K681" s="415"/>
      <c r="L681" s="415"/>
      <c r="M681" s="415"/>
      <c r="N681" s="415"/>
      <c r="O681" s="415"/>
      <c r="P681" s="415"/>
      <c r="Q681" s="415"/>
      <c r="R681" s="415"/>
      <c r="S681" s="415"/>
      <c r="T681" s="415"/>
      <c r="U681" s="415"/>
      <c r="V681" s="415"/>
      <c r="W681" s="415"/>
      <c r="X681" s="415"/>
      <c r="Y681" s="415"/>
      <c r="Z681" s="415"/>
      <c r="AA681" s="415"/>
    </row>
    <row r="682">
      <c r="A682" s="415"/>
      <c r="B682" s="415"/>
      <c r="C682" s="415"/>
      <c r="D682" s="415"/>
      <c r="E682" s="415"/>
      <c r="F682" s="415"/>
      <c r="G682" s="415"/>
      <c r="H682" s="415"/>
      <c r="I682" s="415"/>
      <c r="J682" s="415"/>
      <c r="K682" s="415"/>
      <c r="L682" s="415"/>
      <c r="M682" s="415"/>
      <c r="N682" s="415"/>
      <c r="O682" s="415"/>
      <c r="P682" s="415"/>
      <c r="Q682" s="415"/>
      <c r="R682" s="415"/>
      <c r="S682" s="415"/>
      <c r="T682" s="415"/>
      <c r="U682" s="415"/>
      <c r="V682" s="415"/>
      <c r="W682" s="415"/>
      <c r="X682" s="415"/>
      <c r="Y682" s="415"/>
      <c r="Z682" s="415"/>
      <c r="AA682" s="415"/>
    </row>
    <row r="683">
      <c r="A683" s="415"/>
      <c r="B683" s="415"/>
      <c r="C683" s="415"/>
      <c r="D683" s="415"/>
      <c r="E683" s="415"/>
      <c r="F683" s="415"/>
      <c r="G683" s="415"/>
      <c r="H683" s="415"/>
      <c r="I683" s="415"/>
      <c r="J683" s="415"/>
      <c r="K683" s="415"/>
      <c r="L683" s="415"/>
      <c r="M683" s="415"/>
      <c r="N683" s="415"/>
      <c r="O683" s="415"/>
      <c r="P683" s="415"/>
      <c r="Q683" s="415"/>
      <c r="R683" s="415"/>
      <c r="S683" s="415"/>
      <c r="T683" s="415"/>
      <c r="U683" s="415"/>
      <c r="V683" s="415"/>
      <c r="W683" s="415"/>
      <c r="X683" s="415"/>
      <c r="Y683" s="415"/>
      <c r="Z683" s="415"/>
      <c r="AA683" s="415"/>
    </row>
    <row r="684">
      <c r="A684" s="415"/>
      <c r="B684" s="415"/>
      <c r="C684" s="415"/>
      <c r="D684" s="415"/>
      <c r="E684" s="415"/>
      <c r="F684" s="415"/>
      <c r="G684" s="415"/>
      <c r="H684" s="415"/>
      <c r="I684" s="415"/>
      <c r="J684" s="415"/>
      <c r="K684" s="415"/>
      <c r="L684" s="415"/>
      <c r="M684" s="415"/>
      <c r="N684" s="415"/>
      <c r="O684" s="415"/>
      <c r="P684" s="415"/>
      <c r="Q684" s="415"/>
      <c r="R684" s="415"/>
      <c r="S684" s="415"/>
      <c r="T684" s="415"/>
      <c r="U684" s="415"/>
      <c r="V684" s="415"/>
      <c r="W684" s="415"/>
      <c r="X684" s="415"/>
      <c r="Y684" s="415"/>
      <c r="Z684" s="415"/>
      <c r="AA684" s="415"/>
    </row>
    <row r="685">
      <c r="A685" s="415"/>
      <c r="B685" s="415"/>
      <c r="C685" s="415"/>
      <c r="D685" s="415"/>
      <c r="E685" s="415"/>
      <c r="F685" s="415"/>
      <c r="G685" s="415"/>
      <c r="H685" s="415"/>
      <c r="I685" s="415"/>
      <c r="J685" s="415"/>
      <c r="K685" s="415"/>
      <c r="L685" s="415"/>
      <c r="M685" s="415"/>
      <c r="N685" s="415"/>
      <c r="O685" s="415"/>
      <c r="P685" s="415"/>
      <c r="Q685" s="415"/>
      <c r="R685" s="415"/>
      <c r="S685" s="415"/>
      <c r="T685" s="415"/>
      <c r="U685" s="415"/>
      <c r="V685" s="415"/>
      <c r="W685" s="415"/>
      <c r="X685" s="415"/>
      <c r="Y685" s="415"/>
      <c r="Z685" s="415"/>
      <c r="AA685" s="415"/>
    </row>
    <row r="686">
      <c r="A686" s="415"/>
      <c r="B686" s="415"/>
      <c r="C686" s="415"/>
      <c r="D686" s="415"/>
      <c r="E686" s="415"/>
      <c r="F686" s="415"/>
      <c r="G686" s="415"/>
      <c r="H686" s="415"/>
      <c r="I686" s="415"/>
      <c r="J686" s="415"/>
      <c r="K686" s="415"/>
      <c r="L686" s="415"/>
      <c r="M686" s="415"/>
      <c r="N686" s="415"/>
      <c r="O686" s="415"/>
      <c r="P686" s="415"/>
      <c r="Q686" s="415"/>
      <c r="R686" s="415"/>
      <c r="S686" s="415"/>
      <c r="T686" s="415"/>
      <c r="U686" s="415"/>
      <c r="V686" s="415"/>
      <c r="W686" s="415"/>
      <c r="X686" s="415"/>
      <c r="Y686" s="415"/>
      <c r="Z686" s="415"/>
      <c r="AA686" s="415"/>
    </row>
    <row r="687">
      <c r="A687" s="415"/>
      <c r="B687" s="415"/>
      <c r="C687" s="415"/>
      <c r="D687" s="415"/>
      <c r="E687" s="415"/>
      <c r="F687" s="415"/>
      <c r="G687" s="415"/>
      <c r="H687" s="415"/>
      <c r="I687" s="415"/>
      <c r="J687" s="415"/>
      <c r="K687" s="415"/>
      <c r="L687" s="415"/>
      <c r="M687" s="415"/>
      <c r="N687" s="415"/>
      <c r="O687" s="415"/>
      <c r="P687" s="415"/>
      <c r="Q687" s="415"/>
      <c r="R687" s="415"/>
      <c r="S687" s="415"/>
      <c r="T687" s="415"/>
      <c r="U687" s="415"/>
      <c r="V687" s="415"/>
      <c r="W687" s="415"/>
      <c r="X687" s="415"/>
      <c r="Y687" s="415"/>
      <c r="Z687" s="415"/>
      <c r="AA687" s="415"/>
    </row>
    <row r="688">
      <c r="A688" s="415"/>
      <c r="B688" s="415"/>
      <c r="C688" s="415"/>
      <c r="D688" s="415"/>
      <c r="E688" s="415"/>
      <c r="F688" s="415"/>
      <c r="G688" s="415"/>
      <c r="H688" s="415"/>
      <c r="I688" s="415"/>
      <c r="J688" s="415"/>
      <c r="K688" s="415"/>
      <c r="L688" s="415"/>
      <c r="M688" s="415"/>
      <c r="N688" s="415"/>
      <c r="O688" s="415"/>
      <c r="P688" s="415"/>
      <c r="Q688" s="415"/>
      <c r="R688" s="415"/>
      <c r="S688" s="415"/>
      <c r="T688" s="415"/>
      <c r="U688" s="415"/>
      <c r="V688" s="415"/>
      <c r="W688" s="415"/>
      <c r="X688" s="415"/>
      <c r="Y688" s="415"/>
      <c r="Z688" s="415"/>
      <c r="AA688" s="415"/>
    </row>
    <row r="689">
      <c r="A689" s="415"/>
      <c r="B689" s="415"/>
      <c r="C689" s="415"/>
      <c r="D689" s="415"/>
      <c r="E689" s="415"/>
      <c r="F689" s="415"/>
      <c r="G689" s="415"/>
      <c r="H689" s="415"/>
      <c r="I689" s="415"/>
      <c r="J689" s="415"/>
      <c r="K689" s="415"/>
      <c r="L689" s="415"/>
      <c r="M689" s="415"/>
      <c r="N689" s="415"/>
      <c r="O689" s="415"/>
      <c r="P689" s="415"/>
      <c r="Q689" s="415"/>
      <c r="R689" s="415"/>
      <c r="S689" s="415"/>
      <c r="T689" s="415"/>
      <c r="U689" s="415"/>
      <c r="V689" s="415"/>
      <c r="W689" s="415"/>
      <c r="X689" s="415"/>
      <c r="Y689" s="415"/>
      <c r="Z689" s="415"/>
      <c r="AA689" s="415"/>
    </row>
    <row r="690">
      <c r="A690" s="415"/>
      <c r="B690" s="415"/>
      <c r="C690" s="415"/>
      <c r="D690" s="415"/>
      <c r="E690" s="415"/>
      <c r="F690" s="415"/>
      <c r="G690" s="415"/>
      <c r="H690" s="415"/>
      <c r="I690" s="415"/>
      <c r="J690" s="415"/>
      <c r="K690" s="415"/>
      <c r="L690" s="415"/>
      <c r="M690" s="415"/>
      <c r="N690" s="415"/>
      <c r="O690" s="415"/>
      <c r="P690" s="415"/>
      <c r="Q690" s="415"/>
      <c r="R690" s="415"/>
      <c r="S690" s="415"/>
      <c r="T690" s="415"/>
      <c r="U690" s="415"/>
      <c r="V690" s="415"/>
      <c r="W690" s="415"/>
      <c r="X690" s="415"/>
      <c r="Y690" s="415"/>
      <c r="Z690" s="415"/>
      <c r="AA690" s="415"/>
    </row>
    <row r="691">
      <c r="A691" s="415"/>
      <c r="B691" s="415"/>
      <c r="C691" s="415"/>
      <c r="D691" s="415"/>
      <c r="E691" s="415"/>
      <c r="F691" s="415"/>
      <c r="G691" s="415"/>
      <c r="H691" s="415"/>
      <c r="I691" s="415"/>
      <c r="J691" s="415"/>
      <c r="K691" s="415"/>
      <c r="L691" s="415"/>
      <c r="M691" s="415"/>
      <c r="N691" s="415"/>
      <c r="O691" s="415"/>
      <c r="P691" s="415"/>
      <c r="Q691" s="415"/>
      <c r="R691" s="415"/>
      <c r="S691" s="415"/>
      <c r="T691" s="415"/>
      <c r="U691" s="415"/>
      <c r="V691" s="415"/>
      <c r="W691" s="415"/>
      <c r="X691" s="415"/>
      <c r="Y691" s="415"/>
      <c r="Z691" s="415"/>
      <c r="AA691" s="415"/>
    </row>
    <row r="692">
      <c r="A692" s="415"/>
      <c r="B692" s="415"/>
      <c r="C692" s="415"/>
      <c r="D692" s="415"/>
      <c r="E692" s="415"/>
      <c r="F692" s="415"/>
      <c r="G692" s="415"/>
      <c r="H692" s="415"/>
      <c r="I692" s="415"/>
      <c r="J692" s="415"/>
      <c r="K692" s="415"/>
      <c r="L692" s="415"/>
      <c r="M692" s="415"/>
      <c r="N692" s="415"/>
      <c r="O692" s="415"/>
      <c r="P692" s="415"/>
      <c r="Q692" s="415"/>
      <c r="R692" s="415"/>
      <c r="S692" s="415"/>
      <c r="T692" s="415"/>
      <c r="U692" s="415"/>
      <c r="V692" s="415"/>
      <c r="W692" s="415"/>
      <c r="X692" s="415"/>
      <c r="Y692" s="415"/>
      <c r="Z692" s="415"/>
      <c r="AA692" s="415"/>
    </row>
    <row r="693">
      <c r="A693" s="415"/>
      <c r="B693" s="415"/>
      <c r="C693" s="415"/>
      <c r="D693" s="415"/>
      <c r="E693" s="415"/>
      <c r="F693" s="415"/>
      <c r="G693" s="415"/>
      <c r="H693" s="415"/>
      <c r="I693" s="415"/>
      <c r="J693" s="415"/>
      <c r="K693" s="415"/>
      <c r="L693" s="415"/>
      <c r="M693" s="415"/>
      <c r="N693" s="415"/>
      <c r="O693" s="415"/>
      <c r="P693" s="415"/>
      <c r="Q693" s="415"/>
      <c r="R693" s="415"/>
      <c r="S693" s="415"/>
      <c r="T693" s="415"/>
      <c r="U693" s="415"/>
      <c r="V693" s="415"/>
      <c r="W693" s="415"/>
      <c r="X693" s="415"/>
      <c r="Y693" s="415"/>
      <c r="Z693" s="415"/>
      <c r="AA693" s="415"/>
    </row>
    <row r="694">
      <c r="A694" s="415"/>
      <c r="B694" s="415"/>
      <c r="C694" s="415"/>
      <c r="D694" s="415"/>
      <c r="E694" s="415"/>
      <c r="F694" s="415"/>
      <c r="G694" s="415"/>
      <c r="H694" s="415"/>
      <c r="I694" s="415"/>
      <c r="J694" s="415"/>
      <c r="K694" s="415"/>
      <c r="L694" s="415"/>
      <c r="M694" s="415"/>
      <c r="N694" s="415"/>
      <c r="O694" s="415"/>
      <c r="P694" s="415"/>
      <c r="Q694" s="415"/>
      <c r="R694" s="415"/>
      <c r="S694" s="415"/>
      <c r="T694" s="415"/>
      <c r="U694" s="415"/>
      <c r="V694" s="415"/>
      <c r="W694" s="415"/>
      <c r="X694" s="415"/>
      <c r="Y694" s="415"/>
      <c r="Z694" s="415"/>
      <c r="AA694" s="415"/>
    </row>
    <row r="695">
      <c r="A695" s="415"/>
      <c r="B695" s="415"/>
      <c r="C695" s="415"/>
      <c r="D695" s="415"/>
      <c r="E695" s="415"/>
      <c r="F695" s="415"/>
      <c r="G695" s="415"/>
      <c r="H695" s="415"/>
      <c r="I695" s="415"/>
      <c r="J695" s="415"/>
      <c r="K695" s="415"/>
      <c r="L695" s="415"/>
      <c r="M695" s="415"/>
      <c r="N695" s="415"/>
      <c r="O695" s="415"/>
      <c r="P695" s="415"/>
      <c r="Q695" s="415"/>
      <c r="R695" s="415"/>
      <c r="S695" s="415"/>
      <c r="T695" s="415"/>
      <c r="U695" s="415"/>
      <c r="V695" s="415"/>
      <c r="W695" s="415"/>
      <c r="X695" s="415"/>
      <c r="Y695" s="415"/>
      <c r="Z695" s="415"/>
      <c r="AA695" s="415"/>
    </row>
    <row r="696">
      <c r="A696" s="415"/>
      <c r="B696" s="415"/>
      <c r="C696" s="415"/>
      <c r="D696" s="415"/>
      <c r="E696" s="415"/>
      <c r="F696" s="415"/>
      <c r="G696" s="415"/>
      <c r="H696" s="415"/>
      <c r="I696" s="415"/>
      <c r="J696" s="415"/>
      <c r="K696" s="415"/>
      <c r="L696" s="415"/>
      <c r="M696" s="415"/>
      <c r="N696" s="415"/>
      <c r="O696" s="415"/>
      <c r="P696" s="415"/>
      <c r="Q696" s="415"/>
      <c r="R696" s="415"/>
      <c r="S696" s="415"/>
      <c r="T696" s="415"/>
      <c r="U696" s="415"/>
      <c r="V696" s="415"/>
      <c r="W696" s="415"/>
      <c r="X696" s="415"/>
      <c r="Y696" s="415"/>
      <c r="Z696" s="415"/>
      <c r="AA696" s="415"/>
    </row>
    <row r="697">
      <c r="A697" s="415"/>
      <c r="B697" s="415"/>
      <c r="C697" s="415"/>
      <c r="D697" s="415"/>
      <c r="E697" s="415"/>
      <c r="F697" s="415"/>
      <c r="G697" s="415"/>
      <c r="H697" s="415"/>
      <c r="I697" s="415"/>
      <c r="J697" s="415"/>
      <c r="K697" s="415"/>
      <c r="L697" s="415"/>
      <c r="M697" s="415"/>
      <c r="N697" s="415"/>
      <c r="O697" s="415"/>
      <c r="P697" s="415"/>
      <c r="Q697" s="415"/>
      <c r="R697" s="415"/>
      <c r="S697" s="415"/>
      <c r="T697" s="415"/>
      <c r="U697" s="415"/>
      <c r="V697" s="415"/>
      <c r="W697" s="415"/>
      <c r="X697" s="415"/>
      <c r="Y697" s="415"/>
      <c r="Z697" s="415"/>
      <c r="AA697" s="415"/>
    </row>
    <row r="698">
      <c r="A698" s="415"/>
      <c r="B698" s="415"/>
      <c r="C698" s="415"/>
      <c r="D698" s="415"/>
      <c r="E698" s="415"/>
      <c r="F698" s="415"/>
      <c r="G698" s="415"/>
      <c r="H698" s="415"/>
      <c r="I698" s="415"/>
      <c r="J698" s="415"/>
      <c r="K698" s="415"/>
      <c r="L698" s="415"/>
      <c r="M698" s="415"/>
      <c r="N698" s="415"/>
      <c r="O698" s="415"/>
      <c r="P698" s="415"/>
      <c r="Q698" s="415"/>
      <c r="R698" s="415"/>
      <c r="S698" s="415"/>
      <c r="T698" s="415"/>
      <c r="U698" s="415"/>
      <c r="V698" s="415"/>
      <c r="W698" s="415"/>
      <c r="X698" s="415"/>
      <c r="Y698" s="415"/>
      <c r="Z698" s="415"/>
      <c r="AA698" s="415"/>
    </row>
    <row r="699">
      <c r="A699" s="415"/>
      <c r="B699" s="415"/>
      <c r="C699" s="415"/>
      <c r="D699" s="415"/>
      <c r="E699" s="415"/>
      <c r="F699" s="415"/>
      <c r="G699" s="415"/>
      <c r="H699" s="415"/>
      <c r="I699" s="415"/>
      <c r="J699" s="415"/>
      <c r="K699" s="415"/>
      <c r="L699" s="415"/>
      <c r="M699" s="415"/>
      <c r="N699" s="415"/>
      <c r="O699" s="415"/>
      <c r="P699" s="415"/>
      <c r="Q699" s="415"/>
      <c r="R699" s="415"/>
      <c r="S699" s="415"/>
      <c r="T699" s="415"/>
      <c r="U699" s="415"/>
      <c r="V699" s="415"/>
      <c r="W699" s="415"/>
      <c r="X699" s="415"/>
      <c r="Y699" s="415"/>
      <c r="Z699" s="415"/>
      <c r="AA699" s="415"/>
    </row>
    <row r="700">
      <c r="A700" s="415"/>
      <c r="B700" s="415"/>
      <c r="C700" s="415"/>
      <c r="D700" s="415"/>
      <c r="E700" s="415"/>
      <c r="F700" s="415"/>
      <c r="G700" s="415"/>
      <c r="H700" s="415"/>
      <c r="I700" s="415"/>
      <c r="J700" s="415"/>
      <c r="K700" s="415"/>
      <c r="L700" s="415"/>
      <c r="M700" s="415"/>
      <c r="N700" s="415"/>
      <c r="O700" s="415"/>
      <c r="P700" s="415"/>
      <c r="Q700" s="415"/>
      <c r="R700" s="415"/>
      <c r="S700" s="415"/>
      <c r="T700" s="415"/>
      <c r="U700" s="415"/>
      <c r="V700" s="415"/>
      <c r="W700" s="415"/>
      <c r="X700" s="415"/>
      <c r="Y700" s="415"/>
      <c r="Z700" s="415"/>
      <c r="AA700" s="415"/>
    </row>
    <row r="701">
      <c r="A701" s="415"/>
      <c r="B701" s="415"/>
      <c r="C701" s="415"/>
      <c r="D701" s="415"/>
      <c r="E701" s="415"/>
      <c r="F701" s="415"/>
      <c r="G701" s="415"/>
      <c r="H701" s="415"/>
      <c r="I701" s="415"/>
      <c r="J701" s="415"/>
      <c r="K701" s="415"/>
      <c r="L701" s="415"/>
      <c r="M701" s="415"/>
      <c r="N701" s="415"/>
      <c r="O701" s="415"/>
      <c r="P701" s="415"/>
      <c r="Q701" s="415"/>
      <c r="R701" s="415"/>
      <c r="S701" s="415"/>
      <c r="T701" s="415"/>
      <c r="U701" s="415"/>
      <c r="V701" s="415"/>
      <c r="W701" s="415"/>
      <c r="X701" s="415"/>
      <c r="Y701" s="415"/>
      <c r="Z701" s="415"/>
      <c r="AA701" s="415"/>
    </row>
    <row r="702">
      <c r="A702" s="415"/>
      <c r="B702" s="415"/>
      <c r="C702" s="415"/>
      <c r="D702" s="415"/>
      <c r="E702" s="415"/>
      <c r="F702" s="415"/>
      <c r="G702" s="415"/>
      <c r="H702" s="415"/>
      <c r="I702" s="415"/>
      <c r="J702" s="415"/>
      <c r="K702" s="415"/>
      <c r="L702" s="415"/>
      <c r="M702" s="415"/>
      <c r="N702" s="415"/>
      <c r="O702" s="415"/>
      <c r="P702" s="415"/>
      <c r="Q702" s="415"/>
      <c r="R702" s="415"/>
      <c r="S702" s="415"/>
      <c r="T702" s="415"/>
      <c r="U702" s="415"/>
      <c r="V702" s="415"/>
      <c r="W702" s="415"/>
      <c r="X702" s="415"/>
      <c r="Y702" s="415"/>
      <c r="Z702" s="415"/>
      <c r="AA702" s="415"/>
    </row>
    <row r="703">
      <c r="A703" s="415"/>
      <c r="B703" s="415"/>
      <c r="C703" s="415"/>
      <c r="D703" s="415"/>
      <c r="E703" s="415"/>
      <c r="F703" s="415"/>
      <c r="G703" s="415"/>
      <c r="H703" s="415"/>
      <c r="I703" s="415"/>
      <c r="J703" s="415"/>
      <c r="K703" s="415"/>
      <c r="L703" s="415"/>
      <c r="M703" s="415"/>
      <c r="N703" s="415"/>
      <c r="O703" s="415"/>
      <c r="P703" s="415"/>
      <c r="Q703" s="415"/>
      <c r="R703" s="415"/>
      <c r="S703" s="415"/>
      <c r="T703" s="415"/>
      <c r="U703" s="415"/>
      <c r="V703" s="415"/>
      <c r="W703" s="415"/>
      <c r="X703" s="415"/>
      <c r="Y703" s="415"/>
      <c r="Z703" s="415"/>
      <c r="AA703" s="415"/>
    </row>
    <row r="704">
      <c r="A704" s="415"/>
      <c r="B704" s="415"/>
      <c r="C704" s="415"/>
      <c r="D704" s="415"/>
      <c r="E704" s="415"/>
      <c r="F704" s="415"/>
      <c r="G704" s="415"/>
      <c r="H704" s="415"/>
      <c r="I704" s="415"/>
      <c r="J704" s="415"/>
      <c r="K704" s="415"/>
      <c r="L704" s="415"/>
      <c r="M704" s="415"/>
      <c r="N704" s="415"/>
      <c r="O704" s="415"/>
      <c r="P704" s="415"/>
      <c r="Q704" s="415"/>
      <c r="R704" s="415"/>
      <c r="S704" s="415"/>
      <c r="T704" s="415"/>
      <c r="U704" s="415"/>
      <c r="V704" s="415"/>
      <c r="W704" s="415"/>
      <c r="X704" s="415"/>
      <c r="Y704" s="415"/>
      <c r="Z704" s="415"/>
      <c r="AA704" s="415"/>
    </row>
    <row r="705">
      <c r="A705" s="415"/>
      <c r="B705" s="415"/>
      <c r="C705" s="415"/>
      <c r="D705" s="415"/>
      <c r="E705" s="415"/>
      <c r="F705" s="415"/>
      <c r="G705" s="415"/>
      <c r="H705" s="415"/>
      <c r="I705" s="415"/>
      <c r="J705" s="415"/>
      <c r="K705" s="415"/>
      <c r="L705" s="415"/>
      <c r="M705" s="415"/>
      <c r="N705" s="415"/>
      <c r="O705" s="415"/>
      <c r="P705" s="415"/>
      <c r="Q705" s="415"/>
      <c r="R705" s="415"/>
      <c r="S705" s="415"/>
      <c r="T705" s="415"/>
      <c r="U705" s="415"/>
      <c r="V705" s="415"/>
      <c r="W705" s="415"/>
      <c r="X705" s="415"/>
      <c r="Y705" s="415"/>
      <c r="Z705" s="415"/>
      <c r="AA705" s="415"/>
    </row>
    <row r="706">
      <c r="A706" s="415"/>
      <c r="B706" s="415"/>
      <c r="C706" s="415"/>
      <c r="D706" s="415"/>
      <c r="E706" s="415"/>
      <c r="F706" s="415"/>
      <c r="G706" s="415"/>
      <c r="H706" s="415"/>
      <c r="I706" s="415"/>
      <c r="J706" s="415"/>
      <c r="K706" s="415"/>
      <c r="L706" s="415"/>
      <c r="M706" s="415"/>
      <c r="N706" s="415"/>
      <c r="O706" s="415"/>
      <c r="P706" s="415"/>
      <c r="Q706" s="415"/>
      <c r="R706" s="415"/>
      <c r="S706" s="415"/>
      <c r="T706" s="415"/>
      <c r="U706" s="415"/>
      <c r="V706" s="415"/>
      <c r="W706" s="415"/>
      <c r="X706" s="415"/>
      <c r="Y706" s="415"/>
      <c r="Z706" s="415"/>
      <c r="AA706" s="415"/>
    </row>
    <row r="707">
      <c r="A707" s="415"/>
      <c r="B707" s="415"/>
      <c r="C707" s="415"/>
      <c r="D707" s="415"/>
      <c r="E707" s="415"/>
      <c r="F707" s="415"/>
      <c r="G707" s="415"/>
      <c r="H707" s="415"/>
      <c r="I707" s="415"/>
      <c r="J707" s="415"/>
      <c r="K707" s="415"/>
      <c r="L707" s="415"/>
      <c r="M707" s="415"/>
      <c r="N707" s="415"/>
      <c r="O707" s="415"/>
      <c r="P707" s="415"/>
      <c r="Q707" s="415"/>
      <c r="R707" s="415"/>
      <c r="S707" s="415"/>
      <c r="T707" s="415"/>
      <c r="U707" s="415"/>
      <c r="V707" s="415"/>
      <c r="W707" s="415"/>
      <c r="X707" s="415"/>
      <c r="Y707" s="415"/>
      <c r="Z707" s="415"/>
      <c r="AA707" s="415"/>
    </row>
    <row r="708">
      <c r="A708" s="415"/>
      <c r="B708" s="415"/>
      <c r="C708" s="415"/>
      <c r="D708" s="415"/>
      <c r="E708" s="415"/>
      <c r="F708" s="415"/>
      <c r="G708" s="415"/>
      <c r="H708" s="415"/>
      <c r="I708" s="415"/>
      <c r="J708" s="415"/>
      <c r="K708" s="415"/>
      <c r="L708" s="415"/>
      <c r="M708" s="415"/>
      <c r="N708" s="415"/>
      <c r="O708" s="415"/>
      <c r="P708" s="415"/>
      <c r="Q708" s="415"/>
      <c r="R708" s="415"/>
      <c r="S708" s="415"/>
      <c r="T708" s="415"/>
      <c r="U708" s="415"/>
      <c r="V708" s="415"/>
      <c r="W708" s="415"/>
      <c r="X708" s="415"/>
      <c r="Y708" s="415"/>
      <c r="Z708" s="415"/>
      <c r="AA708" s="415"/>
    </row>
    <row r="709">
      <c r="A709" s="415"/>
      <c r="B709" s="415"/>
      <c r="C709" s="415"/>
      <c r="D709" s="415"/>
      <c r="E709" s="415"/>
      <c r="F709" s="415"/>
      <c r="G709" s="415"/>
      <c r="H709" s="415"/>
      <c r="I709" s="415"/>
      <c r="J709" s="415"/>
      <c r="K709" s="415"/>
      <c r="L709" s="415"/>
      <c r="M709" s="415"/>
      <c r="N709" s="415"/>
      <c r="O709" s="415"/>
      <c r="P709" s="415"/>
      <c r="Q709" s="415"/>
      <c r="R709" s="415"/>
      <c r="S709" s="415"/>
      <c r="T709" s="415"/>
      <c r="U709" s="415"/>
      <c r="V709" s="415"/>
      <c r="W709" s="415"/>
      <c r="X709" s="415"/>
      <c r="Y709" s="415"/>
      <c r="Z709" s="415"/>
      <c r="AA709" s="415"/>
    </row>
    <row r="710">
      <c r="A710" s="415"/>
      <c r="B710" s="415"/>
      <c r="C710" s="415"/>
      <c r="D710" s="415"/>
      <c r="E710" s="415"/>
      <c r="F710" s="415"/>
      <c r="G710" s="415"/>
      <c r="H710" s="415"/>
      <c r="I710" s="415"/>
      <c r="J710" s="415"/>
      <c r="K710" s="415"/>
      <c r="L710" s="415"/>
      <c r="M710" s="415"/>
      <c r="N710" s="415"/>
      <c r="O710" s="415"/>
      <c r="P710" s="415"/>
      <c r="Q710" s="415"/>
      <c r="R710" s="415"/>
      <c r="S710" s="415"/>
      <c r="T710" s="415"/>
      <c r="U710" s="415"/>
      <c r="V710" s="415"/>
      <c r="W710" s="415"/>
      <c r="X710" s="415"/>
      <c r="Y710" s="415"/>
      <c r="Z710" s="415"/>
      <c r="AA710" s="415"/>
    </row>
    <row r="711">
      <c r="A711" s="415"/>
      <c r="B711" s="415"/>
      <c r="C711" s="415"/>
      <c r="D711" s="415"/>
      <c r="E711" s="415"/>
      <c r="F711" s="415"/>
      <c r="G711" s="415"/>
      <c r="H711" s="415"/>
      <c r="I711" s="415"/>
      <c r="J711" s="415"/>
      <c r="K711" s="415"/>
      <c r="L711" s="415"/>
      <c r="M711" s="415"/>
      <c r="N711" s="415"/>
      <c r="O711" s="415"/>
      <c r="P711" s="415"/>
      <c r="Q711" s="415"/>
      <c r="R711" s="415"/>
      <c r="S711" s="415"/>
      <c r="T711" s="415"/>
      <c r="U711" s="415"/>
      <c r="V711" s="415"/>
      <c r="W711" s="415"/>
      <c r="X711" s="415"/>
      <c r="Y711" s="415"/>
      <c r="Z711" s="415"/>
      <c r="AA711" s="415"/>
    </row>
    <row r="712">
      <c r="A712" s="415"/>
      <c r="B712" s="415"/>
      <c r="C712" s="415"/>
      <c r="D712" s="415"/>
      <c r="E712" s="415"/>
      <c r="F712" s="415"/>
      <c r="G712" s="415"/>
      <c r="H712" s="415"/>
      <c r="I712" s="415"/>
      <c r="J712" s="415"/>
      <c r="K712" s="415"/>
      <c r="L712" s="415"/>
      <c r="M712" s="415"/>
      <c r="N712" s="415"/>
      <c r="O712" s="415"/>
      <c r="P712" s="415"/>
      <c r="Q712" s="415"/>
      <c r="R712" s="415"/>
      <c r="S712" s="415"/>
      <c r="T712" s="415"/>
      <c r="U712" s="415"/>
      <c r="V712" s="415"/>
      <c r="W712" s="415"/>
      <c r="X712" s="415"/>
      <c r="Y712" s="415"/>
      <c r="Z712" s="415"/>
      <c r="AA712" s="415"/>
    </row>
    <row r="713">
      <c r="A713" s="415"/>
      <c r="B713" s="415"/>
      <c r="C713" s="415"/>
      <c r="D713" s="415"/>
      <c r="E713" s="415"/>
      <c r="F713" s="415"/>
      <c r="G713" s="415"/>
      <c r="H713" s="415"/>
      <c r="I713" s="415"/>
      <c r="J713" s="415"/>
      <c r="K713" s="415"/>
      <c r="L713" s="415"/>
      <c r="M713" s="415"/>
      <c r="N713" s="415"/>
      <c r="O713" s="415"/>
      <c r="P713" s="415"/>
      <c r="Q713" s="415"/>
      <c r="R713" s="415"/>
      <c r="S713" s="415"/>
      <c r="T713" s="415"/>
      <c r="U713" s="415"/>
      <c r="V713" s="415"/>
      <c r="W713" s="415"/>
      <c r="X713" s="415"/>
      <c r="Y713" s="415"/>
      <c r="Z713" s="415"/>
      <c r="AA713" s="415"/>
    </row>
    <row r="714">
      <c r="A714" s="415"/>
      <c r="B714" s="415"/>
      <c r="C714" s="415"/>
      <c r="D714" s="415"/>
      <c r="E714" s="415"/>
      <c r="F714" s="415"/>
      <c r="G714" s="415"/>
      <c r="H714" s="415"/>
      <c r="I714" s="415"/>
      <c r="J714" s="415"/>
      <c r="K714" s="415"/>
      <c r="L714" s="415"/>
      <c r="M714" s="415"/>
      <c r="N714" s="415"/>
      <c r="O714" s="415"/>
      <c r="P714" s="415"/>
      <c r="Q714" s="415"/>
      <c r="R714" s="415"/>
      <c r="S714" s="415"/>
      <c r="T714" s="415"/>
      <c r="U714" s="415"/>
      <c r="V714" s="415"/>
      <c r="W714" s="415"/>
      <c r="X714" s="415"/>
      <c r="Y714" s="415"/>
      <c r="Z714" s="415"/>
      <c r="AA714" s="415"/>
    </row>
    <row r="715">
      <c r="A715" s="415"/>
      <c r="B715" s="415"/>
      <c r="C715" s="415"/>
      <c r="D715" s="415"/>
      <c r="E715" s="415"/>
      <c r="F715" s="415"/>
      <c r="G715" s="415"/>
      <c r="H715" s="415"/>
      <c r="I715" s="415"/>
      <c r="J715" s="415"/>
      <c r="K715" s="415"/>
      <c r="L715" s="415"/>
      <c r="M715" s="415"/>
      <c r="N715" s="415"/>
      <c r="O715" s="415"/>
      <c r="P715" s="415"/>
      <c r="Q715" s="415"/>
      <c r="R715" s="415"/>
      <c r="S715" s="415"/>
      <c r="T715" s="415"/>
      <c r="U715" s="415"/>
      <c r="V715" s="415"/>
      <c r="W715" s="415"/>
      <c r="X715" s="415"/>
      <c r="Y715" s="415"/>
      <c r="Z715" s="415"/>
      <c r="AA715" s="415"/>
    </row>
    <row r="716">
      <c r="A716" s="415"/>
      <c r="B716" s="415"/>
      <c r="C716" s="415"/>
      <c r="D716" s="415"/>
      <c r="E716" s="415"/>
      <c r="F716" s="415"/>
      <c r="G716" s="415"/>
      <c r="H716" s="415"/>
      <c r="I716" s="415"/>
      <c r="J716" s="415"/>
      <c r="K716" s="415"/>
      <c r="L716" s="415"/>
      <c r="M716" s="415"/>
      <c r="N716" s="415"/>
      <c r="O716" s="415"/>
      <c r="P716" s="415"/>
      <c r="Q716" s="415"/>
      <c r="R716" s="415"/>
      <c r="S716" s="415"/>
      <c r="T716" s="415"/>
      <c r="U716" s="415"/>
      <c r="V716" s="415"/>
      <c r="W716" s="415"/>
      <c r="X716" s="415"/>
      <c r="Y716" s="415"/>
      <c r="Z716" s="415"/>
      <c r="AA716" s="415"/>
    </row>
    <row r="717">
      <c r="A717" s="415"/>
      <c r="B717" s="415"/>
      <c r="C717" s="415"/>
      <c r="D717" s="415"/>
      <c r="E717" s="415"/>
      <c r="F717" s="415"/>
      <c r="G717" s="415"/>
      <c r="H717" s="415"/>
      <c r="I717" s="415"/>
      <c r="J717" s="415"/>
      <c r="K717" s="415"/>
      <c r="L717" s="415"/>
      <c r="M717" s="415"/>
      <c r="N717" s="415"/>
      <c r="O717" s="415"/>
      <c r="P717" s="415"/>
      <c r="Q717" s="415"/>
      <c r="R717" s="415"/>
      <c r="S717" s="415"/>
      <c r="T717" s="415"/>
      <c r="U717" s="415"/>
      <c r="V717" s="415"/>
      <c r="W717" s="415"/>
      <c r="X717" s="415"/>
      <c r="Y717" s="415"/>
      <c r="Z717" s="415"/>
      <c r="AA717" s="415"/>
    </row>
    <row r="718">
      <c r="A718" s="415"/>
      <c r="B718" s="415"/>
      <c r="C718" s="415"/>
      <c r="D718" s="415"/>
      <c r="E718" s="415"/>
      <c r="F718" s="415"/>
      <c r="G718" s="415"/>
      <c r="H718" s="415"/>
      <c r="I718" s="415"/>
      <c r="J718" s="415"/>
      <c r="K718" s="415"/>
      <c r="L718" s="415"/>
      <c r="M718" s="415"/>
      <c r="N718" s="415"/>
      <c r="O718" s="415"/>
      <c r="P718" s="415"/>
      <c r="Q718" s="415"/>
      <c r="R718" s="415"/>
      <c r="S718" s="415"/>
      <c r="T718" s="415"/>
      <c r="U718" s="415"/>
      <c r="V718" s="415"/>
      <c r="W718" s="415"/>
      <c r="X718" s="415"/>
      <c r="Y718" s="415"/>
      <c r="Z718" s="415"/>
      <c r="AA718" s="415"/>
    </row>
    <row r="719">
      <c r="A719" s="415"/>
      <c r="B719" s="415"/>
      <c r="C719" s="415"/>
      <c r="D719" s="415"/>
      <c r="E719" s="415"/>
      <c r="F719" s="415"/>
      <c r="G719" s="415"/>
      <c r="H719" s="415"/>
      <c r="I719" s="415"/>
      <c r="J719" s="415"/>
      <c r="K719" s="415"/>
      <c r="L719" s="415"/>
      <c r="M719" s="415"/>
      <c r="N719" s="415"/>
      <c r="O719" s="415"/>
      <c r="P719" s="415"/>
      <c r="Q719" s="415"/>
      <c r="R719" s="415"/>
      <c r="S719" s="415"/>
      <c r="T719" s="415"/>
      <c r="U719" s="415"/>
      <c r="V719" s="415"/>
      <c r="W719" s="415"/>
      <c r="X719" s="415"/>
      <c r="Y719" s="415"/>
      <c r="Z719" s="415"/>
      <c r="AA719" s="415"/>
    </row>
    <row r="720">
      <c r="A720" s="415"/>
      <c r="B720" s="415"/>
      <c r="C720" s="415"/>
      <c r="D720" s="415"/>
      <c r="E720" s="415"/>
      <c r="F720" s="415"/>
      <c r="G720" s="415"/>
      <c r="H720" s="415"/>
      <c r="I720" s="415"/>
      <c r="J720" s="415"/>
      <c r="K720" s="415"/>
      <c r="L720" s="415"/>
      <c r="M720" s="415"/>
      <c r="N720" s="415"/>
      <c r="O720" s="415"/>
      <c r="P720" s="415"/>
      <c r="Q720" s="415"/>
      <c r="R720" s="415"/>
      <c r="S720" s="415"/>
      <c r="T720" s="415"/>
      <c r="U720" s="415"/>
      <c r="V720" s="415"/>
      <c r="W720" s="415"/>
      <c r="X720" s="415"/>
      <c r="Y720" s="415"/>
      <c r="Z720" s="415"/>
      <c r="AA720" s="415"/>
    </row>
    <row r="721">
      <c r="A721" s="415"/>
      <c r="B721" s="415"/>
      <c r="C721" s="415"/>
      <c r="D721" s="415"/>
      <c r="E721" s="415"/>
      <c r="F721" s="415"/>
      <c r="G721" s="415"/>
      <c r="H721" s="415"/>
      <c r="I721" s="415"/>
      <c r="J721" s="415"/>
      <c r="K721" s="415"/>
      <c r="L721" s="415"/>
      <c r="M721" s="415"/>
      <c r="N721" s="415"/>
      <c r="O721" s="415"/>
      <c r="P721" s="415"/>
      <c r="Q721" s="415"/>
      <c r="R721" s="415"/>
      <c r="S721" s="415"/>
      <c r="T721" s="415"/>
      <c r="U721" s="415"/>
      <c r="V721" s="415"/>
      <c r="W721" s="415"/>
      <c r="X721" s="415"/>
      <c r="Y721" s="415"/>
      <c r="Z721" s="415"/>
      <c r="AA721" s="415"/>
    </row>
    <row r="722">
      <c r="A722" s="415"/>
      <c r="B722" s="415"/>
      <c r="C722" s="415"/>
      <c r="D722" s="415"/>
      <c r="E722" s="415"/>
      <c r="F722" s="415"/>
      <c r="G722" s="415"/>
      <c r="H722" s="415"/>
      <c r="I722" s="415"/>
      <c r="J722" s="415"/>
      <c r="K722" s="415"/>
      <c r="L722" s="415"/>
      <c r="M722" s="415"/>
      <c r="N722" s="415"/>
      <c r="O722" s="415"/>
      <c r="P722" s="415"/>
      <c r="Q722" s="415"/>
      <c r="R722" s="415"/>
      <c r="S722" s="415"/>
      <c r="T722" s="415"/>
      <c r="U722" s="415"/>
      <c r="V722" s="415"/>
      <c r="W722" s="415"/>
      <c r="X722" s="415"/>
      <c r="Y722" s="415"/>
      <c r="Z722" s="415"/>
      <c r="AA722" s="415"/>
    </row>
    <row r="723">
      <c r="A723" s="415"/>
      <c r="B723" s="415"/>
      <c r="C723" s="415"/>
      <c r="D723" s="415"/>
      <c r="E723" s="415"/>
      <c r="F723" s="415"/>
      <c r="G723" s="415"/>
      <c r="H723" s="415"/>
      <c r="I723" s="415"/>
      <c r="J723" s="415"/>
      <c r="K723" s="415"/>
      <c r="L723" s="415"/>
      <c r="M723" s="415"/>
      <c r="N723" s="415"/>
      <c r="O723" s="415"/>
      <c r="P723" s="415"/>
      <c r="Q723" s="415"/>
      <c r="R723" s="415"/>
      <c r="S723" s="415"/>
      <c r="T723" s="415"/>
      <c r="U723" s="415"/>
      <c r="V723" s="415"/>
      <c r="W723" s="415"/>
      <c r="X723" s="415"/>
      <c r="Y723" s="415"/>
      <c r="Z723" s="415"/>
      <c r="AA723" s="415"/>
    </row>
    <row r="724">
      <c r="A724" s="415"/>
      <c r="B724" s="415"/>
      <c r="C724" s="415"/>
      <c r="D724" s="415"/>
      <c r="E724" s="415"/>
      <c r="F724" s="415"/>
      <c r="G724" s="415"/>
      <c r="H724" s="415"/>
      <c r="I724" s="415"/>
      <c r="J724" s="415"/>
      <c r="K724" s="415"/>
      <c r="L724" s="415"/>
      <c r="M724" s="415"/>
      <c r="N724" s="415"/>
      <c r="O724" s="415"/>
      <c r="P724" s="415"/>
      <c r="Q724" s="415"/>
      <c r="R724" s="415"/>
      <c r="S724" s="415"/>
      <c r="T724" s="415"/>
      <c r="U724" s="415"/>
      <c r="V724" s="415"/>
      <c r="W724" s="415"/>
      <c r="X724" s="415"/>
      <c r="Y724" s="415"/>
      <c r="Z724" s="415"/>
      <c r="AA724" s="415"/>
    </row>
    <row r="725">
      <c r="A725" s="415"/>
      <c r="B725" s="415"/>
      <c r="C725" s="415"/>
      <c r="D725" s="415"/>
      <c r="E725" s="415"/>
      <c r="F725" s="415"/>
      <c r="G725" s="415"/>
      <c r="H725" s="415"/>
      <c r="I725" s="415"/>
      <c r="J725" s="415"/>
      <c r="K725" s="415"/>
      <c r="L725" s="415"/>
      <c r="M725" s="415"/>
      <c r="N725" s="415"/>
      <c r="O725" s="415"/>
      <c r="P725" s="415"/>
      <c r="Q725" s="415"/>
      <c r="R725" s="415"/>
      <c r="S725" s="415"/>
      <c r="T725" s="415"/>
      <c r="U725" s="415"/>
      <c r="V725" s="415"/>
      <c r="W725" s="415"/>
      <c r="X725" s="415"/>
      <c r="Y725" s="415"/>
      <c r="Z725" s="415"/>
      <c r="AA725" s="415"/>
    </row>
    <row r="726">
      <c r="A726" s="415"/>
      <c r="B726" s="415"/>
      <c r="C726" s="415"/>
      <c r="D726" s="415"/>
      <c r="E726" s="415"/>
      <c r="F726" s="415"/>
      <c r="G726" s="415"/>
      <c r="H726" s="415"/>
      <c r="I726" s="415"/>
      <c r="J726" s="415"/>
      <c r="K726" s="415"/>
      <c r="L726" s="415"/>
      <c r="M726" s="415"/>
      <c r="N726" s="415"/>
      <c r="O726" s="415"/>
      <c r="P726" s="415"/>
      <c r="Q726" s="415"/>
      <c r="R726" s="415"/>
      <c r="S726" s="415"/>
      <c r="T726" s="415"/>
      <c r="U726" s="415"/>
      <c r="V726" s="415"/>
      <c r="W726" s="415"/>
      <c r="X726" s="415"/>
      <c r="Y726" s="415"/>
      <c r="Z726" s="415"/>
      <c r="AA726" s="415"/>
    </row>
    <row r="727">
      <c r="A727" s="415"/>
      <c r="B727" s="415"/>
      <c r="C727" s="415"/>
      <c r="D727" s="415"/>
      <c r="E727" s="415"/>
      <c r="F727" s="415"/>
      <c r="G727" s="415"/>
      <c r="H727" s="415"/>
      <c r="I727" s="415"/>
      <c r="J727" s="415"/>
      <c r="K727" s="415"/>
      <c r="L727" s="415"/>
      <c r="M727" s="415"/>
      <c r="N727" s="415"/>
      <c r="O727" s="415"/>
      <c r="P727" s="415"/>
      <c r="Q727" s="415"/>
      <c r="R727" s="415"/>
      <c r="S727" s="415"/>
      <c r="T727" s="415"/>
      <c r="U727" s="415"/>
      <c r="V727" s="415"/>
      <c r="W727" s="415"/>
      <c r="X727" s="415"/>
      <c r="Y727" s="415"/>
      <c r="Z727" s="415"/>
      <c r="AA727" s="415"/>
    </row>
    <row r="728">
      <c r="A728" s="415"/>
      <c r="B728" s="415"/>
      <c r="C728" s="415"/>
      <c r="D728" s="415"/>
      <c r="E728" s="415"/>
      <c r="F728" s="415"/>
      <c r="G728" s="415"/>
      <c r="H728" s="415"/>
      <c r="I728" s="415"/>
      <c r="J728" s="415"/>
      <c r="K728" s="415"/>
      <c r="L728" s="415"/>
      <c r="M728" s="415"/>
      <c r="N728" s="415"/>
      <c r="O728" s="415"/>
      <c r="P728" s="415"/>
      <c r="Q728" s="415"/>
      <c r="R728" s="415"/>
      <c r="S728" s="415"/>
      <c r="T728" s="415"/>
      <c r="U728" s="415"/>
      <c r="V728" s="415"/>
      <c r="W728" s="415"/>
      <c r="X728" s="415"/>
      <c r="Y728" s="415"/>
      <c r="Z728" s="415"/>
      <c r="AA728" s="415"/>
    </row>
    <row r="729">
      <c r="A729" s="415"/>
      <c r="B729" s="415"/>
      <c r="C729" s="415"/>
      <c r="D729" s="415"/>
      <c r="E729" s="415"/>
      <c r="F729" s="415"/>
      <c r="G729" s="415"/>
      <c r="H729" s="415"/>
      <c r="I729" s="415"/>
      <c r="J729" s="415"/>
      <c r="K729" s="415"/>
      <c r="L729" s="415"/>
      <c r="M729" s="415"/>
      <c r="N729" s="415"/>
      <c r="O729" s="415"/>
      <c r="P729" s="415"/>
      <c r="Q729" s="415"/>
      <c r="R729" s="415"/>
      <c r="S729" s="415"/>
      <c r="T729" s="415"/>
      <c r="U729" s="415"/>
      <c r="V729" s="415"/>
      <c r="W729" s="415"/>
      <c r="X729" s="415"/>
      <c r="Y729" s="415"/>
      <c r="Z729" s="415"/>
      <c r="AA729" s="415"/>
    </row>
    <row r="730">
      <c r="A730" s="415"/>
      <c r="B730" s="415"/>
      <c r="C730" s="415"/>
      <c r="D730" s="415"/>
      <c r="E730" s="415"/>
      <c r="F730" s="415"/>
      <c r="G730" s="415"/>
      <c r="H730" s="415"/>
      <c r="I730" s="415"/>
      <c r="J730" s="415"/>
      <c r="K730" s="415"/>
      <c r="L730" s="415"/>
      <c r="M730" s="415"/>
      <c r="N730" s="415"/>
      <c r="O730" s="415"/>
      <c r="P730" s="415"/>
      <c r="Q730" s="415"/>
      <c r="R730" s="415"/>
      <c r="S730" s="415"/>
      <c r="T730" s="415"/>
      <c r="U730" s="415"/>
      <c r="V730" s="415"/>
      <c r="W730" s="415"/>
      <c r="X730" s="415"/>
      <c r="Y730" s="415"/>
      <c r="Z730" s="415"/>
      <c r="AA730" s="415"/>
    </row>
    <row r="731">
      <c r="A731" s="415"/>
      <c r="B731" s="415"/>
      <c r="C731" s="415"/>
      <c r="D731" s="415"/>
      <c r="E731" s="415"/>
      <c r="F731" s="415"/>
      <c r="G731" s="415"/>
      <c r="H731" s="415"/>
      <c r="I731" s="415"/>
      <c r="J731" s="415"/>
      <c r="K731" s="415"/>
      <c r="L731" s="415"/>
      <c r="M731" s="415"/>
      <c r="N731" s="415"/>
      <c r="O731" s="415"/>
      <c r="P731" s="415"/>
      <c r="Q731" s="415"/>
      <c r="R731" s="415"/>
      <c r="S731" s="415"/>
      <c r="T731" s="415"/>
      <c r="U731" s="415"/>
      <c r="V731" s="415"/>
      <c r="W731" s="415"/>
      <c r="X731" s="415"/>
      <c r="Y731" s="415"/>
      <c r="Z731" s="415"/>
      <c r="AA731" s="415"/>
    </row>
    <row r="732">
      <c r="A732" s="415"/>
      <c r="B732" s="415"/>
      <c r="C732" s="415"/>
      <c r="D732" s="415"/>
      <c r="E732" s="415"/>
      <c r="F732" s="415"/>
      <c r="G732" s="415"/>
      <c r="H732" s="415"/>
      <c r="I732" s="415"/>
      <c r="J732" s="415"/>
      <c r="K732" s="415"/>
      <c r="L732" s="415"/>
      <c r="M732" s="415"/>
      <c r="N732" s="415"/>
      <c r="O732" s="415"/>
      <c r="P732" s="415"/>
      <c r="Q732" s="415"/>
      <c r="R732" s="415"/>
      <c r="S732" s="415"/>
      <c r="T732" s="415"/>
      <c r="U732" s="415"/>
      <c r="V732" s="415"/>
      <c r="W732" s="415"/>
      <c r="X732" s="415"/>
      <c r="Y732" s="415"/>
      <c r="Z732" s="415"/>
      <c r="AA732" s="415"/>
    </row>
    <row r="733">
      <c r="A733" s="415"/>
      <c r="B733" s="415"/>
      <c r="C733" s="415"/>
      <c r="D733" s="415"/>
      <c r="E733" s="415"/>
      <c r="F733" s="415"/>
      <c r="G733" s="415"/>
      <c r="H733" s="415"/>
      <c r="I733" s="415"/>
      <c r="J733" s="415"/>
      <c r="K733" s="415"/>
      <c r="L733" s="415"/>
      <c r="M733" s="415"/>
      <c r="N733" s="415"/>
      <c r="O733" s="415"/>
      <c r="P733" s="415"/>
      <c r="Q733" s="415"/>
      <c r="R733" s="415"/>
      <c r="S733" s="415"/>
      <c r="T733" s="415"/>
      <c r="U733" s="415"/>
      <c r="V733" s="415"/>
      <c r="W733" s="415"/>
      <c r="X733" s="415"/>
      <c r="Y733" s="415"/>
      <c r="Z733" s="415"/>
      <c r="AA733" s="415"/>
    </row>
    <row r="734">
      <c r="A734" s="415"/>
      <c r="B734" s="415"/>
      <c r="C734" s="415"/>
      <c r="D734" s="415"/>
      <c r="E734" s="415"/>
      <c r="F734" s="415"/>
      <c r="G734" s="415"/>
      <c r="H734" s="415"/>
      <c r="I734" s="415"/>
      <c r="J734" s="415"/>
      <c r="K734" s="415"/>
      <c r="L734" s="415"/>
      <c r="M734" s="415"/>
      <c r="N734" s="415"/>
      <c r="O734" s="415"/>
      <c r="P734" s="415"/>
      <c r="Q734" s="415"/>
      <c r="R734" s="415"/>
      <c r="S734" s="415"/>
      <c r="T734" s="415"/>
      <c r="U734" s="415"/>
      <c r="V734" s="415"/>
      <c r="W734" s="415"/>
      <c r="X734" s="415"/>
      <c r="Y734" s="415"/>
      <c r="Z734" s="415"/>
      <c r="AA734" s="415"/>
    </row>
    <row r="735">
      <c r="A735" s="415"/>
      <c r="B735" s="415"/>
      <c r="C735" s="415"/>
      <c r="D735" s="415"/>
      <c r="E735" s="415"/>
      <c r="F735" s="415"/>
      <c r="G735" s="415"/>
      <c r="H735" s="415"/>
      <c r="I735" s="415"/>
      <c r="J735" s="415"/>
      <c r="K735" s="415"/>
      <c r="L735" s="415"/>
      <c r="M735" s="415"/>
      <c r="N735" s="415"/>
      <c r="O735" s="415"/>
      <c r="P735" s="415"/>
      <c r="Q735" s="415"/>
      <c r="R735" s="415"/>
      <c r="S735" s="415"/>
      <c r="T735" s="415"/>
      <c r="U735" s="415"/>
      <c r="V735" s="415"/>
      <c r="W735" s="415"/>
      <c r="X735" s="415"/>
      <c r="Y735" s="415"/>
      <c r="Z735" s="415"/>
      <c r="AA735" s="415"/>
    </row>
    <row r="736">
      <c r="A736" s="415"/>
      <c r="B736" s="415"/>
      <c r="C736" s="415"/>
      <c r="D736" s="415"/>
      <c r="E736" s="415"/>
      <c r="F736" s="415"/>
      <c r="G736" s="415"/>
      <c r="H736" s="415"/>
      <c r="I736" s="415"/>
      <c r="J736" s="415"/>
      <c r="K736" s="415"/>
      <c r="L736" s="415"/>
      <c r="M736" s="415"/>
      <c r="N736" s="415"/>
      <c r="O736" s="415"/>
      <c r="P736" s="415"/>
      <c r="Q736" s="415"/>
      <c r="R736" s="415"/>
      <c r="S736" s="415"/>
      <c r="T736" s="415"/>
      <c r="U736" s="415"/>
      <c r="V736" s="415"/>
      <c r="W736" s="415"/>
      <c r="X736" s="415"/>
      <c r="Y736" s="415"/>
      <c r="Z736" s="415"/>
      <c r="AA736" s="415"/>
    </row>
    <row r="737">
      <c r="A737" s="415"/>
      <c r="B737" s="415"/>
      <c r="C737" s="415"/>
      <c r="D737" s="415"/>
      <c r="E737" s="415"/>
      <c r="F737" s="415"/>
      <c r="G737" s="415"/>
      <c r="H737" s="415"/>
      <c r="I737" s="415"/>
      <c r="J737" s="415"/>
      <c r="K737" s="415"/>
      <c r="L737" s="415"/>
      <c r="M737" s="415"/>
      <c r="N737" s="415"/>
      <c r="O737" s="415"/>
      <c r="P737" s="415"/>
      <c r="Q737" s="415"/>
      <c r="R737" s="415"/>
      <c r="S737" s="415"/>
      <c r="T737" s="415"/>
      <c r="U737" s="415"/>
      <c r="V737" s="415"/>
      <c r="W737" s="415"/>
      <c r="X737" s="415"/>
      <c r="Y737" s="415"/>
      <c r="Z737" s="415"/>
      <c r="AA737" s="415"/>
    </row>
    <row r="738">
      <c r="A738" s="415"/>
      <c r="B738" s="415"/>
      <c r="C738" s="415"/>
      <c r="D738" s="415"/>
      <c r="E738" s="415"/>
      <c r="F738" s="415"/>
      <c r="G738" s="415"/>
      <c r="H738" s="415"/>
      <c r="I738" s="415"/>
      <c r="J738" s="415"/>
      <c r="K738" s="415"/>
      <c r="L738" s="415"/>
      <c r="M738" s="415"/>
      <c r="N738" s="415"/>
      <c r="O738" s="415"/>
      <c r="P738" s="415"/>
      <c r="Q738" s="415"/>
      <c r="R738" s="415"/>
      <c r="S738" s="415"/>
      <c r="T738" s="415"/>
      <c r="U738" s="415"/>
      <c r="V738" s="415"/>
      <c r="W738" s="415"/>
      <c r="X738" s="415"/>
      <c r="Y738" s="415"/>
      <c r="Z738" s="415"/>
      <c r="AA738" s="415"/>
    </row>
    <row r="739">
      <c r="A739" s="415"/>
      <c r="B739" s="415"/>
      <c r="C739" s="415"/>
      <c r="D739" s="415"/>
      <c r="E739" s="415"/>
      <c r="F739" s="415"/>
      <c r="G739" s="415"/>
      <c r="H739" s="415"/>
      <c r="I739" s="415"/>
      <c r="J739" s="415"/>
      <c r="K739" s="415"/>
      <c r="L739" s="415"/>
      <c r="M739" s="415"/>
      <c r="N739" s="415"/>
      <c r="O739" s="415"/>
      <c r="P739" s="415"/>
      <c r="Q739" s="415"/>
      <c r="R739" s="415"/>
      <c r="S739" s="415"/>
      <c r="T739" s="415"/>
      <c r="U739" s="415"/>
      <c r="V739" s="415"/>
      <c r="W739" s="415"/>
      <c r="X739" s="415"/>
      <c r="Y739" s="415"/>
      <c r="Z739" s="415"/>
      <c r="AA739" s="415"/>
    </row>
    <row r="740">
      <c r="A740" s="415"/>
      <c r="B740" s="415"/>
      <c r="C740" s="415"/>
      <c r="D740" s="415"/>
      <c r="E740" s="415"/>
      <c r="F740" s="415"/>
      <c r="G740" s="415"/>
      <c r="H740" s="415"/>
      <c r="I740" s="415"/>
      <c r="J740" s="415"/>
      <c r="K740" s="415"/>
      <c r="L740" s="415"/>
      <c r="M740" s="415"/>
      <c r="N740" s="415"/>
      <c r="O740" s="415"/>
      <c r="P740" s="415"/>
      <c r="Q740" s="415"/>
      <c r="R740" s="415"/>
      <c r="S740" s="415"/>
      <c r="T740" s="415"/>
      <c r="U740" s="415"/>
      <c r="V740" s="415"/>
      <c r="W740" s="415"/>
      <c r="X740" s="415"/>
      <c r="Y740" s="415"/>
      <c r="Z740" s="415"/>
      <c r="AA740" s="415"/>
    </row>
    <row r="741">
      <c r="A741" s="415"/>
      <c r="B741" s="415"/>
      <c r="C741" s="415"/>
      <c r="D741" s="415"/>
      <c r="E741" s="415"/>
      <c r="F741" s="415"/>
      <c r="G741" s="415"/>
      <c r="H741" s="415"/>
      <c r="I741" s="415"/>
      <c r="J741" s="415"/>
      <c r="K741" s="415"/>
      <c r="L741" s="415"/>
      <c r="M741" s="415"/>
      <c r="N741" s="415"/>
      <c r="O741" s="415"/>
      <c r="P741" s="415"/>
      <c r="Q741" s="415"/>
      <c r="R741" s="415"/>
      <c r="S741" s="415"/>
      <c r="T741" s="415"/>
      <c r="U741" s="415"/>
      <c r="V741" s="415"/>
      <c r="W741" s="415"/>
      <c r="X741" s="415"/>
      <c r="Y741" s="415"/>
      <c r="Z741" s="415"/>
      <c r="AA741" s="415"/>
    </row>
    <row r="742">
      <c r="A742" s="415"/>
      <c r="B742" s="415"/>
      <c r="C742" s="415"/>
      <c r="D742" s="415"/>
      <c r="E742" s="415"/>
      <c r="F742" s="415"/>
      <c r="G742" s="415"/>
      <c r="H742" s="415"/>
      <c r="I742" s="415"/>
      <c r="J742" s="415"/>
      <c r="K742" s="415"/>
      <c r="L742" s="415"/>
      <c r="M742" s="415"/>
      <c r="N742" s="415"/>
      <c r="O742" s="415"/>
      <c r="P742" s="415"/>
      <c r="Q742" s="415"/>
      <c r="R742" s="415"/>
      <c r="S742" s="415"/>
      <c r="T742" s="415"/>
      <c r="U742" s="415"/>
      <c r="V742" s="415"/>
      <c r="W742" s="415"/>
      <c r="X742" s="415"/>
      <c r="Y742" s="415"/>
      <c r="Z742" s="415"/>
      <c r="AA742" s="415"/>
    </row>
    <row r="743">
      <c r="A743" s="415"/>
      <c r="B743" s="415"/>
      <c r="C743" s="415"/>
      <c r="D743" s="415"/>
      <c r="E743" s="415"/>
      <c r="F743" s="415"/>
      <c r="G743" s="415"/>
      <c r="H743" s="415"/>
      <c r="I743" s="415"/>
      <c r="J743" s="415"/>
      <c r="K743" s="415"/>
      <c r="L743" s="415"/>
      <c r="M743" s="415"/>
      <c r="N743" s="415"/>
      <c r="O743" s="415"/>
      <c r="P743" s="415"/>
      <c r="Q743" s="415"/>
      <c r="R743" s="415"/>
      <c r="S743" s="415"/>
      <c r="T743" s="415"/>
      <c r="U743" s="415"/>
      <c r="V743" s="415"/>
      <c r="W743" s="415"/>
      <c r="X743" s="415"/>
      <c r="Y743" s="415"/>
      <c r="Z743" s="415"/>
      <c r="AA743" s="415"/>
    </row>
    <row r="744">
      <c r="A744" s="415"/>
      <c r="B744" s="415"/>
      <c r="C744" s="415"/>
      <c r="D744" s="415"/>
      <c r="E744" s="415"/>
      <c r="F744" s="415"/>
      <c r="G744" s="415"/>
      <c r="H744" s="415"/>
      <c r="I744" s="415"/>
      <c r="J744" s="415"/>
      <c r="K744" s="415"/>
      <c r="L744" s="415"/>
      <c r="M744" s="415"/>
      <c r="N744" s="415"/>
      <c r="O744" s="415"/>
      <c r="P744" s="415"/>
      <c r="Q744" s="415"/>
      <c r="R744" s="415"/>
      <c r="S744" s="415"/>
      <c r="T744" s="415"/>
      <c r="U744" s="415"/>
      <c r="V744" s="415"/>
      <c r="W744" s="415"/>
      <c r="X744" s="415"/>
      <c r="Y744" s="415"/>
      <c r="Z744" s="415"/>
      <c r="AA744" s="415"/>
    </row>
    <row r="745">
      <c r="A745" s="415"/>
      <c r="B745" s="415"/>
      <c r="C745" s="415"/>
      <c r="D745" s="415"/>
      <c r="E745" s="415"/>
      <c r="F745" s="415"/>
      <c r="G745" s="415"/>
      <c r="H745" s="415"/>
      <c r="I745" s="415"/>
      <c r="J745" s="415"/>
      <c r="K745" s="415"/>
      <c r="L745" s="415"/>
      <c r="M745" s="415"/>
      <c r="N745" s="415"/>
      <c r="O745" s="415"/>
      <c r="P745" s="415"/>
      <c r="Q745" s="415"/>
      <c r="R745" s="415"/>
      <c r="S745" s="415"/>
      <c r="T745" s="415"/>
      <c r="U745" s="415"/>
      <c r="V745" s="415"/>
      <c r="W745" s="415"/>
      <c r="X745" s="415"/>
      <c r="Y745" s="415"/>
      <c r="Z745" s="415"/>
      <c r="AA745" s="415"/>
    </row>
    <row r="746">
      <c r="A746" s="415"/>
      <c r="B746" s="415"/>
      <c r="C746" s="415"/>
      <c r="D746" s="415"/>
      <c r="E746" s="415"/>
      <c r="F746" s="415"/>
      <c r="G746" s="415"/>
      <c r="H746" s="415"/>
      <c r="I746" s="415"/>
      <c r="J746" s="415"/>
      <c r="K746" s="415"/>
      <c r="L746" s="415"/>
      <c r="M746" s="415"/>
      <c r="N746" s="415"/>
      <c r="O746" s="415"/>
      <c r="P746" s="415"/>
      <c r="Q746" s="415"/>
      <c r="R746" s="415"/>
      <c r="S746" s="415"/>
      <c r="T746" s="415"/>
      <c r="U746" s="415"/>
      <c r="V746" s="415"/>
      <c r="W746" s="415"/>
      <c r="X746" s="415"/>
      <c r="Y746" s="415"/>
      <c r="Z746" s="415"/>
      <c r="AA746" s="415"/>
    </row>
    <row r="747">
      <c r="A747" s="415"/>
      <c r="B747" s="415"/>
      <c r="C747" s="415"/>
      <c r="D747" s="415"/>
      <c r="E747" s="415"/>
      <c r="F747" s="415"/>
      <c r="G747" s="415"/>
      <c r="H747" s="415"/>
      <c r="I747" s="415"/>
      <c r="J747" s="415"/>
      <c r="K747" s="415"/>
      <c r="L747" s="415"/>
      <c r="M747" s="415"/>
      <c r="N747" s="415"/>
      <c r="O747" s="415"/>
      <c r="P747" s="415"/>
      <c r="Q747" s="415"/>
      <c r="R747" s="415"/>
      <c r="S747" s="415"/>
      <c r="T747" s="415"/>
      <c r="U747" s="415"/>
      <c r="V747" s="415"/>
      <c r="W747" s="415"/>
      <c r="X747" s="415"/>
      <c r="Y747" s="415"/>
      <c r="Z747" s="415"/>
      <c r="AA747" s="415"/>
    </row>
    <row r="748">
      <c r="A748" s="415"/>
      <c r="B748" s="415"/>
      <c r="C748" s="415"/>
      <c r="D748" s="415"/>
      <c r="E748" s="415"/>
      <c r="F748" s="415"/>
      <c r="G748" s="415"/>
      <c r="H748" s="415"/>
      <c r="I748" s="415"/>
      <c r="J748" s="415"/>
      <c r="K748" s="415"/>
      <c r="L748" s="415"/>
      <c r="M748" s="415"/>
      <c r="N748" s="415"/>
      <c r="O748" s="415"/>
      <c r="P748" s="415"/>
      <c r="Q748" s="415"/>
      <c r="R748" s="415"/>
      <c r="S748" s="415"/>
      <c r="T748" s="415"/>
      <c r="U748" s="415"/>
      <c r="V748" s="415"/>
      <c r="W748" s="415"/>
      <c r="X748" s="415"/>
      <c r="Y748" s="415"/>
      <c r="Z748" s="415"/>
      <c r="AA748" s="415"/>
    </row>
    <row r="749">
      <c r="A749" s="415"/>
      <c r="B749" s="415"/>
      <c r="C749" s="415"/>
      <c r="D749" s="415"/>
      <c r="E749" s="415"/>
      <c r="F749" s="415"/>
      <c r="G749" s="415"/>
      <c r="H749" s="415"/>
      <c r="I749" s="415"/>
      <c r="J749" s="415"/>
      <c r="K749" s="415"/>
      <c r="L749" s="415"/>
      <c r="M749" s="415"/>
      <c r="N749" s="415"/>
      <c r="O749" s="415"/>
      <c r="P749" s="415"/>
      <c r="Q749" s="415"/>
      <c r="R749" s="415"/>
      <c r="S749" s="415"/>
      <c r="T749" s="415"/>
      <c r="U749" s="415"/>
      <c r="V749" s="415"/>
      <c r="W749" s="415"/>
      <c r="X749" s="415"/>
      <c r="Y749" s="415"/>
      <c r="Z749" s="415"/>
      <c r="AA749" s="415"/>
    </row>
    <row r="750">
      <c r="A750" s="415"/>
      <c r="B750" s="415"/>
      <c r="C750" s="415"/>
      <c r="D750" s="415"/>
      <c r="E750" s="415"/>
      <c r="F750" s="415"/>
      <c r="G750" s="415"/>
      <c r="H750" s="415"/>
      <c r="I750" s="415"/>
      <c r="J750" s="415"/>
      <c r="K750" s="415"/>
      <c r="L750" s="415"/>
      <c r="M750" s="415"/>
      <c r="N750" s="415"/>
      <c r="O750" s="415"/>
      <c r="P750" s="415"/>
      <c r="Q750" s="415"/>
      <c r="R750" s="415"/>
      <c r="S750" s="415"/>
      <c r="T750" s="415"/>
      <c r="U750" s="415"/>
      <c r="V750" s="415"/>
      <c r="W750" s="415"/>
      <c r="X750" s="415"/>
      <c r="Y750" s="415"/>
      <c r="Z750" s="415"/>
      <c r="AA750" s="415"/>
    </row>
    <row r="751">
      <c r="A751" s="415"/>
      <c r="B751" s="415"/>
      <c r="C751" s="415"/>
      <c r="D751" s="415"/>
      <c r="E751" s="415"/>
      <c r="F751" s="415"/>
      <c r="G751" s="415"/>
      <c r="H751" s="415"/>
      <c r="I751" s="415"/>
      <c r="J751" s="415"/>
      <c r="K751" s="415"/>
      <c r="L751" s="415"/>
      <c r="M751" s="415"/>
      <c r="N751" s="415"/>
      <c r="O751" s="415"/>
      <c r="P751" s="415"/>
      <c r="Q751" s="415"/>
      <c r="R751" s="415"/>
      <c r="S751" s="415"/>
      <c r="T751" s="415"/>
      <c r="U751" s="415"/>
      <c r="V751" s="415"/>
      <c r="W751" s="415"/>
      <c r="X751" s="415"/>
      <c r="Y751" s="415"/>
      <c r="Z751" s="415"/>
      <c r="AA751" s="415"/>
    </row>
    <row r="752">
      <c r="A752" s="415"/>
      <c r="B752" s="415"/>
      <c r="C752" s="415"/>
      <c r="D752" s="415"/>
      <c r="E752" s="415"/>
      <c r="F752" s="415"/>
      <c r="G752" s="415"/>
      <c r="H752" s="415"/>
      <c r="I752" s="415"/>
      <c r="J752" s="415"/>
      <c r="K752" s="415"/>
      <c r="L752" s="415"/>
      <c r="M752" s="415"/>
      <c r="N752" s="415"/>
      <c r="O752" s="415"/>
      <c r="P752" s="415"/>
      <c r="Q752" s="415"/>
      <c r="R752" s="415"/>
      <c r="S752" s="415"/>
      <c r="T752" s="415"/>
      <c r="U752" s="415"/>
      <c r="V752" s="415"/>
      <c r="W752" s="415"/>
      <c r="X752" s="415"/>
      <c r="Y752" s="415"/>
      <c r="Z752" s="415"/>
      <c r="AA752" s="415"/>
    </row>
    <row r="753">
      <c r="A753" s="415"/>
      <c r="B753" s="415"/>
      <c r="C753" s="415"/>
      <c r="D753" s="415"/>
      <c r="E753" s="415"/>
      <c r="F753" s="415"/>
      <c r="G753" s="415"/>
      <c r="H753" s="415"/>
      <c r="I753" s="415"/>
      <c r="J753" s="415"/>
      <c r="K753" s="415"/>
      <c r="L753" s="415"/>
      <c r="M753" s="415"/>
      <c r="N753" s="415"/>
      <c r="O753" s="415"/>
      <c r="P753" s="415"/>
      <c r="Q753" s="415"/>
      <c r="R753" s="415"/>
      <c r="S753" s="415"/>
      <c r="T753" s="415"/>
      <c r="U753" s="415"/>
      <c r="V753" s="415"/>
      <c r="W753" s="415"/>
      <c r="X753" s="415"/>
      <c r="Y753" s="415"/>
      <c r="Z753" s="415"/>
      <c r="AA753" s="415"/>
    </row>
    <row r="754">
      <c r="A754" s="415"/>
      <c r="B754" s="415"/>
      <c r="C754" s="415"/>
      <c r="D754" s="415"/>
      <c r="E754" s="415"/>
      <c r="F754" s="415"/>
      <c r="G754" s="415"/>
      <c r="H754" s="415"/>
      <c r="I754" s="415"/>
      <c r="J754" s="415"/>
      <c r="K754" s="415"/>
      <c r="L754" s="415"/>
      <c r="M754" s="415"/>
      <c r="N754" s="415"/>
      <c r="O754" s="415"/>
      <c r="P754" s="415"/>
      <c r="Q754" s="415"/>
      <c r="R754" s="415"/>
      <c r="S754" s="415"/>
      <c r="T754" s="415"/>
      <c r="U754" s="415"/>
      <c r="V754" s="415"/>
      <c r="W754" s="415"/>
      <c r="X754" s="415"/>
      <c r="Y754" s="415"/>
      <c r="Z754" s="415"/>
      <c r="AA754" s="415"/>
    </row>
    <row r="755">
      <c r="A755" s="415"/>
      <c r="B755" s="415"/>
      <c r="C755" s="415"/>
      <c r="D755" s="415"/>
      <c r="E755" s="415"/>
      <c r="F755" s="415"/>
      <c r="G755" s="415"/>
      <c r="H755" s="415"/>
      <c r="I755" s="415"/>
      <c r="J755" s="415"/>
      <c r="K755" s="415"/>
      <c r="L755" s="415"/>
      <c r="M755" s="415"/>
      <c r="N755" s="415"/>
      <c r="O755" s="415"/>
      <c r="P755" s="415"/>
      <c r="Q755" s="415"/>
      <c r="R755" s="415"/>
      <c r="S755" s="415"/>
      <c r="T755" s="415"/>
      <c r="U755" s="415"/>
      <c r="V755" s="415"/>
      <c r="W755" s="415"/>
      <c r="X755" s="415"/>
      <c r="Y755" s="415"/>
      <c r="Z755" s="415"/>
      <c r="AA755" s="415"/>
    </row>
    <row r="756">
      <c r="A756" s="415"/>
      <c r="B756" s="415"/>
      <c r="C756" s="415"/>
      <c r="D756" s="415"/>
      <c r="E756" s="415"/>
      <c r="F756" s="415"/>
      <c r="G756" s="415"/>
      <c r="H756" s="415"/>
      <c r="I756" s="415"/>
      <c r="J756" s="415"/>
      <c r="K756" s="415"/>
      <c r="L756" s="415"/>
      <c r="M756" s="415"/>
      <c r="N756" s="415"/>
      <c r="O756" s="415"/>
      <c r="P756" s="415"/>
      <c r="Q756" s="415"/>
      <c r="R756" s="415"/>
      <c r="S756" s="415"/>
      <c r="T756" s="415"/>
      <c r="U756" s="415"/>
      <c r="V756" s="415"/>
      <c r="W756" s="415"/>
      <c r="X756" s="415"/>
      <c r="Y756" s="415"/>
      <c r="Z756" s="415"/>
      <c r="AA756" s="415"/>
    </row>
    <row r="757">
      <c r="A757" s="415"/>
      <c r="B757" s="415"/>
      <c r="C757" s="415"/>
      <c r="D757" s="415"/>
      <c r="E757" s="415"/>
      <c r="F757" s="415"/>
      <c r="G757" s="415"/>
      <c r="H757" s="415"/>
      <c r="I757" s="415"/>
      <c r="J757" s="415"/>
      <c r="K757" s="415"/>
      <c r="L757" s="415"/>
      <c r="M757" s="415"/>
      <c r="N757" s="415"/>
      <c r="O757" s="415"/>
      <c r="P757" s="415"/>
      <c r="Q757" s="415"/>
      <c r="R757" s="415"/>
      <c r="S757" s="415"/>
      <c r="T757" s="415"/>
      <c r="U757" s="415"/>
      <c r="V757" s="415"/>
      <c r="W757" s="415"/>
      <c r="X757" s="415"/>
      <c r="Y757" s="415"/>
      <c r="Z757" s="415"/>
      <c r="AA757" s="415"/>
    </row>
    <row r="758">
      <c r="A758" s="415"/>
      <c r="B758" s="415"/>
      <c r="C758" s="415"/>
      <c r="D758" s="415"/>
      <c r="E758" s="415"/>
      <c r="F758" s="415"/>
      <c r="G758" s="415"/>
      <c r="H758" s="415"/>
      <c r="I758" s="415"/>
      <c r="J758" s="415"/>
      <c r="K758" s="415"/>
      <c r="L758" s="415"/>
      <c r="M758" s="415"/>
      <c r="N758" s="415"/>
      <c r="O758" s="415"/>
      <c r="P758" s="415"/>
      <c r="Q758" s="415"/>
      <c r="R758" s="415"/>
      <c r="S758" s="415"/>
      <c r="T758" s="415"/>
      <c r="U758" s="415"/>
      <c r="V758" s="415"/>
      <c r="W758" s="415"/>
      <c r="X758" s="415"/>
      <c r="Y758" s="415"/>
      <c r="Z758" s="415"/>
      <c r="AA758" s="415"/>
    </row>
    <row r="759">
      <c r="A759" s="415"/>
      <c r="B759" s="415"/>
      <c r="C759" s="415"/>
      <c r="D759" s="415"/>
      <c r="E759" s="415"/>
      <c r="F759" s="415"/>
      <c r="G759" s="415"/>
      <c r="H759" s="415"/>
      <c r="I759" s="415"/>
      <c r="J759" s="415"/>
      <c r="K759" s="415"/>
      <c r="L759" s="415"/>
      <c r="M759" s="415"/>
      <c r="N759" s="415"/>
      <c r="O759" s="415"/>
      <c r="P759" s="415"/>
      <c r="Q759" s="415"/>
      <c r="R759" s="415"/>
      <c r="S759" s="415"/>
      <c r="T759" s="415"/>
      <c r="U759" s="415"/>
      <c r="V759" s="415"/>
      <c r="W759" s="415"/>
      <c r="X759" s="415"/>
      <c r="Y759" s="415"/>
      <c r="Z759" s="415"/>
      <c r="AA759" s="415"/>
    </row>
    <row r="760">
      <c r="A760" s="415"/>
      <c r="B760" s="415"/>
      <c r="C760" s="415"/>
      <c r="D760" s="415"/>
      <c r="E760" s="415"/>
      <c r="F760" s="415"/>
      <c r="G760" s="415"/>
      <c r="H760" s="415"/>
      <c r="I760" s="415"/>
      <c r="J760" s="415"/>
      <c r="K760" s="415"/>
      <c r="L760" s="415"/>
      <c r="M760" s="415"/>
      <c r="N760" s="415"/>
      <c r="O760" s="415"/>
      <c r="P760" s="415"/>
      <c r="Q760" s="415"/>
      <c r="R760" s="415"/>
      <c r="S760" s="415"/>
      <c r="T760" s="415"/>
      <c r="U760" s="415"/>
      <c r="V760" s="415"/>
      <c r="W760" s="415"/>
      <c r="X760" s="415"/>
      <c r="Y760" s="415"/>
      <c r="Z760" s="415"/>
      <c r="AA760" s="415"/>
    </row>
    <row r="761">
      <c r="A761" s="415"/>
      <c r="B761" s="415"/>
      <c r="C761" s="415"/>
      <c r="D761" s="415"/>
      <c r="E761" s="415"/>
      <c r="F761" s="415"/>
      <c r="G761" s="415"/>
      <c r="H761" s="415"/>
      <c r="I761" s="415"/>
      <c r="J761" s="415"/>
      <c r="K761" s="415"/>
      <c r="L761" s="415"/>
      <c r="M761" s="415"/>
      <c r="N761" s="415"/>
      <c r="O761" s="415"/>
      <c r="P761" s="415"/>
      <c r="Q761" s="415"/>
      <c r="R761" s="415"/>
      <c r="S761" s="415"/>
      <c r="T761" s="415"/>
      <c r="U761" s="415"/>
      <c r="V761" s="415"/>
      <c r="W761" s="415"/>
      <c r="X761" s="415"/>
      <c r="Y761" s="415"/>
      <c r="Z761" s="415"/>
      <c r="AA761" s="415"/>
    </row>
    <row r="762">
      <c r="A762" s="415"/>
      <c r="B762" s="415"/>
      <c r="C762" s="415"/>
      <c r="D762" s="415"/>
      <c r="E762" s="415"/>
      <c r="F762" s="415"/>
      <c r="G762" s="415"/>
      <c r="H762" s="415"/>
      <c r="I762" s="415"/>
      <c r="J762" s="415"/>
      <c r="K762" s="415"/>
      <c r="L762" s="415"/>
      <c r="M762" s="415"/>
      <c r="N762" s="415"/>
      <c r="O762" s="415"/>
      <c r="P762" s="415"/>
      <c r="Q762" s="415"/>
      <c r="R762" s="415"/>
      <c r="S762" s="415"/>
      <c r="T762" s="415"/>
      <c r="U762" s="415"/>
      <c r="V762" s="415"/>
      <c r="W762" s="415"/>
      <c r="X762" s="415"/>
      <c r="Y762" s="415"/>
      <c r="Z762" s="415"/>
      <c r="AA762" s="415"/>
    </row>
    <row r="763">
      <c r="A763" s="415"/>
      <c r="B763" s="415"/>
      <c r="C763" s="415"/>
      <c r="D763" s="415"/>
      <c r="E763" s="415"/>
      <c r="F763" s="415"/>
      <c r="G763" s="415"/>
      <c r="H763" s="415"/>
      <c r="I763" s="415"/>
      <c r="J763" s="415"/>
      <c r="K763" s="415"/>
      <c r="L763" s="415"/>
      <c r="M763" s="415"/>
      <c r="N763" s="415"/>
      <c r="O763" s="415"/>
      <c r="P763" s="415"/>
      <c r="Q763" s="415"/>
      <c r="R763" s="415"/>
      <c r="S763" s="415"/>
      <c r="T763" s="415"/>
      <c r="U763" s="415"/>
      <c r="V763" s="415"/>
      <c r="W763" s="415"/>
      <c r="X763" s="415"/>
      <c r="Y763" s="415"/>
      <c r="Z763" s="415"/>
      <c r="AA763" s="415"/>
    </row>
    <row r="764">
      <c r="A764" s="415"/>
      <c r="B764" s="415"/>
      <c r="C764" s="415"/>
      <c r="D764" s="415"/>
      <c r="E764" s="415"/>
      <c r="F764" s="415"/>
      <c r="G764" s="415"/>
      <c r="H764" s="415"/>
      <c r="I764" s="415"/>
      <c r="J764" s="415"/>
      <c r="K764" s="415"/>
      <c r="L764" s="415"/>
      <c r="M764" s="415"/>
      <c r="N764" s="415"/>
      <c r="O764" s="415"/>
      <c r="P764" s="415"/>
      <c r="Q764" s="415"/>
      <c r="R764" s="415"/>
      <c r="S764" s="415"/>
      <c r="T764" s="415"/>
      <c r="U764" s="415"/>
      <c r="V764" s="415"/>
      <c r="W764" s="415"/>
      <c r="X764" s="415"/>
      <c r="Y764" s="415"/>
      <c r="Z764" s="415"/>
      <c r="AA764" s="415"/>
    </row>
    <row r="765">
      <c r="A765" s="415"/>
      <c r="B765" s="415"/>
      <c r="C765" s="415"/>
      <c r="D765" s="415"/>
      <c r="E765" s="415"/>
      <c r="F765" s="415"/>
      <c r="G765" s="415"/>
      <c r="H765" s="415"/>
      <c r="I765" s="415"/>
      <c r="J765" s="415"/>
      <c r="K765" s="415"/>
      <c r="L765" s="415"/>
      <c r="M765" s="415"/>
      <c r="N765" s="415"/>
      <c r="O765" s="415"/>
      <c r="P765" s="415"/>
      <c r="Q765" s="415"/>
      <c r="R765" s="415"/>
      <c r="S765" s="415"/>
      <c r="T765" s="415"/>
      <c r="U765" s="415"/>
      <c r="V765" s="415"/>
      <c r="W765" s="415"/>
      <c r="X765" s="415"/>
      <c r="Y765" s="415"/>
      <c r="Z765" s="415"/>
      <c r="AA765" s="415"/>
    </row>
    <row r="766">
      <c r="A766" s="415"/>
      <c r="B766" s="415"/>
      <c r="C766" s="415"/>
      <c r="D766" s="415"/>
      <c r="E766" s="415"/>
      <c r="F766" s="415"/>
      <c r="G766" s="415"/>
      <c r="H766" s="415"/>
      <c r="I766" s="415"/>
      <c r="J766" s="415"/>
      <c r="K766" s="415"/>
      <c r="L766" s="415"/>
      <c r="M766" s="415"/>
      <c r="N766" s="415"/>
      <c r="O766" s="415"/>
      <c r="P766" s="415"/>
      <c r="Q766" s="415"/>
      <c r="R766" s="415"/>
      <c r="S766" s="415"/>
      <c r="T766" s="415"/>
      <c r="U766" s="415"/>
      <c r="V766" s="415"/>
      <c r="W766" s="415"/>
      <c r="X766" s="415"/>
      <c r="Y766" s="415"/>
      <c r="Z766" s="415"/>
      <c r="AA766" s="415"/>
    </row>
    <row r="767">
      <c r="A767" s="415"/>
      <c r="B767" s="415"/>
      <c r="C767" s="415"/>
      <c r="D767" s="415"/>
      <c r="E767" s="415"/>
      <c r="F767" s="415"/>
      <c r="G767" s="415"/>
      <c r="H767" s="415"/>
      <c r="I767" s="415"/>
      <c r="J767" s="415"/>
      <c r="K767" s="415"/>
      <c r="L767" s="415"/>
      <c r="M767" s="415"/>
      <c r="N767" s="415"/>
      <c r="O767" s="415"/>
      <c r="P767" s="415"/>
      <c r="Q767" s="415"/>
      <c r="R767" s="415"/>
      <c r="S767" s="415"/>
      <c r="T767" s="415"/>
      <c r="U767" s="415"/>
      <c r="V767" s="415"/>
      <c r="W767" s="415"/>
      <c r="X767" s="415"/>
      <c r="Y767" s="415"/>
      <c r="Z767" s="415"/>
      <c r="AA767" s="415"/>
    </row>
    <row r="768">
      <c r="A768" s="415"/>
      <c r="B768" s="415"/>
      <c r="C768" s="415"/>
      <c r="D768" s="415"/>
      <c r="E768" s="415"/>
      <c r="F768" s="415"/>
      <c r="G768" s="415"/>
      <c r="H768" s="415"/>
      <c r="I768" s="415"/>
      <c r="J768" s="415"/>
      <c r="K768" s="415"/>
      <c r="L768" s="415"/>
      <c r="M768" s="415"/>
      <c r="N768" s="415"/>
      <c r="O768" s="415"/>
      <c r="P768" s="415"/>
      <c r="Q768" s="415"/>
      <c r="R768" s="415"/>
      <c r="S768" s="415"/>
      <c r="T768" s="415"/>
      <c r="U768" s="415"/>
      <c r="V768" s="415"/>
      <c r="W768" s="415"/>
      <c r="X768" s="415"/>
      <c r="Y768" s="415"/>
      <c r="Z768" s="415"/>
      <c r="AA768" s="415"/>
    </row>
    <row r="769">
      <c r="A769" s="415"/>
      <c r="B769" s="415"/>
      <c r="C769" s="415"/>
      <c r="D769" s="415"/>
      <c r="E769" s="415"/>
      <c r="F769" s="415"/>
      <c r="G769" s="415"/>
      <c r="H769" s="415"/>
      <c r="I769" s="415"/>
      <c r="J769" s="415"/>
      <c r="K769" s="415"/>
      <c r="L769" s="415"/>
      <c r="M769" s="415"/>
      <c r="N769" s="415"/>
      <c r="O769" s="415"/>
      <c r="P769" s="415"/>
      <c r="Q769" s="415"/>
      <c r="R769" s="415"/>
      <c r="S769" s="415"/>
      <c r="T769" s="415"/>
      <c r="U769" s="415"/>
      <c r="V769" s="415"/>
      <c r="W769" s="415"/>
      <c r="X769" s="415"/>
      <c r="Y769" s="415"/>
      <c r="Z769" s="415"/>
      <c r="AA769" s="415"/>
    </row>
    <row r="770">
      <c r="A770" s="415"/>
      <c r="B770" s="415"/>
      <c r="C770" s="415"/>
      <c r="D770" s="415"/>
      <c r="E770" s="415"/>
      <c r="F770" s="415"/>
      <c r="G770" s="415"/>
      <c r="H770" s="415"/>
      <c r="I770" s="415"/>
      <c r="J770" s="415"/>
      <c r="K770" s="415"/>
      <c r="L770" s="415"/>
      <c r="M770" s="415"/>
      <c r="N770" s="415"/>
      <c r="O770" s="415"/>
      <c r="P770" s="415"/>
      <c r="Q770" s="415"/>
      <c r="R770" s="415"/>
      <c r="S770" s="415"/>
      <c r="T770" s="415"/>
      <c r="U770" s="415"/>
      <c r="V770" s="415"/>
      <c r="W770" s="415"/>
      <c r="X770" s="415"/>
      <c r="Y770" s="415"/>
      <c r="Z770" s="415"/>
      <c r="AA770" s="415"/>
    </row>
    <row r="771">
      <c r="A771" s="415"/>
      <c r="B771" s="415"/>
      <c r="C771" s="415"/>
      <c r="D771" s="415"/>
      <c r="E771" s="415"/>
      <c r="F771" s="415"/>
      <c r="G771" s="415"/>
      <c r="H771" s="415"/>
      <c r="I771" s="415"/>
      <c r="J771" s="415"/>
      <c r="K771" s="415"/>
      <c r="L771" s="415"/>
      <c r="M771" s="415"/>
      <c r="N771" s="415"/>
      <c r="O771" s="415"/>
      <c r="P771" s="415"/>
      <c r="Q771" s="415"/>
      <c r="R771" s="415"/>
      <c r="S771" s="415"/>
      <c r="T771" s="415"/>
      <c r="U771" s="415"/>
      <c r="V771" s="415"/>
      <c r="W771" s="415"/>
      <c r="X771" s="415"/>
      <c r="Y771" s="415"/>
      <c r="Z771" s="415"/>
      <c r="AA771" s="415"/>
    </row>
    <row r="772">
      <c r="A772" s="415"/>
      <c r="B772" s="415"/>
      <c r="C772" s="415"/>
      <c r="D772" s="415"/>
      <c r="E772" s="415"/>
      <c r="F772" s="415"/>
      <c r="G772" s="415"/>
      <c r="H772" s="415"/>
      <c r="I772" s="415"/>
      <c r="J772" s="415"/>
      <c r="K772" s="415"/>
      <c r="L772" s="415"/>
      <c r="M772" s="415"/>
      <c r="N772" s="415"/>
      <c r="O772" s="415"/>
      <c r="P772" s="415"/>
      <c r="Q772" s="415"/>
      <c r="R772" s="415"/>
      <c r="S772" s="415"/>
      <c r="T772" s="415"/>
      <c r="U772" s="415"/>
      <c r="V772" s="415"/>
      <c r="W772" s="415"/>
      <c r="X772" s="415"/>
      <c r="Y772" s="415"/>
      <c r="Z772" s="415"/>
      <c r="AA772" s="415"/>
    </row>
    <row r="773">
      <c r="A773" s="415"/>
      <c r="B773" s="415"/>
      <c r="C773" s="415"/>
      <c r="D773" s="415"/>
      <c r="E773" s="415"/>
      <c r="F773" s="415"/>
      <c r="G773" s="415"/>
      <c r="H773" s="415"/>
      <c r="I773" s="415"/>
      <c r="J773" s="415"/>
      <c r="K773" s="415"/>
      <c r="L773" s="415"/>
      <c r="M773" s="415"/>
      <c r="N773" s="415"/>
      <c r="O773" s="415"/>
      <c r="P773" s="415"/>
      <c r="Q773" s="415"/>
      <c r="R773" s="415"/>
      <c r="S773" s="415"/>
      <c r="T773" s="415"/>
      <c r="U773" s="415"/>
      <c r="V773" s="415"/>
      <c r="W773" s="415"/>
      <c r="X773" s="415"/>
      <c r="Y773" s="415"/>
      <c r="Z773" s="415"/>
      <c r="AA773" s="415"/>
    </row>
    <row r="774">
      <c r="A774" s="415"/>
      <c r="B774" s="415"/>
      <c r="C774" s="415"/>
      <c r="D774" s="415"/>
      <c r="E774" s="415"/>
      <c r="F774" s="415"/>
      <c r="G774" s="415"/>
      <c r="H774" s="415"/>
      <c r="I774" s="415"/>
      <c r="J774" s="415"/>
      <c r="K774" s="415"/>
      <c r="L774" s="415"/>
      <c r="M774" s="415"/>
      <c r="N774" s="415"/>
      <c r="O774" s="415"/>
      <c r="P774" s="415"/>
      <c r="Q774" s="415"/>
      <c r="R774" s="415"/>
      <c r="S774" s="415"/>
      <c r="T774" s="415"/>
      <c r="U774" s="415"/>
      <c r="V774" s="415"/>
      <c r="W774" s="415"/>
      <c r="X774" s="415"/>
      <c r="Y774" s="415"/>
      <c r="Z774" s="415"/>
      <c r="AA774" s="415"/>
    </row>
    <row r="775">
      <c r="A775" s="415"/>
      <c r="B775" s="415"/>
      <c r="C775" s="415"/>
      <c r="D775" s="415"/>
      <c r="E775" s="415"/>
      <c r="F775" s="415"/>
      <c r="G775" s="415"/>
      <c r="H775" s="415"/>
      <c r="I775" s="415"/>
      <c r="J775" s="415"/>
      <c r="K775" s="415"/>
      <c r="L775" s="415"/>
      <c r="M775" s="415"/>
      <c r="N775" s="415"/>
      <c r="O775" s="415"/>
      <c r="P775" s="415"/>
      <c r="Q775" s="415"/>
      <c r="R775" s="415"/>
      <c r="S775" s="415"/>
      <c r="T775" s="415"/>
      <c r="U775" s="415"/>
      <c r="V775" s="415"/>
      <c r="W775" s="415"/>
      <c r="X775" s="415"/>
      <c r="Y775" s="415"/>
      <c r="Z775" s="415"/>
      <c r="AA775" s="415"/>
    </row>
    <row r="776">
      <c r="A776" s="415"/>
      <c r="B776" s="415"/>
      <c r="C776" s="415"/>
      <c r="D776" s="415"/>
      <c r="E776" s="415"/>
      <c r="F776" s="415"/>
      <c r="G776" s="415"/>
      <c r="H776" s="415"/>
      <c r="I776" s="415"/>
      <c r="J776" s="415"/>
      <c r="K776" s="415"/>
      <c r="L776" s="415"/>
      <c r="M776" s="415"/>
      <c r="N776" s="415"/>
      <c r="O776" s="415"/>
      <c r="P776" s="415"/>
      <c r="Q776" s="415"/>
      <c r="R776" s="415"/>
      <c r="S776" s="415"/>
      <c r="T776" s="415"/>
      <c r="U776" s="415"/>
      <c r="V776" s="415"/>
      <c r="W776" s="415"/>
      <c r="X776" s="415"/>
      <c r="Y776" s="415"/>
      <c r="Z776" s="415"/>
      <c r="AA776" s="415"/>
    </row>
    <row r="777">
      <c r="A777" s="415"/>
      <c r="B777" s="415"/>
      <c r="C777" s="415"/>
      <c r="D777" s="415"/>
      <c r="E777" s="415"/>
      <c r="F777" s="415"/>
      <c r="G777" s="415"/>
      <c r="H777" s="415"/>
      <c r="I777" s="415"/>
      <c r="J777" s="415"/>
      <c r="K777" s="415"/>
      <c r="L777" s="415"/>
      <c r="M777" s="415"/>
      <c r="N777" s="415"/>
      <c r="O777" s="415"/>
      <c r="P777" s="415"/>
      <c r="Q777" s="415"/>
      <c r="R777" s="415"/>
      <c r="S777" s="415"/>
      <c r="T777" s="415"/>
      <c r="U777" s="415"/>
      <c r="V777" s="415"/>
      <c r="W777" s="415"/>
      <c r="X777" s="415"/>
      <c r="Y777" s="415"/>
      <c r="Z777" s="415"/>
      <c r="AA777" s="415"/>
    </row>
    <row r="778">
      <c r="A778" s="415"/>
      <c r="B778" s="415"/>
      <c r="C778" s="415"/>
      <c r="D778" s="415"/>
      <c r="E778" s="415"/>
      <c r="F778" s="415"/>
      <c r="G778" s="415"/>
      <c r="H778" s="415"/>
      <c r="I778" s="415"/>
      <c r="J778" s="415"/>
      <c r="K778" s="415"/>
      <c r="L778" s="415"/>
      <c r="M778" s="415"/>
      <c r="N778" s="415"/>
      <c r="O778" s="415"/>
      <c r="P778" s="415"/>
      <c r="Q778" s="415"/>
      <c r="R778" s="415"/>
      <c r="S778" s="415"/>
      <c r="T778" s="415"/>
      <c r="U778" s="415"/>
      <c r="V778" s="415"/>
      <c r="W778" s="415"/>
      <c r="X778" s="415"/>
      <c r="Y778" s="415"/>
      <c r="Z778" s="415"/>
      <c r="AA778" s="415"/>
    </row>
    <row r="779">
      <c r="A779" s="415"/>
      <c r="B779" s="415"/>
      <c r="C779" s="415"/>
      <c r="D779" s="415"/>
      <c r="E779" s="415"/>
      <c r="F779" s="415"/>
      <c r="G779" s="415"/>
      <c r="H779" s="415"/>
      <c r="I779" s="415"/>
      <c r="J779" s="415"/>
      <c r="K779" s="415"/>
      <c r="L779" s="415"/>
      <c r="M779" s="415"/>
      <c r="N779" s="415"/>
      <c r="O779" s="415"/>
      <c r="P779" s="415"/>
      <c r="Q779" s="415"/>
      <c r="R779" s="415"/>
      <c r="S779" s="415"/>
      <c r="T779" s="415"/>
      <c r="U779" s="415"/>
      <c r="V779" s="415"/>
      <c r="W779" s="415"/>
      <c r="X779" s="415"/>
      <c r="Y779" s="415"/>
      <c r="Z779" s="415"/>
      <c r="AA779" s="415"/>
    </row>
    <row r="780">
      <c r="A780" s="415"/>
      <c r="B780" s="415"/>
      <c r="C780" s="415"/>
      <c r="D780" s="415"/>
      <c r="E780" s="415"/>
      <c r="F780" s="415"/>
      <c r="G780" s="415"/>
      <c r="H780" s="415"/>
      <c r="I780" s="415"/>
      <c r="J780" s="415"/>
      <c r="K780" s="415"/>
      <c r="L780" s="415"/>
      <c r="M780" s="415"/>
      <c r="N780" s="415"/>
      <c r="O780" s="415"/>
      <c r="P780" s="415"/>
      <c r="Q780" s="415"/>
      <c r="R780" s="415"/>
      <c r="S780" s="415"/>
      <c r="T780" s="415"/>
      <c r="U780" s="415"/>
      <c r="V780" s="415"/>
      <c r="W780" s="415"/>
      <c r="X780" s="415"/>
      <c r="Y780" s="415"/>
      <c r="Z780" s="415"/>
      <c r="AA780" s="415"/>
    </row>
    <row r="781">
      <c r="A781" s="415"/>
      <c r="B781" s="415"/>
      <c r="C781" s="415"/>
      <c r="D781" s="415"/>
      <c r="E781" s="415"/>
      <c r="F781" s="415"/>
      <c r="G781" s="415"/>
      <c r="H781" s="415"/>
      <c r="I781" s="415"/>
      <c r="J781" s="415"/>
      <c r="K781" s="415"/>
      <c r="L781" s="415"/>
      <c r="M781" s="415"/>
      <c r="N781" s="415"/>
      <c r="O781" s="415"/>
      <c r="P781" s="415"/>
      <c r="Q781" s="415"/>
      <c r="R781" s="415"/>
      <c r="S781" s="415"/>
      <c r="T781" s="415"/>
      <c r="U781" s="415"/>
      <c r="V781" s="415"/>
      <c r="W781" s="415"/>
      <c r="X781" s="415"/>
      <c r="Y781" s="415"/>
      <c r="Z781" s="415"/>
      <c r="AA781" s="415"/>
    </row>
    <row r="782">
      <c r="A782" s="415"/>
      <c r="B782" s="415"/>
      <c r="C782" s="415"/>
      <c r="D782" s="415"/>
      <c r="E782" s="415"/>
      <c r="F782" s="415"/>
      <c r="G782" s="415"/>
      <c r="H782" s="415"/>
      <c r="I782" s="415"/>
      <c r="J782" s="415"/>
      <c r="K782" s="415"/>
      <c r="L782" s="415"/>
      <c r="M782" s="415"/>
      <c r="N782" s="415"/>
      <c r="O782" s="415"/>
      <c r="P782" s="415"/>
      <c r="Q782" s="415"/>
      <c r="R782" s="415"/>
      <c r="S782" s="415"/>
      <c r="T782" s="415"/>
      <c r="U782" s="415"/>
      <c r="V782" s="415"/>
      <c r="W782" s="415"/>
      <c r="X782" s="415"/>
      <c r="Y782" s="415"/>
      <c r="Z782" s="415"/>
      <c r="AA782" s="415"/>
    </row>
    <row r="783">
      <c r="A783" s="415"/>
      <c r="B783" s="415"/>
      <c r="C783" s="415"/>
      <c r="D783" s="415"/>
      <c r="E783" s="415"/>
      <c r="F783" s="415"/>
      <c r="G783" s="415"/>
      <c r="H783" s="415"/>
      <c r="I783" s="415"/>
      <c r="J783" s="415"/>
      <c r="K783" s="415"/>
      <c r="L783" s="415"/>
      <c r="M783" s="415"/>
      <c r="N783" s="415"/>
      <c r="O783" s="415"/>
      <c r="P783" s="415"/>
      <c r="Q783" s="415"/>
      <c r="R783" s="415"/>
      <c r="S783" s="415"/>
      <c r="T783" s="415"/>
      <c r="U783" s="415"/>
      <c r="V783" s="415"/>
      <c r="W783" s="415"/>
      <c r="X783" s="415"/>
      <c r="Y783" s="415"/>
      <c r="Z783" s="415"/>
      <c r="AA783" s="415"/>
    </row>
    <row r="784">
      <c r="A784" s="415"/>
      <c r="B784" s="415"/>
      <c r="C784" s="415"/>
      <c r="D784" s="415"/>
      <c r="E784" s="415"/>
      <c r="F784" s="415"/>
      <c r="G784" s="415"/>
      <c r="H784" s="415"/>
      <c r="I784" s="415"/>
      <c r="J784" s="415"/>
      <c r="K784" s="415"/>
      <c r="L784" s="415"/>
      <c r="M784" s="415"/>
      <c r="N784" s="415"/>
      <c r="O784" s="415"/>
      <c r="P784" s="415"/>
      <c r="Q784" s="415"/>
      <c r="R784" s="415"/>
      <c r="S784" s="415"/>
      <c r="T784" s="415"/>
      <c r="U784" s="415"/>
      <c r="V784" s="415"/>
      <c r="W784" s="415"/>
      <c r="X784" s="415"/>
      <c r="Y784" s="415"/>
      <c r="Z784" s="415"/>
      <c r="AA784" s="415"/>
    </row>
    <row r="785">
      <c r="A785" s="415"/>
      <c r="B785" s="415"/>
      <c r="C785" s="415"/>
      <c r="D785" s="415"/>
      <c r="E785" s="415"/>
      <c r="F785" s="415"/>
      <c r="G785" s="415"/>
      <c r="H785" s="415"/>
      <c r="I785" s="415"/>
      <c r="J785" s="415"/>
      <c r="K785" s="415"/>
      <c r="L785" s="415"/>
      <c r="M785" s="415"/>
      <c r="N785" s="415"/>
      <c r="O785" s="415"/>
      <c r="P785" s="415"/>
      <c r="Q785" s="415"/>
      <c r="R785" s="415"/>
      <c r="S785" s="415"/>
      <c r="T785" s="415"/>
      <c r="U785" s="415"/>
      <c r="V785" s="415"/>
      <c r="W785" s="415"/>
      <c r="X785" s="415"/>
      <c r="Y785" s="415"/>
      <c r="Z785" s="415"/>
      <c r="AA785" s="415"/>
    </row>
    <row r="786">
      <c r="A786" s="415"/>
      <c r="B786" s="415"/>
      <c r="C786" s="415"/>
      <c r="D786" s="415"/>
      <c r="E786" s="415"/>
      <c r="F786" s="415"/>
      <c r="G786" s="415"/>
      <c r="H786" s="415"/>
      <c r="I786" s="415"/>
      <c r="J786" s="415"/>
      <c r="K786" s="415"/>
      <c r="L786" s="415"/>
      <c r="M786" s="415"/>
      <c r="N786" s="415"/>
      <c r="O786" s="415"/>
      <c r="P786" s="415"/>
      <c r="Q786" s="415"/>
      <c r="R786" s="415"/>
      <c r="S786" s="415"/>
      <c r="T786" s="415"/>
      <c r="U786" s="415"/>
      <c r="V786" s="415"/>
      <c r="W786" s="415"/>
      <c r="X786" s="415"/>
      <c r="Y786" s="415"/>
      <c r="Z786" s="415"/>
      <c r="AA786" s="415"/>
    </row>
    <row r="787">
      <c r="A787" s="415"/>
      <c r="B787" s="415"/>
      <c r="C787" s="415"/>
      <c r="D787" s="415"/>
      <c r="E787" s="415"/>
      <c r="F787" s="415"/>
      <c r="G787" s="415"/>
      <c r="H787" s="415"/>
      <c r="I787" s="415"/>
      <c r="J787" s="415"/>
      <c r="K787" s="415"/>
      <c r="L787" s="415"/>
      <c r="M787" s="415"/>
      <c r="N787" s="415"/>
      <c r="O787" s="415"/>
      <c r="P787" s="415"/>
      <c r="Q787" s="415"/>
      <c r="R787" s="415"/>
      <c r="S787" s="415"/>
      <c r="T787" s="415"/>
      <c r="U787" s="415"/>
      <c r="V787" s="415"/>
      <c r="W787" s="415"/>
      <c r="X787" s="415"/>
      <c r="Y787" s="415"/>
      <c r="Z787" s="415"/>
      <c r="AA787" s="415"/>
    </row>
    <row r="788">
      <c r="A788" s="415"/>
      <c r="B788" s="415"/>
      <c r="C788" s="415"/>
      <c r="D788" s="415"/>
      <c r="E788" s="415"/>
      <c r="F788" s="415"/>
      <c r="G788" s="415"/>
      <c r="H788" s="415"/>
      <c r="I788" s="415"/>
      <c r="J788" s="415"/>
      <c r="K788" s="415"/>
      <c r="L788" s="415"/>
      <c r="M788" s="415"/>
      <c r="N788" s="415"/>
      <c r="O788" s="415"/>
      <c r="P788" s="415"/>
      <c r="Q788" s="415"/>
      <c r="R788" s="415"/>
      <c r="S788" s="415"/>
      <c r="T788" s="415"/>
      <c r="U788" s="415"/>
      <c r="V788" s="415"/>
      <c r="W788" s="415"/>
      <c r="X788" s="415"/>
      <c r="Y788" s="415"/>
      <c r="Z788" s="415"/>
      <c r="AA788" s="415"/>
    </row>
    <row r="789">
      <c r="A789" s="415"/>
      <c r="B789" s="415"/>
      <c r="C789" s="415"/>
      <c r="D789" s="415"/>
      <c r="E789" s="415"/>
      <c r="F789" s="415"/>
      <c r="G789" s="415"/>
      <c r="H789" s="415"/>
      <c r="I789" s="415"/>
      <c r="J789" s="415"/>
      <c r="K789" s="415"/>
      <c r="L789" s="415"/>
      <c r="M789" s="415"/>
      <c r="N789" s="415"/>
      <c r="O789" s="415"/>
      <c r="P789" s="415"/>
      <c r="Q789" s="415"/>
      <c r="R789" s="415"/>
      <c r="S789" s="415"/>
      <c r="T789" s="415"/>
      <c r="U789" s="415"/>
      <c r="V789" s="415"/>
      <c r="W789" s="415"/>
      <c r="X789" s="415"/>
      <c r="Y789" s="415"/>
      <c r="Z789" s="415"/>
      <c r="AA789" s="415"/>
    </row>
    <row r="790">
      <c r="A790" s="415"/>
      <c r="B790" s="415"/>
      <c r="C790" s="415"/>
      <c r="D790" s="415"/>
      <c r="E790" s="415"/>
      <c r="F790" s="415"/>
      <c r="G790" s="415"/>
      <c r="H790" s="415"/>
      <c r="I790" s="415"/>
      <c r="J790" s="415"/>
      <c r="K790" s="415"/>
      <c r="L790" s="415"/>
      <c r="M790" s="415"/>
      <c r="N790" s="415"/>
      <c r="O790" s="415"/>
      <c r="P790" s="415"/>
      <c r="Q790" s="415"/>
      <c r="R790" s="415"/>
      <c r="S790" s="415"/>
      <c r="T790" s="415"/>
      <c r="U790" s="415"/>
      <c r="V790" s="415"/>
      <c r="W790" s="415"/>
      <c r="X790" s="415"/>
      <c r="Y790" s="415"/>
      <c r="Z790" s="415"/>
      <c r="AA790" s="415"/>
    </row>
    <row r="791">
      <c r="A791" s="415"/>
      <c r="B791" s="415"/>
      <c r="C791" s="415"/>
      <c r="D791" s="415"/>
      <c r="E791" s="415"/>
      <c r="F791" s="415"/>
      <c r="G791" s="415"/>
      <c r="H791" s="415"/>
      <c r="I791" s="415"/>
      <c r="J791" s="415"/>
      <c r="K791" s="415"/>
      <c r="L791" s="415"/>
      <c r="M791" s="415"/>
      <c r="N791" s="415"/>
      <c r="O791" s="415"/>
      <c r="P791" s="415"/>
      <c r="Q791" s="415"/>
      <c r="R791" s="415"/>
      <c r="S791" s="415"/>
      <c r="T791" s="415"/>
      <c r="U791" s="415"/>
      <c r="V791" s="415"/>
      <c r="W791" s="415"/>
      <c r="X791" s="415"/>
      <c r="Y791" s="415"/>
      <c r="Z791" s="415"/>
      <c r="AA791" s="415"/>
    </row>
    <row r="792">
      <c r="A792" s="415"/>
      <c r="B792" s="415"/>
      <c r="C792" s="415"/>
      <c r="D792" s="415"/>
      <c r="E792" s="415"/>
      <c r="F792" s="415"/>
      <c r="G792" s="415"/>
      <c r="H792" s="415"/>
      <c r="I792" s="415"/>
      <c r="J792" s="415"/>
      <c r="K792" s="415"/>
      <c r="L792" s="415"/>
      <c r="M792" s="415"/>
      <c r="N792" s="415"/>
      <c r="O792" s="415"/>
      <c r="P792" s="415"/>
      <c r="Q792" s="415"/>
      <c r="R792" s="415"/>
      <c r="S792" s="415"/>
      <c r="T792" s="415"/>
      <c r="U792" s="415"/>
      <c r="V792" s="415"/>
      <c r="W792" s="415"/>
      <c r="X792" s="415"/>
      <c r="Y792" s="415"/>
      <c r="Z792" s="415"/>
      <c r="AA792" s="415"/>
    </row>
    <row r="793">
      <c r="A793" s="415"/>
      <c r="B793" s="415"/>
      <c r="C793" s="415"/>
      <c r="D793" s="415"/>
      <c r="E793" s="415"/>
      <c r="F793" s="415"/>
      <c r="G793" s="415"/>
      <c r="H793" s="415"/>
      <c r="I793" s="415"/>
      <c r="J793" s="415"/>
      <c r="K793" s="415"/>
      <c r="L793" s="415"/>
      <c r="M793" s="415"/>
      <c r="N793" s="415"/>
      <c r="O793" s="415"/>
      <c r="P793" s="415"/>
      <c r="Q793" s="415"/>
      <c r="R793" s="415"/>
      <c r="S793" s="415"/>
      <c r="T793" s="415"/>
      <c r="U793" s="415"/>
      <c r="V793" s="415"/>
      <c r="W793" s="415"/>
      <c r="X793" s="415"/>
      <c r="Y793" s="415"/>
      <c r="Z793" s="415"/>
      <c r="AA793" s="415"/>
    </row>
    <row r="794">
      <c r="A794" s="415"/>
      <c r="B794" s="415"/>
      <c r="C794" s="415"/>
      <c r="D794" s="415"/>
      <c r="E794" s="415"/>
      <c r="F794" s="415"/>
      <c r="G794" s="415"/>
      <c r="H794" s="415"/>
      <c r="I794" s="415"/>
      <c r="J794" s="415"/>
      <c r="K794" s="415"/>
      <c r="L794" s="415"/>
      <c r="M794" s="415"/>
      <c r="N794" s="415"/>
      <c r="O794" s="415"/>
      <c r="P794" s="415"/>
      <c r="Q794" s="415"/>
      <c r="R794" s="415"/>
      <c r="S794" s="415"/>
      <c r="T794" s="415"/>
      <c r="U794" s="415"/>
      <c r="V794" s="415"/>
      <c r="W794" s="415"/>
      <c r="X794" s="415"/>
      <c r="Y794" s="415"/>
      <c r="Z794" s="415"/>
      <c r="AA794" s="415"/>
    </row>
    <row r="795">
      <c r="A795" s="415"/>
      <c r="B795" s="415"/>
      <c r="C795" s="415"/>
      <c r="D795" s="415"/>
      <c r="E795" s="415"/>
      <c r="F795" s="415"/>
      <c r="G795" s="415"/>
      <c r="H795" s="415"/>
      <c r="I795" s="415"/>
      <c r="J795" s="415"/>
      <c r="K795" s="415"/>
      <c r="L795" s="415"/>
      <c r="M795" s="415"/>
      <c r="N795" s="415"/>
      <c r="O795" s="415"/>
      <c r="P795" s="415"/>
      <c r="Q795" s="415"/>
      <c r="R795" s="415"/>
      <c r="S795" s="415"/>
      <c r="T795" s="415"/>
      <c r="U795" s="415"/>
      <c r="V795" s="415"/>
      <c r="W795" s="415"/>
      <c r="X795" s="415"/>
      <c r="Y795" s="415"/>
      <c r="Z795" s="415"/>
      <c r="AA795" s="415"/>
    </row>
    <row r="796">
      <c r="A796" s="415"/>
      <c r="B796" s="415"/>
      <c r="C796" s="415"/>
      <c r="D796" s="415"/>
      <c r="E796" s="415"/>
      <c r="F796" s="415"/>
      <c r="G796" s="415"/>
      <c r="H796" s="415"/>
      <c r="I796" s="415"/>
      <c r="J796" s="415"/>
      <c r="K796" s="415"/>
      <c r="L796" s="415"/>
      <c r="M796" s="415"/>
      <c r="N796" s="415"/>
      <c r="O796" s="415"/>
      <c r="P796" s="415"/>
      <c r="Q796" s="415"/>
      <c r="R796" s="415"/>
      <c r="S796" s="415"/>
      <c r="T796" s="415"/>
      <c r="U796" s="415"/>
      <c r="V796" s="415"/>
      <c r="W796" s="415"/>
      <c r="X796" s="415"/>
      <c r="Y796" s="415"/>
      <c r="Z796" s="415"/>
      <c r="AA796" s="415"/>
    </row>
    <row r="797">
      <c r="A797" s="415"/>
      <c r="B797" s="415"/>
      <c r="C797" s="415"/>
      <c r="D797" s="415"/>
      <c r="E797" s="415"/>
      <c r="F797" s="415"/>
      <c r="G797" s="415"/>
      <c r="H797" s="415"/>
      <c r="I797" s="415"/>
      <c r="J797" s="415"/>
      <c r="K797" s="415"/>
      <c r="L797" s="415"/>
      <c r="M797" s="415"/>
      <c r="N797" s="415"/>
      <c r="O797" s="415"/>
      <c r="P797" s="415"/>
      <c r="Q797" s="415"/>
      <c r="R797" s="415"/>
      <c r="S797" s="415"/>
      <c r="T797" s="415"/>
      <c r="U797" s="415"/>
      <c r="V797" s="415"/>
      <c r="W797" s="415"/>
      <c r="X797" s="415"/>
      <c r="Y797" s="415"/>
      <c r="Z797" s="415"/>
      <c r="AA797" s="415"/>
    </row>
    <row r="798">
      <c r="A798" s="415"/>
      <c r="B798" s="415"/>
      <c r="C798" s="415"/>
      <c r="D798" s="415"/>
      <c r="E798" s="415"/>
      <c r="F798" s="415"/>
      <c r="G798" s="415"/>
      <c r="H798" s="415"/>
      <c r="I798" s="415"/>
      <c r="J798" s="415"/>
      <c r="K798" s="415"/>
      <c r="L798" s="415"/>
      <c r="M798" s="415"/>
      <c r="N798" s="415"/>
      <c r="O798" s="415"/>
      <c r="P798" s="415"/>
      <c r="Q798" s="415"/>
      <c r="R798" s="415"/>
      <c r="S798" s="415"/>
      <c r="T798" s="415"/>
      <c r="U798" s="415"/>
      <c r="V798" s="415"/>
      <c r="W798" s="415"/>
      <c r="X798" s="415"/>
      <c r="Y798" s="415"/>
      <c r="Z798" s="415"/>
      <c r="AA798" s="415"/>
    </row>
    <row r="799">
      <c r="A799" s="415"/>
      <c r="B799" s="415"/>
      <c r="C799" s="415"/>
      <c r="D799" s="415"/>
      <c r="E799" s="415"/>
      <c r="F799" s="415"/>
      <c r="G799" s="415"/>
      <c r="H799" s="415"/>
      <c r="I799" s="415"/>
      <c r="J799" s="415"/>
      <c r="K799" s="415"/>
      <c r="L799" s="415"/>
      <c r="M799" s="415"/>
      <c r="N799" s="415"/>
      <c r="O799" s="415"/>
      <c r="P799" s="415"/>
      <c r="Q799" s="415"/>
      <c r="R799" s="415"/>
      <c r="S799" s="415"/>
      <c r="T799" s="415"/>
      <c r="U799" s="415"/>
      <c r="V799" s="415"/>
      <c r="W799" s="415"/>
      <c r="X799" s="415"/>
      <c r="Y799" s="415"/>
      <c r="Z799" s="415"/>
      <c r="AA799" s="415"/>
    </row>
    <row r="800">
      <c r="A800" s="415"/>
      <c r="B800" s="415"/>
      <c r="C800" s="415"/>
      <c r="D800" s="415"/>
      <c r="E800" s="415"/>
      <c r="F800" s="415"/>
      <c r="G800" s="415"/>
      <c r="H800" s="415"/>
      <c r="I800" s="415"/>
      <c r="J800" s="415"/>
      <c r="K800" s="415"/>
      <c r="L800" s="415"/>
      <c r="M800" s="415"/>
      <c r="N800" s="415"/>
      <c r="O800" s="415"/>
      <c r="P800" s="415"/>
      <c r="Q800" s="415"/>
      <c r="R800" s="415"/>
      <c r="S800" s="415"/>
      <c r="T800" s="415"/>
      <c r="U800" s="415"/>
      <c r="V800" s="415"/>
      <c r="W800" s="415"/>
      <c r="X800" s="415"/>
      <c r="Y800" s="415"/>
      <c r="Z800" s="415"/>
      <c r="AA800" s="415"/>
    </row>
    <row r="801">
      <c r="A801" s="415"/>
      <c r="B801" s="415"/>
      <c r="C801" s="415"/>
      <c r="D801" s="415"/>
      <c r="E801" s="415"/>
      <c r="F801" s="415"/>
      <c r="G801" s="415"/>
      <c r="H801" s="415"/>
      <c r="I801" s="415"/>
      <c r="J801" s="415"/>
      <c r="K801" s="415"/>
      <c r="L801" s="415"/>
      <c r="M801" s="415"/>
      <c r="N801" s="415"/>
      <c r="O801" s="415"/>
      <c r="P801" s="415"/>
      <c r="Q801" s="415"/>
      <c r="R801" s="415"/>
      <c r="S801" s="415"/>
      <c r="T801" s="415"/>
      <c r="U801" s="415"/>
      <c r="V801" s="415"/>
      <c r="W801" s="415"/>
      <c r="X801" s="415"/>
      <c r="Y801" s="415"/>
      <c r="Z801" s="415"/>
      <c r="AA801" s="415"/>
    </row>
    <row r="802">
      <c r="A802" s="415"/>
      <c r="B802" s="415"/>
      <c r="C802" s="415"/>
      <c r="D802" s="415"/>
      <c r="E802" s="415"/>
      <c r="F802" s="415"/>
      <c r="G802" s="415"/>
      <c r="H802" s="415"/>
      <c r="I802" s="415"/>
      <c r="J802" s="415"/>
      <c r="K802" s="415"/>
      <c r="L802" s="415"/>
      <c r="M802" s="415"/>
      <c r="N802" s="415"/>
      <c r="O802" s="415"/>
      <c r="P802" s="415"/>
      <c r="Q802" s="415"/>
      <c r="R802" s="415"/>
      <c r="S802" s="415"/>
      <c r="T802" s="415"/>
      <c r="U802" s="415"/>
      <c r="V802" s="415"/>
      <c r="W802" s="415"/>
      <c r="X802" s="415"/>
      <c r="Y802" s="415"/>
      <c r="Z802" s="415"/>
      <c r="AA802" s="415"/>
    </row>
    <row r="803">
      <c r="A803" s="415"/>
      <c r="B803" s="415"/>
      <c r="C803" s="415"/>
      <c r="D803" s="415"/>
      <c r="E803" s="415"/>
      <c r="F803" s="415"/>
      <c r="G803" s="415"/>
      <c r="H803" s="415"/>
      <c r="I803" s="415"/>
      <c r="J803" s="415"/>
      <c r="K803" s="415"/>
      <c r="L803" s="415"/>
      <c r="M803" s="415"/>
      <c r="N803" s="415"/>
      <c r="O803" s="415"/>
      <c r="P803" s="415"/>
      <c r="Q803" s="415"/>
      <c r="R803" s="415"/>
      <c r="S803" s="415"/>
      <c r="T803" s="415"/>
      <c r="U803" s="415"/>
      <c r="V803" s="415"/>
      <c r="W803" s="415"/>
      <c r="X803" s="415"/>
      <c r="Y803" s="415"/>
      <c r="Z803" s="415"/>
      <c r="AA803" s="415"/>
    </row>
    <row r="804">
      <c r="A804" s="415"/>
      <c r="B804" s="415"/>
      <c r="C804" s="415"/>
      <c r="D804" s="415"/>
      <c r="E804" s="415"/>
      <c r="F804" s="415"/>
      <c r="G804" s="415"/>
      <c r="H804" s="415"/>
      <c r="I804" s="415"/>
      <c r="J804" s="415"/>
      <c r="K804" s="415"/>
      <c r="L804" s="415"/>
      <c r="M804" s="415"/>
      <c r="N804" s="415"/>
      <c r="O804" s="415"/>
      <c r="P804" s="415"/>
      <c r="Q804" s="415"/>
      <c r="R804" s="415"/>
      <c r="S804" s="415"/>
      <c r="T804" s="415"/>
      <c r="U804" s="415"/>
      <c r="V804" s="415"/>
      <c r="W804" s="415"/>
      <c r="X804" s="415"/>
      <c r="Y804" s="415"/>
      <c r="Z804" s="415"/>
      <c r="AA804" s="415"/>
    </row>
    <row r="805">
      <c r="A805" s="415"/>
      <c r="B805" s="415"/>
      <c r="C805" s="415"/>
      <c r="D805" s="415"/>
      <c r="E805" s="415"/>
      <c r="F805" s="415"/>
      <c r="G805" s="415"/>
      <c r="H805" s="415"/>
      <c r="I805" s="415"/>
      <c r="J805" s="415"/>
      <c r="K805" s="415"/>
      <c r="L805" s="415"/>
      <c r="M805" s="415"/>
      <c r="N805" s="415"/>
      <c r="O805" s="415"/>
      <c r="P805" s="415"/>
      <c r="Q805" s="415"/>
      <c r="R805" s="415"/>
      <c r="S805" s="415"/>
      <c r="T805" s="415"/>
      <c r="U805" s="415"/>
      <c r="V805" s="415"/>
      <c r="W805" s="415"/>
      <c r="X805" s="415"/>
      <c r="Y805" s="415"/>
      <c r="Z805" s="415"/>
      <c r="AA805" s="415"/>
    </row>
    <row r="806">
      <c r="A806" s="415"/>
      <c r="B806" s="415"/>
      <c r="C806" s="415"/>
      <c r="D806" s="415"/>
      <c r="E806" s="415"/>
      <c r="F806" s="415"/>
      <c r="G806" s="415"/>
      <c r="H806" s="415"/>
      <c r="I806" s="415"/>
      <c r="J806" s="415"/>
      <c r="K806" s="415"/>
      <c r="L806" s="415"/>
      <c r="M806" s="415"/>
      <c r="N806" s="415"/>
      <c r="O806" s="415"/>
      <c r="P806" s="415"/>
      <c r="Q806" s="415"/>
      <c r="R806" s="415"/>
      <c r="S806" s="415"/>
      <c r="T806" s="415"/>
      <c r="U806" s="415"/>
      <c r="V806" s="415"/>
      <c r="W806" s="415"/>
      <c r="X806" s="415"/>
      <c r="Y806" s="415"/>
      <c r="Z806" s="415"/>
      <c r="AA806" s="415"/>
    </row>
    <row r="807">
      <c r="A807" s="415"/>
      <c r="B807" s="415"/>
      <c r="C807" s="415"/>
      <c r="D807" s="415"/>
      <c r="E807" s="415"/>
      <c r="F807" s="415"/>
      <c r="G807" s="415"/>
      <c r="H807" s="415"/>
      <c r="I807" s="415"/>
      <c r="J807" s="415"/>
      <c r="K807" s="415"/>
      <c r="L807" s="415"/>
      <c r="M807" s="415"/>
      <c r="N807" s="415"/>
      <c r="O807" s="415"/>
      <c r="P807" s="415"/>
      <c r="Q807" s="415"/>
      <c r="R807" s="415"/>
      <c r="S807" s="415"/>
      <c r="T807" s="415"/>
      <c r="U807" s="415"/>
      <c r="V807" s="415"/>
      <c r="W807" s="415"/>
      <c r="X807" s="415"/>
      <c r="Y807" s="415"/>
      <c r="Z807" s="415"/>
      <c r="AA807" s="415"/>
    </row>
    <row r="808">
      <c r="A808" s="415"/>
      <c r="B808" s="415"/>
      <c r="C808" s="415"/>
      <c r="D808" s="415"/>
      <c r="E808" s="415"/>
      <c r="F808" s="415"/>
      <c r="G808" s="415"/>
      <c r="H808" s="415"/>
      <c r="I808" s="415"/>
      <c r="J808" s="415"/>
      <c r="K808" s="415"/>
      <c r="L808" s="415"/>
      <c r="M808" s="415"/>
      <c r="N808" s="415"/>
      <c r="O808" s="415"/>
      <c r="P808" s="415"/>
      <c r="Q808" s="415"/>
      <c r="R808" s="415"/>
      <c r="S808" s="415"/>
      <c r="T808" s="415"/>
      <c r="U808" s="415"/>
      <c r="V808" s="415"/>
      <c r="W808" s="415"/>
      <c r="X808" s="415"/>
      <c r="Y808" s="415"/>
      <c r="Z808" s="415"/>
      <c r="AA808" s="415"/>
    </row>
    <row r="809">
      <c r="A809" s="415"/>
      <c r="B809" s="415"/>
      <c r="C809" s="415"/>
      <c r="D809" s="415"/>
      <c r="E809" s="415"/>
      <c r="F809" s="415"/>
      <c r="G809" s="415"/>
      <c r="H809" s="415"/>
      <c r="I809" s="415"/>
      <c r="J809" s="415"/>
      <c r="K809" s="415"/>
      <c r="L809" s="415"/>
      <c r="M809" s="415"/>
      <c r="N809" s="415"/>
      <c r="O809" s="415"/>
      <c r="P809" s="415"/>
      <c r="Q809" s="415"/>
      <c r="R809" s="415"/>
      <c r="S809" s="415"/>
      <c r="T809" s="415"/>
      <c r="U809" s="415"/>
      <c r="V809" s="415"/>
      <c r="W809" s="415"/>
      <c r="X809" s="415"/>
      <c r="Y809" s="415"/>
      <c r="Z809" s="415"/>
      <c r="AA809" s="415"/>
    </row>
    <row r="810">
      <c r="A810" s="415"/>
      <c r="B810" s="415"/>
      <c r="C810" s="415"/>
      <c r="D810" s="415"/>
      <c r="E810" s="415"/>
      <c r="F810" s="415"/>
      <c r="G810" s="415"/>
      <c r="H810" s="415"/>
      <c r="I810" s="415"/>
      <c r="J810" s="415"/>
      <c r="K810" s="415"/>
      <c r="L810" s="415"/>
      <c r="M810" s="415"/>
      <c r="N810" s="415"/>
      <c r="O810" s="415"/>
      <c r="P810" s="415"/>
      <c r="Q810" s="415"/>
      <c r="R810" s="415"/>
      <c r="S810" s="415"/>
      <c r="T810" s="415"/>
      <c r="U810" s="415"/>
      <c r="V810" s="415"/>
      <c r="W810" s="415"/>
      <c r="X810" s="415"/>
      <c r="Y810" s="415"/>
      <c r="Z810" s="415"/>
      <c r="AA810" s="415"/>
    </row>
    <row r="811">
      <c r="A811" s="415"/>
      <c r="B811" s="415"/>
      <c r="C811" s="415"/>
      <c r="D811" s="415"/>
      <c r="E811" s="415"/>
      <c r="F811" s="415"/>
      <c r="G811" s="415"/>
      <c r="H811" s="415"/>
      <c r="I811" s="415"/>
      <c r="J811" s="415"/>
      <c r="K811" s="415"/>
      <c r="L811" s="415"/>
      <c r="M811" s="415"/>
      <c r="N811" s="415"/>
      <c r="O811" s="415"/>
      <c r="P811" s="415"/>
      <c r="Q811" s="415"/>
      <c r="R811" s="415"/>
      <c r="S811" s="415"/>
      <c r="T811" s="415"/>
      <c r="U811" s="415"/>
      <c r="V811" s="415"/>
      <c r="W811" s="415"/>
      <c r="X811" s="415"/>
      <c r="Y811" s="415"/>
      <c r="Z811" s="415"/>
      <c r="AA811" s="415"/>
    </row>
    <row r="812">
      <c r="A812" s="415"/>
      <c r="B812" s="415"/>
      <c r="C812" s="415"/>
      <c r="D812" s="415"/>
      <c r="E812" s="415"/>
      <c r="F812" s="415"/>
      <c r="G812" s="415"/>
      <c r="H812" s="415"/>
      <c r="I812" s="415"/>
      <c r="J812" s="415"/>
      <c r="K812" s="415"/>
      <c r="L812" s="415"/>
      <c r="M812" s="415"/>
      <c r="N812" s="415"/>
      <c r="O812" s="415"/>
      <c r="P812" s="415"/>
      <c r="Q812" s="415"/>
      <c r="R812" s="415"/>
      <c r="S812" s="415"/>
      <c r="T812" s="415"/>
      <c r="U812" s="415"/>
      <c r="V812" s="415"/>
      <c r="W812" s="415"/>
      <c r="X812" s="415"/>
      <c r="Y812" s="415"/>
      <c r="Z812" s="415"/>
      <c r="AA812" s="415"/>
    </row>
    <row r="813">
      <c r="A813" s="415"/>
      <c r="B813" s="415"/>
      <c r="C813" s="415"/>
      <c r="D813" s="415"/>
      <c r="E813" s="415"/>
      <c r="F813" s="415"/>
      <c r="G813" s="415"/>
      <c r="H813" s="415"/>
      <c r="I813" s="415"/>
      <c r="J813" s="415"/>
      <c r="K813" s="415"/>
      <c r="L813" s="415"/>
      <c r="M813" s="415"/>
      <c r="N813" s="415"/>
      <c r="O813" s="415"/>
      <c r="P813" s="415"/>
      <c r="Q813" s="415"/>
      <c r="R813" s="415"/>
      <c r="S813" s="415"/>
      <c r="T813" s="415"/>
      <c r="U813" s="415"/>
      <c r="V813" s="415"/>
      <c r="W813" s="415"/>
      <c r="X813" s="415"/>
      <c r="Y813" s="415"/>
      <c r="Z813" s="415"/>
      <c r="AA813" s="415"/>
    </row>
    <row r="814">
      <c r="A814" s="415"/>
      <c r="B814" s="415"/>
      <c r="C814" s="415"/>
      <c r="D814" s="415"/>
      <c r="E814" s="415"/>
      <c r="F814" s="415"/>
      <c r="G814" s="415"/>
      <c r="H814" s="415"/>
      <c r="I814" s="415"/>
      <c r="J814" s="415"/>
      <c r="K814" s="415"/>
      <c r="L814" s="415"/>
      <c r="M814" s="415"/>
      <c r="N814" s="415"/>
      <c r="O814" s="415"/>
      <c r="P814" s="415"/>
      <c r="Q814" s="415"/>
      <c r="R814" s="415"/>
      <c r="S814" s="415"/>
      <c r="T814" s="415"/>
      <c r="U814" s="415"/>
      <c r="V814" s="415"/>
      <c r="W814" s="415"/>
      <c r="X814" s="415"/>
      <c r="Y814" s="415"/>
      <c r="Z814" s="415"/>
      <c r="AA814" s="415"/>
    </row>
    <row r="815">
      <c r="A815" s="415"/>
      <c r="B815" s="415"/>
      <c r="C815" s="415"/>
      <c r="D815" s="415"/>
      <c r="E815" s="415"/>
      <c r="F815" s="415"/>
      <c r="G815" s="415"/>
      <c r="H815" s="415"/>
      <c r="I815" s="415"/>
      <c r="J815" s="415"/>
      <c r="K815" s="415"/>
      <c r="L815" s="415"/>
      <c r="M815" s="415"/>
      <c r="N815" s="415"/>
      <c r="O815" s="415"/>
      <c r="P815" s="415"/>
      <c r="Q815" s="415"/>
      <c r="R815" s="415"/>
      <c r="S815" s="415"/>
      <c r="T815" s="415"/>
      <c r="U815" s="415"/>
      <c r="V815" s="415"/>
      <c r="W815" s="415"/>
      <c r="X815" s="415"/>
      <c r="Y815" s="415"/>
      <c r="Z815" s="415"/>
      <c r="AA815" s="415"/>
    </row>
    <row r="816">
      <c r="A816" s="415"/>
      <c r="B816" s="415"/>
      <c r="C816" s="415"/>
      <c r="D816" s="415"/>
      <c r="E816" s="415"/>
      <c r="F816" s="415"/>
      <c r="G816" s="415"/>
      <c r="H816" s="415"/>
      <c r="I816" s="415"/>
      <c r="J816" s="415"/>
      <c r="K816" s="415"/>
      <c r="L816" s="415"/>
      <c r="M816" s="415"/>
      <c r="N816" s="415"/>
      <c r="O816" s="415"/>
      <c r="P816" s="415"/>
      <c r="Q816" s="415"/>
      <c r="R816" s="415"/>
      <c r="S816" s="415"/>
      <c r="T816" s="415"/>
      <c r="U816" s="415"/>
      <c r="V816" s="415"/>
      <c r="W816" s="415"/>
      <c r="X816" s="415"/>
      <c r="Y816" s="415"/>
      <c r="Z816" s="415"/>
      <c r="AA816" s="415"/>
    </row>
    <row r="817">
      <c r="A817" s="415"/>
      <c r="B817" s="415"/>
      <c r="C817" s="415"/>
      <c r="D817" s="415"/>
      <c r="E817" s="415"/>
      <c r="F817" s="415"/>
      <c r="G817" s="415"/>
      <c r="H817" s="415"/>
      <c r="I817" s="415"/>
      <c r="J817" s="415"/>
      <c r="K817" s="415"/>
      <c r="L817" s="415"/>
      <c r="M817" s="415"/>
      <c r="N817" s="415"/>
      <c r="O817" s="415"/>
      <c r="P817" s="415"/>
      <c r="Q817" s="415"/>
      <c r="R817" s="415"/>
      <c r="S817" s="415"/>
      <c r="T817" s="415"/>
      <c r="U817" s="415"/>
      <c r="V817" s="415"/>
      <c r="W817" s="415"/>
      <c r="X817" s="415"/>
      <c r="Y817" s="415"/>
      <c r="Z817" s="415"/>
      <c r="AA817" s="415"/>
    </row>
    <row r="818">
      <c r="A818" s="415"/>
      <c r="B818" s="415"/>
      <c r="C818" s="415"/>
      <c r="D818" s="415"/>
      <c r="E818" s="415"/>
      <c r="F818" s="415"/>
      <c r="G818" s="415"/>
      <c r="H818" s="415"/>
      <c r="I818" s="415"/>
      <c r="J818" s="415"/>
      <c r="K818" s="415"/>
      <c r="L818" s="415"/>
      <c r="M818" s="415"/>
      <c r="N818" s="415"/>
      <c r="O818" s="415"/>
      <c r="P818" s="415"/>
      <c r="Q818" s="415"/>
      <c r="R818" s="415"/>
      <c r="S818" s="415"/>
      <c r="T818" s="415"/>
      <c r="U818" s="415"/>
      <c r="V818" s="415"/>
      <c r="W818" s="415"/>
      <c r="X818" s="415"/>
      <c r="Y818" s="415"/>
      <c r="Z818" s="415"/>
      <c r="AA818" s="415"/>
    </row>
    <row r="819">
      <c r="A819" s="415"/>
      <c r="B819" s="415"/>
      <c r="C819" s="415"/>
      <c r="D819" s="415"/>
      <c r="E819" s="415"/>
      <c r="F819" s="415"/>
      <c r="G819" s="415"/>
      <c r="H819" s="415"/>
      <c r="I819" s="415"/>
      <c r="J819" s="415"/>
      <c r="K819" s="415"/>
      <c r="L819" s="415"/>
      <c r="M819" s="415"/>
      <c r="N819" s="415"/>
      <c r="O819" s="415"/>
      <c r="P819" s="415"/>
      <c r="Q819" s="415"/>
      <c r="R819" s="415"/>
      <c r="S819" s="415"/>
      <c r="T819" s="415"/>
      <c r="U819" s="415"/>
      <c r="V819" s="415"/>
      <c r="W819" s="415"/>
      <c r="X819" s="415"/>
      <c r="Y819" s="415"/>
      <c r="Z819" s="415"/>
      <c r="AA819" s="415"/>
    </row>
    <row r="820">
      <c r="A820" s="415"/>
      <c r="B820" s="415"/>
      <c r="C820" s="415"/>
      <c r="D820" s="415"/>
      <c r="E820" s="415"/>
      <c r="F820" s="415"/>
      <c r="G820" s="415"/>
      <c r="H820" s="415"/>
      <c r="I820" s="415"/>
      <c r="J820" s="415"/>
      <c r="K820" s="415"/>
      <c r="L820" s="415"/>
      <c r="M820" s="415"/>
      <c r="N820" s="415"/>
      <c r="O820" s="415"/>
      <c r="P820" s="415"/>
      <c r="Q820" s="415"/>
      <c r="R820" s="415"/>
      <c r="S820" s="415"/>
      <c r="T820" s="415"/>
      <c r="U820" s="415"/>
      <c r="V820" s="415"/>
      <c r="W820" s="415"/>
      <c r="X820" s="415"/>
      <c r="Y820" s="415"/>
      <c r="Z820" s="415"/>
      <c r="AA820" s="415"/>
    </row>
    <row r="821">
      <c r="A821" s="415"/>
      <c r="B821" s="415"/>
      <c r="C821" s="415"/>
      <c r="D821" s="415"/>
      <c r="E821" s="415"/>
      <c r="F821" s="415"/>
      <c r="G821" s="415"/>
      <c r="H821" s="415"/>
      <c r="I821" s="415"/>
      <c r="J821" s="415"/>
      <c r="K821" s="415"/>
      <c r="L821" s="415"/>
      <c r="M821" s="415"/>
      <c r="N821" s="415"/>
      <c r="O821" s="415"/>
      <c r="P821" s="415"/>
      <c r="Q821" s="415"/>
      <c r="R821" s="415"/>
      <c r="S821" s="415"/>
      <c r="T821" s="415"/>
      <c r="U821" s="415"/>
      <c r="V821" s="415"/>
      <c r="W821" s="415"/>
      <c r="X821" s="415"/>
      <c r="Y821" s="415"/>
      <c r="Z821" s="415"/>
      <c r="AA821" s="415"/>
    </row>
    <row r="822">
      <c r="A822" s="415"/>
      <c r="B822" s="415"/>
      <c r="C822" s="415"/>
      <c r="D822" s="415"/>
      <c r="E822" s="415"/>
      <c r="F822" s="415"/>
      <c r="G822" s="415"/>
      <c r="H822" s="415"/>
      <c r="I822" s="415"/>
      <c r="J822" s="415"/>
      <c r="K822" s="415"/>
      <c r="L822" s="415"/>
      <c r="M822" s="415"/>
      <c r="N822" s="415"/>
      <c r="O822" s="415"/>
      <c r="P822" s="415"/>
      <c r="Q822" s="415"/>
      <c r="R822" s="415"/>
      <c r="S822" s="415"/>
      <c r="T822" s="415"/>
      <c r="U822" s="415"/>
      <c r="V822" s="415"/>
      <c r="W822" s="415"/>
      <c r="X822" s="415"/>
      <c r="Y822" s="415"/>
      <c r="Z822" s="415"/>
      <c r="AA822" s="415"/>
    </row>
    <row r="823">
      <c r="A823" s="415"/>
      <c r="B823" s="415"/>
      <c r="C823" s="415"/>
      <c r="D823" s="415"/>
      <c r="E823" s="415"/>
      <c r="F823" s="415"/>
      <c r="G823" s="415"/>
      <c r="H823" s="415"/>
      <c r="I823" s="415"/>
      <c r="J823" s="415"/>
      <c r="K823" s="415"/>
      <c r="L823" s="415"/>
      <c r="M823" s="415"/>
      <c r="N823" s="415"/>
      <c r="O823" s="415"/>
      <c r="P823" s="415"/>
      <c r="Q823" s="415"/>
      <c r="R823" s="415"/>
      <c r="S823" s="415"/>
      <c r="T823" s="415"/>
      <c r="U823" s="415"/>
      <c r="V823" s="415"/>
      <c r="W823" s="415"/>
      <c r="X823" s="415"/>
      <c r="Y823" s="415"/>
      <c r="Z823" s="415"/>
      <c r="AA823" s="415"/>
    </row>
    <row r="824">
      <c r="A824" s="415"/>
      <c r="B824" s="415"/>
      <c r="C824" s="415"/>
      <c r="D824" s="415"/>
      <c r="E824" s="415"/>
      <c r="F824" s="415"/>
      <c r="G824" s="415"/>
      <c r="H824" s="415"/>
      <c r="I824" s="415"/>
      <c r="J824" s="415"/>
      <c r="K824" s="415"/>
      <c r="L824" s="415"/>
      <c r="M824" s="415"/>
      <c r="N824" s="415"/>
      <c r="O824" s="415"/>
      <c r="P824" s="415"/>
      <c r="Q824" s="415"/>
      <c r="R824" s="415"/>
      <c r="S824" s="415"/>
      <c r="T824" s="415"/>
      <c r="U824" s="415"/>
      <c r="V824" s="415"/>
      <c r="W824" s="415"/>
      <c r="X824" s="415"/>
      <c r="Y824" s="415"/>
      <c r="Z824" s="415"/>
      <c r="AA824" s="415"/>
    </row>
    <row r="825">
      <c r="A825" s="415"/>
      <c r="B825" s="415"/>
      <c r="C825" s="415"/>
      <c r="D825" s="415"/>
      <c r="E825" s="415"/>
      <c r="F825" s="415"/>
      <c r="G825" s="415"/>
      <c r="H825" s="415"/>
      <c r="I825" s="415"/>
      <c r="J825" s="415"/>
      <c r="K825" s="415"/>
      <c r="L825" s="415"/>
      <c r="M825" s="415"/>
      <c r="N825" s="415"/>
      <c r="O825" s="415"/>
      <c r="P825" s="415"/>
      <c r="Q825" s="415"/>
      <c r="R825" s="415"/>
      <c r="S825" s="415"/>
      <c r="T825" s="415"/>
      <c r="U825" s="415"/>
      <c r="V825" s="415"/>
      <c r="W825" s="415"/>
      <c r="X825" s="415"/>
      <c r="Y825" s="415"/>
      <c r="Z825" s="415"/>
      <c r="AA825" s="415"/>
    </row>
    <row r="826">
      <c r="A826" s="415"/>
      <c r="B826" s="415"/>
      <c r="C826" s="415"/>
      <c r="D826" s="415"/>
      <c r="E826" s="415"/>
      <c r="F826" s="415"/>
      <c r="G826" s="415"/>
      <c r="H826" s="415"/>
      <c r="I826" s="415"/>
      <c r="J826" s="415"/>
      <c r="K826" s="415"/>
      <c r="L826" s="415"/>
      <c r="M826" s="415"/>
      <c r="N826" s="415"/>
      <c r="O826" s="415"/>
      <c r="P826" s="415"/>
      <c r="Q826" s="415"/>
      <c r="R826" s="415"/>
      <c r="S826" s="415"/>
      <c r="T826" s="415"/>
      <c r="U826" s="415"/>
      <c r="V826" s="415"/>
      <c r="W826" s="415"/>
      <c r="X826" s="415"/>
      <c r="Y826" s="415"/>
      <c r="Z826" s="415"/>
      <c r="AA826" s="415"/>
    </row>
    <row r="827">
      <c r="A827" s="415"/>
      <c r="B827" s="415"/>
      <c r="C827" s="415"/>
      <c r="D827" s="415"/>
      <c r="E827" s="415"/>
      <c r="F827" s="415"/>
      <c r="G827" s="415"/>
      <c r="H827" s="415"/>
      <c r="I827" s="415"/>
      <c r="J827" s="415"/>
      <c r="K827" s="415"/>
      <c r="L827" s="415"/>
      <c r="M827" s="415"/>
      <c r="N827" s="415"/>
      <c r="O827" s="415"/>
      <c r="P827" s="415"/>
      <c r="Q827" s="415"/>
      <c r="R827" s="415"/>
      <c r="S827" s="415"/>
      <c r="T827" s="415"/>
      <c r="U827" s="415"/>
      <c r="V827" s="415"/>
      <c r="W827" s="415"/>
      <c r="X827" s="415"/>
      <c r="Y827" s="415"/>
      <c r="Z827" s="415"/>
      <c r="AA827" s="415"/>
    </row>
    <row r="828">
      <c r="A828" s="415"/>
      <c r="B828" s="415"/>
      <c r="C828" s="415"/>
      <c r="D828" s="415"/>
      <c r="E828" s="415"/>
      <c r="F828" s="415"/>
      <c r="G828" s="415"/>
      <c r="H828" s="415"/>
      <c r="I828" s="415"/>
      <c r="J828" s="415"/>
      <c r="K828" s="415"/>
      <c r="L828" s="415"/>
      <c r="M828" s="415"/>
      <c r="N828" s="415"/>
      <c r="O828" s="415"/>
      <c r="P828" s="415"/>
      <c r="Q828" s="415"/>
      <c r="R828" s="415"/>
      <c r="S828" s="415"/>
      <c r="T828" s="415"/>
      <c r="U828" s="415"/>
      <c r="V828" s="415"/>
      <c r="W828" s="415"/>
      <c r="X828" s="415"/>
      <c r="Y828" s="415"/>
      <c r="Z828" s="415"/>
      <c r="AA828" s="415"/>
    </row>
    <row r="829">
      <c r="A829" s="415"/>
      <c r="B829" s="415"/>
      <c r="C829" s="415"/>
      <c r="D829" s="415"/>
      <c r="E829" s="415"/>
      <c r="F829" s="415"/>
      <c r="G829" s="415"/>
      <c r="H829" s="415"/>
      <c r="I829" s="415"/>
      <c r="J829" s="415"/>
      <c r="K829" s="415"/>
      <c r="L829" s="415"/>
      <c r="M829" s="415"/>
      <c r="N829" s="415"/>
      <c r="O829" s="415"/>
      <c r="P829" s="415"/>
      <c r="Q829" s="415"/>
      <c r="R829" s="415"/>
      <c r="S829" s="415"/>
      <c r="T829" s="415"/>
      <c r="U829" s="415"/>
      <c r="V829" s="415"/>
      <c r="W829" s="415"/>
      <c r="X829" s="415"/>
      <c r="Y829" s="415"/>
      <c r="Z829" s="415"/>
      <c r="AA829" s="415"/>
    </row>
    <row r="830">
      <c r="A830" s="415"/>
      <c r="B830" s="415"/>
      <c r="C830" s="415"/>
      <c r="D830" s="415"/>
      <c r="E830" s="415"/>
      <c r="F830" s="415"/>
      <c r="G830" s="415"/>
      <c r="H830" s="415"/>
      <c r="I830" s="415"/>
      <c r="J830" s="415"/>
      <c r="K830" s="415"/>
      <c r="L830" s="415"/>
      <c r="M830" s="415"/>
      <c r="N830" s="415"/>
      <c r="O830" s="415"/>
      <c r="P830" s="415"/>
      <c r="Q830" s="415"/>
      <c r="R830" s="415"/>
      <c r="S830" s="415"/>
      <c r="T830" s="415"/>
      <c r="U830" s="415"/>
      <c r="V830" s="415"/>
      <c r="W830" s="415"/>
      <c r="X830" s="415"/>
      <c r="Y830" s="415"/>
      <c r="Z830" s="415"/>
      <c r="AA830" s="415"/>
    </row>
    <row r="831">
      <c r="A831" s="415"/>
      <c r="B831" s="415"/>
      <c r="C831" s="415"/>
      <c r="D831" s="415"/>
      <c r="E831" s="415"/>
      <c r="F831" s="415"/>
      <c r="G831" s="415"/>
      <c r="H831" s="415"/>
      <c r="I831" s="415"/>
      <c r="J831" s="415"/>
      <c r="K831" s="415"/>
      <c r="L831" s="415"/>
      <c r="M831" s="415"/>
      <c r="N831" s="415"/>
      <c r="O831" s="415"/>
      <c r="P831" s="415"/>
      <c r="Q831" s="415"/>
      <c r="R831" s="415"/>
      <c r="S831" s="415"/>
      <c r="T831" s="415"/>
      <c r="U831" s="415"/>
      <c r="V831" s="415"/>
      <c r="W831" s="415"/>
      <c r="X831" s="415"/>
      <c r="Y831" s="415"/>
      <c r="Z831" s="415"/>
      <c r="AA831" s="415"/>
    </row>
    <row r="832">
      <c r="A832" s="415"/>
      <c r="B832" s="415"/>
      <c r="C832" s="415"/>
      <c r="D832" s="415"/>
      <c r="E832" s="415"/>
      <c r="F832" s="415"/>
      <c r="G832" s="415"/>
      <c r="H832" s="415"/>
      <c r="I832" s="415"/>
      <c r="J832" s="415"/>
      <c r="K832" s="415"/>
      <c r="L832" s="415"/>
      <c r="M832" s="415"/>
      <c r="N832" s="415"/>
      <c r="O832" s="415"/>
      <c r="P832" s="415"/>
      <c r="Q832" s="415"/>
      <c r="R832" s="415"/>
      <c r="S832" s="415"/>
      <c r="T832" s="415"/>
      <c r="U832" s="415"/>
      <c r="V832" s="415"/>
      <c r="W832" s="415"/>
      <c r="X832" s="415"/>
      <c r="Y832" s="415"/>
      <c r="Z832" s="415"/>
      <c r="AA832" s="415"/>
    </row>
    <row r="833">
      <c r="A833" s="415"/>
      <c r="B833" s="415"/>
      <c r="C833" s="415"/>
      <c r="D833" s="415"/>
      <c r="E833" s="415"/>
      <c r="F833" s="415"/>
      <c r="G833" s="415"/>
      <c r="H833" s="415"/>
      <c r="I833" s="415"/>
      <c r="J833" s="415"/>
      <c r="K833" s="415"/>
      <c r="L833" s="415"/>
      <c r="M833" s="415"/>
      <c r="N833" s="415"/>
      <c r="O833" s="415"/>
      <c r="P833" s="415"/>
      <c r="Q833" s="415"/>
      <c r="R833" s="415"/>
      <c r="S833" s="415"/>
      <c r="T833" s="415"/>
      <c r="U833" s="415"/>
      <c r="V833" s="415"/>
      <c r="W833" s="415"/>
      <c r="X833" s="415"/>
      <c r="Y833" s="415"/>
      <c r="Z833" s="415"/>
      <c r="AA833" s="415"/>
    </row>
    <row r="834">
      <c r="A834" s="415"/>
      <c r="B834" s="415"/>
      <c r="C834" s="415"/>
      <c r="D834" s="415"/>
      <c r="E834" s="415"/>
      <c r="F834" s="415"/>
      <c r="G834" s="415"/>
      <c r="H834" s="415"/>
      <c r="I834" s="415"/>
      <c r="J834" s="415"/>
      <c r="K834" s="415"/>
      <c r="L834" s="415"/>
      <c r="M834" s="415"/>
      <c r="N834" s="415"/>
      <c r="O834" s="415"/>
      <c r="P834" s="415"/>
      <c r="Q834" s="415"/>
      <c r="R834" s="415"/>
      <c r="S834" s="415"/>
      <c r="T834" s="415"/>
      <c r="U834" s="415"/>
      <c r="V834" s="415"/>
      <c r="W834" s="415"/>
      <c r="X834" s="415"/>
      <c r="Y834" s="415"/>
      <c r="Z834" s="415"/>
      <c r="AA834" s="415"/>
    </row>
    <row r="835">
      <c r="A835" s="415"/>
      <c r="B835" s="415"/>
      <c r="C835" s="415"/>
      <c r="D835" s="415"/>
      <c r="E835" s="415"/>
      <c r="F835" s="415"/>
      <c r="G835" s="415"/>
      <c r="H835" s="415"/>
      <c r="I835" s="415"/>
      <c r="J835" s="415"/>
      <c r="K835" s="415"/>
      <c r="L835" s="415"/>
      <c r="M835" s="415"/>
      <c r="N835" s="415"/>
      <c r="O835" s="415"/>
      <c r="P835" s="415"/>
      <c r="Q835" s="415"/>
      <c r="R835" s="415"/>
      <c r="S835" s="415"/>
      <c r="T835" s="415"/>
      <c r="U835" s="415"/>
      <c r="V835" s="415"/>
      <c r="W835" s="415"/>
      <c r="X835" s="415"/>
      <c r="Y835" s="415"/>
      <c r="Z835" s="415"/>
      <c r="AA835" s="415"/>
    </row>
    <row r="836">
      <c r="A836" s="415"/>
      <c r="B836" s="415"/>
      <c r="C836" s="415"/>
      <c r="D836" s="415"/>
      <c r="E836" s="415"/>
      <c r="F836" s="415"/>
      <c r="G836" s="415"/>
      <c r="H836" s="415"/>
      <c r="I836" s="415"/>
      <c r="J836" s="415"/>
      <c r="K836" s="415"/>
      <c r="L836" s="415"/>
      <c r="M836" s="415"/>
      <c r="N836" s="415"/>
      <c r="O836" s="415"/>
      <c r="P836" s="415"/>
      <c r="Q836" s="415"/>
      <c r="R836" s="415"/>
      <c r="S836" s="415"/>
      <c r="T836" s="415"/>
      <c r="U836" s="415"/>
      <c r="V836" s="415"/>
      <c r="W836" s="415"/>
      <c r="X836" s="415"/>
      <c r="Y836" s="415"/>
      <c r="Z836" s="415"/>
      <c r="AA836" s="415"/>
    </row>
    <row r="837">
      <c r="A837" s="415"/>
      <c r="B837" s="415"/>
      <c r="C837" s="415"/>
      <c r="D837" s="415"/>
      <c r="E837" s="415"/>
      <c r="F837" s="415"/>
      <c r="G837" s="415"/>
      <c r="H837" s="415"/>
      <c r="I837" s="415"/>
      <c r="J837" s="415"/>
      <c r="K837" s="415"/>
      <c r="L837" s="415"/>
      <c r="M837" s="415"/>
      <c r="N837" s="415"/>
      <c r="O837" s="415"/>
      <c r="P837" s="415"/>
      <c r="Q837" s="415"/>
      <c r="R837" s="415"/>
      <c r="S837" s="415"/>
      <c r="T837" s="415"/>
      <c r="U837" s="415"/>
      <c r="V837" s="415"/>
      <c r="W837" s="415"/>
      <c r="X837" s="415"/>
      <c r="Y837" s="415"/>
      <c r="Z837" s="415"/>
      <c r="AA837" s="415"/>
    </row>
    <row r="838">
      <c r="A838" s="415"/>
      <c r="B838" s="415"/>
      <c r="C838" s="415"/>
      <c r="D838" s="415"/>
      <c r="E838" s="415"/>
      <c r="F838" s="415"/>
      <c r="G838" s="415"/>
      <c r="H838" s="415"/>
      <c r="I838" s="415"/>
      <c r="J838" s="415"/>
      <c r="K838" s="415"/>
      <c r="L838" s="415"/>
      <c r="M838" s="415"/>
      <c r="N838" s="415"/>
      <c r="O838" s="415"/>
      <c r="P838" s="415"/>
      <c r="Q838" s="415"/>
      <c r="R838" s="415"/>
      <c r="S838" s="415"/>
      <c r="T838" s="415"/>
      <c r="U838" s="415"/>
      <c r="V838" s="415"/>
      <c r="W838" s="415"/>
      <c r="X838" s="415"/>
      <c r="Y838" s="415"/>
      <c r="Z838" s="415"/>
      <c r="AA838" s="415"/>
    </row>
    <row r="839">
      <c r="A839" s="415"/>
      <c r="B839" s="415"/>
      <c r="C839" s="415"/>
      <c r="D839" s="415"/>
      <c r="E839" s="415"/>
      <c r="F839" s="415"/>
      <c r="G839" s="415"/>
      <c r="H839" s="415"/>
      <c r="I839" s="415"/>
      <c r="J839" s="415"/>
      <c r="K839" s="415"/>
      <c r="L839" s="415"/>
      <c r="M839" s="415"/>
      <c r="N839" s="415"/>
      <c r="O839" s="415"/>
      <c r="P839" s="415"/>
      <c r="Q839" s="415"/>
      <c r="R839" s="415"/>
      <c r="S839" s="415"/>
      <c r="T839" s="415"/>
      <c r="U839" s="415"/>
      <c r="V839" s="415"/>
      <c r="W839" s="415"/>
      <c r="X839" s="415"/>
      <c r="Y839" s="415"/>
      <c r="Z839" s="415"/>
      <c r="AA839" s="415"/>
    </row>
    <row r="840">
      <c r="A840" s="415"/>
      <c r="B840" s="415"/>
      <c r="C840" s="415"/>
      <c r="D840" s="415"/>
      <c r="E840" s="415"/>
      <c r="F840" s="415"/>
      <c r="G840" s="415"/>
      <c r="H840" s="415"/>
      <c r="I840" s="415"/>
      <c r="J840" s="415"/>
      <c r="K840" s="415"/>
      <c r="L840" s="415"/>
      <c r="M840" s="415"/>
      <c r="N840" s="415"/>
      <c r="O840" s="415"/>
      <c r="P840" s="415"/>
      <c r="Q840" s="415"/>
      <c r="R840" s="415"/>
      <c r="S840" s="415"/>
      <c r="T840" s="415"/>
      <c r="U840" s="415"/>
      <c r="V840" s="415"/>
      <c r="W840" s="415"/>
      <c r="X840" s="415"/>
      <c r="Y840" s="415"/>
      <c r="Z840" s="415"/>
      <c r="AA840" s="415"/>
    </row>
    <row r="841">
      <c r="A841" s="415"/>
      <c r="B841" s="415"/>
      <c r="C841" s="415"/>
      <c r="D841" s="415"/>
      <c r="E841" s="415"/>
      <c r="F841" s="415"/>
      <c r="G841" s="415"/>
      <c r="H841" s="415"/>
      <c r="I841" s="415"/>
      <c r="J841" s="415"/>
      <c r="K841" s="415"/>
      <c r="L841" s="415"/>
      <c r="M841" s="415"/>
      <c r="N841" s="415"/>
      <c r="O841" s="415"/>
      <c r="P841" s="415"/>
      <c r="Q841" s="415"/>
      <c r="R841" s="415"/>
      <c r="S841" s="415"/>
      <c r="T841" s="415"/>
      <c r="U841" s="415"/>
      <c r="V841" s="415"/>
      <c r="W841" s="415"/>
      <c r="X841" s="415"/>
      <c r="Y841" s="415"/>
      <c r="Z841" s="415"/>
      <c r="AA841" s="415"/>
    </row>
    <row r="842">
      <c r="A842" s="415"/>
      <c r="B842" s="415"/>
      <c r="C842" s="415"/>
      <c r="D842" s="415"/>
      <c r="E842" s="415"/>
      <c r="F842" s="415"/>
      <c r="G842" s="415"/>
      <c r="H842" s="415"/>
      <c r="I842" s="415"/>
      <c r="J842" s="415"/>
      <c r="K842" s="415"/>
      <c r="L842" s="415"/>
      <c r="M842" s="415"/>
      <c r="N842" s="415"/>
      <c r="O842" s="415"/>
      <c r="P842" s="415"/>
      <c r="Q842" s="415"/>
      <c r="R842" s="415"/>
      <c r="S842" s="415"/>
      <c r="T842" s="415"/>
      <c r="U842" s="415"/>
      <c r="V842" s="415"/>
      <c r="W842" s="415"/>
      <c r="X842" s="415"/>
      <c r="Y842" s="415"/>
      <c r="Z842" s="415"/>
      <c r="AA842" s="415"/>
    </row>
    <row r="843">
      <c r="A843" s="415"/>
      <c r="B843" s="415"/>
      <c r="C843" s="415"/>
      <c r="D843" s="415"/>
      <c r="E843" s="415"/>
      <c r="F843" s="415"/>
      <c r="G843" s="415"/>
      <c r="H843" s="415"/>
      <c r="I843" s="415"/>
      <c r="J843" s="415"/>
      <c r="K843" s="415"/>
      <c r="L843" s="415"/>
      <c r="M843" s="415"/>
      <c r="N843" s="415"/>
      <c r="O843" s="415"/>
      <c r="P843" s="415"/>
      <c r="Q843" s="415"/>
      <c r="R843" s="415"/>
      <c r="S843" s="415"/>
      <c r="T843" s="415"/>
      <c r="U843" s="415"/>
      <c r="V843" s="415"/>
      <c r="W843" s="415"/>
      <c r="X843" s="415"/>
      <c r="Y843" s="415"/>
      <c r="Z843" s="415"/>
      <c r="AA843" s="415"/>
    </row>
    <row r="844">
      <c r="A844" s="415"/>
      <c r="B844" s="415"/>
      <c r="C844" s="415"/>
      <c r="D844" s="415"/>
      <c r="E844" s="415"/>
      <c r="F844" s="415"/>
      <c r="G844" s="415"/>
      <c r="H844" s="415"/>
      <c r="I844" s="415"/>
      <c r="J844" s="415"/>
      <c r="K844" s="415"/>
      <c r="L844" s="415"/>
      <c r="M844" s="415"/>
      <c r="N844" s="415"/>
      <c r="O844" s="415"/>
      <c r="P844" s="415"/>
      <c r="Q844" s="415"/>
      <c r="R844" s="415"/>
      <c r="S844" s="415"/>
      <c r="T844" s="415"/>
      <c r="U844" s="415"/>
      <c r="V844" s="415"/>
      <c r="W844" s="415"/>
      <c r="X844" s="415"/>
      <c r="Y844" s="415"/>
      <c r="Z844" s="415"/>
      <c r="AA844" s="415"/>
    </row>
    <row r="845">
      <c r="A845" s="415"/>
      <c r="B845" s="415"/>
      <c r="C845" s="415"/>
      <c r="D845" s="415"/>
      <c r="E845" s="415"/>
      <c r="F845" s="415"/>
      <c r="G845" s="415"/>
      <c r="H845" s="415"/>
      <c r="I845" s="415"/>
      <c r="J845" s="415"/>
      <c r="K845" s="415"/>
      <c r="L845" s="415"/>
      <c r="M845" s="415"/>
      <c r="N845" s="415"/>
      <c r="O845" s="415"/>
      <c r="P845" s="415"/>
      <c r="Q845" s="415"/>
      <c r="R845" s="415"/>
      <c r="S845" s="415"/>
      <c r="T845" s="415"/>
      <c r="U845" s="415"/>
      <c r="V845" s="415"/>
      <c r="W845" s="415"/>
      <c r="X845" s="415"/>
      <c r="Y845" s="415"/>
      <c r="Z845" s="415"/>
      <c r="AA845" s="415"/>
    </row>
    <row r="846">
      <c r="A846" s="415"/>
      <c r="B846" s="415"/>
      <c r="C846" s="415"/>
      <c r="D846" s="415"/>
      <c r="E846" s="415"/>
      <c r="F846" s="415"/>
      <c r="G846" s="415"/>
      <c r="H846" s="415"/>
      <c r="I846" s="415"/>
      <c r="J846" s="415"/>
      <c r="K846" s="415"/>
      <c r="L846" s="415"/>
      <c r="M846" s="415"/>
      <c r="N846" s="415"/>
      <c r="O846" s="415"/>
      <c r="P846" s="415"/>
      <c r="Q846" s="415"/>
      <c r="R846" s="415"/>
      <c r="S846" s="415"/>
      <c r="T846" s="415"/>
      <c r="U846" s="415"/>
      <c r="V846" s="415"/>
      <c r="W846" s="415"/>
      <c r="X846" s="415"/>
      <c r="Y846" s="415"/>
      <c r="Z846" s="415"/>
      <c r="AA846" s="415"/>
    </row>
    <row r="847">
      <c r="A847" s="415"/>
      <c r="B847" s="415"/>
      <c r="C847" s="415"/>
      <c r="D847" s="415"/>
      <c r="E847" s="415"/>
      <c r="F847" s="415"/>
      <c r="G847" s="415"/>
      <c r="H847" s="415"/>
      <c r="I847" s="415"/>
      <c r="J847" s="415"/>
      <c r="K847" s="415"/>
      <c r="L847" s="415"/>
      <c r="M847" s="415"/>
      <c r="N847" s="415"/>
      <c r="O847" s="415"/>
      <c r="P847" s="415"/>
      <c r="Q847" s="415"/>
      <c r="R847" s="415"/>
      <c r="S847" s="415"/>
      <c r="T847" s="415"/>
      <c r="U847" s="415"/>
      <c r="V847" s="415"/>
      <c r="W847" s="415"/>
      <c r="X847" s="415"/>
      <c r="Y847" s="415"/>
      <c r="Z847" s="415"/>
      <c r="AA847" s="415"/>
    </row>
    <row r="848">
      <c r="A848" s="415"/>
      <c r="B848" s="415"/>
      <c r="C848" s="415"/>
      <c r="D848" s="415"/>
      <c r="E848" s="415"/>
      <c r="F848" s="415"/>
      <c r="G848" s="415"/>
      <c r="H848" s="415"/>
      <c r="I848" s="415"/>
      <c r="J848" s="415"/>
      <c r="K848" s="415"/>
      <c r="L848" s="415"/>
      <c r="M848" s="415"/>
      <c r="N848" s="415"/>
      <c r="O848" s="415"/>
      <c r="P848" s="415"/>
      <c r="Q848" s="415"/>
      <c r="R848" s="415"/>
      <c r="S848" s="415"/>
      <c r="T848" s="415"/>
      <c r="U848" s="415"/>
      <c r="V848" s="415"/>
      <c r="W848" s="415"/>
      <c r="X848" s="415"/>
      <c r="Y848" s="415"/>
      <c r="Z848" s="415"/>
      <c r="AA848" s="415"/>
    </row>
    <row r="849">
      <c r="A849" s="415"/>
      <c r="B849" s="415"/>
      <c r="C849" s="415"/>
      <c r="D849" s="415"/>
      <c r="E849" s="415"/>
      <c r="F849" s="415"/>
      <c r="G849" s="415"/>
      <c r="H849" s="415"/>
      <c r="I849" s="415"/>
      <c r="J849" s="415"/>
      <c r="K849" s="415"/>
      <c r="L849" s="415"/>
      <c r="M849" s="415"/>
      <c r="N849" s="415"/>
      <c r="O849" s="415"/>
      <c r="P849" s="415"/>
      <c r="Q849" s="415"/>
      <c r="R849" s="415"/>
      <c r="S849" s="415"/>
      <c r="T849" s="415"/>
      <c r="U849" s="415"/>
      <c r="V849" s="415"/>
      <c r="W849" s="415"/>
      <c r="X849" s="415"/>
      <c r="Y849" s="415"/>
      <c r="Z849" s="415"/>
      <c r="AA849" s="415"/>
    </row>
    <row r="850">
      <c r="A850" s="415"/>
      <c r="B850" s="415"/>
      <c r="C850" s="415"/>
      <c r="D850" s="415"/>
      <c r="E850" s="415"/>
      <c r="F850" s="415"/>
      <c r="G850" s="415"/>
      <c r="H850" s="415"/>
      <c r="I850" s="415"/>
      <c r="J850" s="415"/>
      <c r="K850" s="415"/>
      <c r="L850" s="415"/>
      <c r="M850" s="415"/>
      <c r="N850" s="415"/>
      <c r="O850" s="415"/>
      <c r="P850" s="415"/>
      <c r="Q850" s="415"/>
      <c r="R850" s="415"/>
      <c r="S850" s="415"/>
      <c r="T850" s="415"/>
      <c r="U850" s="415"/>
      <c r="V850" s="415"/>
      <c r="W850" s="415"/>
      <c r="X850" s="415"/>
      <c r="Y850" s="415"/>
      <c r="Z850" s="415"/>
      <c r="AA850" s="415"/>
    </row>
    <row r="851">
      <c r="A851" s="415"/>
      <c r="B851" s="415"/>
      <c r="C851" s="415"/>
      <c r="D851" s="415"/>
      <c r="E851" s="415"/>
      <c r="F851" s="415"/>
      <c r="G851" s="415"/>
      <c r="H851" s="415"/>
      <c r="I851" s="415"/>
      <c r="J851" s="415"/>
      <c r="K851" s="415"/>
      <c r="L851" s="415"/>
      <c r="M851" s="415"/>
      <c r="N851" s="415"/>
      <c r="O851" s="415"/>
      <c r="P851" s="415"/>
      <c r="Q851" s="415"/>
      <c r="R851" s="415"/>
      <c r="S851" s="415"/>
      <c r="T851" s="415"/>
      <c r="U851" s="415"/>
      <c r="V851" s="415"/>
      <c r="W851" s="415"/>
      <c r="X851" s="415"/>
      <c r="Y851" s="415"/>
      <c r="Z851" s="415"/>
      <c r="AA851" s="415"/>
    </row>
    <row r="852">
      <c r="A852" s="415"/>
      <c r="B852" s="415"/>
      <c r="C852" s="415"/>
      <c r="D852" s="415"/>
      <c r="E852" s="415"/>
      <c r="F852" s="415"/>
      <c r="G852" s="415"/>
      <c r="H852" s="415"/>
      <c r="I852" s="415"/>
      <c r="J852" s="415"/>
      <c r="K852" s="415"/>
      <c r="L852" s="415"/>
      <c r="M852" s="415"/>
      <c r="N852" s="415"/>
      <c r="O852" s="415"/>
      <c r="P852" s="415"/>
      <c r="Q852" s="415"/>
      <c r="R852" s="415"/>
      <c r="S852" s="415"/>
      <c r="T852" s="415"/>
      <c r="U852" s="415"/>
      <c r="V852" s="415"/>
      <c r="W852" s="415"/>
      <c r="X852" s="415"/>
      <c r="Y852" s="415"/>
      <c r="Z852" s="415"/>
      <c r="AA852" s="415"/>
    </row>
    <row r="853">
      <c r="A853" s="415"/>
      <c r="B853" s="415"/>
      <c r="C853" s="415"/>
      <c r="D853" s="415"/>
      <c r="E853" s="415"/>
      <c r="F853" s="415"/>
      <c r="G853" s="415"/>
      <c r="H853" s="415"/>
      <c r="I853" s="415"/>
      <c r="J853" s="415"/>
      <c r="K853" s="415"/>
      <c r="L853" s="415"/>
      <c r="M853" s="415"/>
      <c r="N853" s="415"/>
      <c r="O853" s="415"/>
      <c r="P853" s="415"/>
      <c r="Q853" s="415"/>
      <c r="R853" s="415"/>
      <c r="S853" s="415"/>
      <c r="T853" s="415"/>
      <c r="U853" s="415"/>
      <c r="V853" s="415"/>
      <c r="W853" s="415"/>
      <c r="X853" s="415"/>
      <c r="Y853" s="415"/>
      <c r="Z853" s="415"/>
      <c r="AA853" s="415"/>
    </row>
    <row r="854">
      <c r="A854" s="415"/>
      <c r="B854" s="415"/>
      <c r="C854" s="415"/>
      <c r="D854" s="415"/>
      <c r="E854" s="415"/>
      <c r="F854" s="415"/>
      <c r="G854" s="415"/>
      <c r="H854" s="415"/>
      <c r="I854" s="415"/>
      <c r="J854" s="415"/>
      <c r="K854" s="415"/>
      <c r="L854" s="415"/>
      <c r="M854" s="415"/>
      <c r="N854" s="415"/>
      <c r="O854" s="415"/>
      <c r="P854" s="415"/>
      <c r="Q854" s="415"/>
      <c r="R854" s="415"/>
      <c r="S854" s="415"/>
      <c r="T854" s="415"/>
      <c r="U854" s="415"/>
      <c r="V854" s="415"/>
      <c r="W854" s="415"/>
      <c r="X854" s="415"/>
      <c r="Y854" s="415"/>
      <c r="Z854" s="415"/>
      <c r="AA854" s="415"/>
    </row>
    <row r="855">
      <c r="A855" s="415"/>
      <c r="B855" s="415"/>
      <c r="C855" s="415"/>
      <c r="D855" s="415"/>
      <c r="E855" s="415"/>
      <c r="F855" s="415"/>
      <c r="G855" s="415"/>
      <c r="H855" s="415"/>
      <c r="I855" s="415"/>
      <c r="J855" s="415"/>
      <c r="K855" s="415"/>
      <c r="L855" s="415"/>
      <c r="M855" s="415"/>
      <c r="N855" s="415"/>
      <c r="O855" s="415"/>
      <c r="P855" s="415"/>
      <c r="Q855" s="415"/>
      <c r="R855" s="415"/>
      <c r="S855" s="415"/>
      <c r="T855" s="415"/>
      <c r="U855" s="415"/>
      <c r="V855" s="415"/>
      <c r="W855" s="415"/>
      <c r="X855" s="415"/>
      <c r="Y855" s="415"/>
      <c r="Z855" s="415"/>
      <c r="AA855" s="415"/>
    </row>
    <row r="856">
      <c r="A856" s="415"/>
      <c r="B856" s="415"/>
      <c r="C856" s="415"/>
      <c r="D856" s="415"/>
      <c r="E856" s="415"/>
      <c r="F856" s="415"/>
      <c r="G856" s="415"/>
      <c r="H856" s="415"/>
      <c r="I856" s="415"/>
      <c r="J856" s="415"/>
      <c r="K856" s="415"/>
      <c r="L856" s="415"/>
      <c r="M856" s="415"/>
      <c r="N856" s="415"/>
      <c r="O856" s="415"/>
      <c r="P856" s="415"/>
      <c r="Q856" s="415"/>
      <c r="R856" s="415"/>
      <c r="S856" s="415"/>
      <c r="T856" s="415"/>
      <c r="U856" s="415"/>
      <c r="V856" s="415"/>
      <c r="W856" s="415"/>
      <c r="X856" s="415"/>
      <c r="Y856" s="415"/>
      <c r="Z856" s="415"/>
      <c r="AA856" s="415"/>
    </row>
    <row r="857">
      <c r="A857" s="415"/>
      <c r="B857" s="415"/>
      <c r="C857" s="415"/>
      <c r="D857" s="415"/>
      <c r="E857" s="415"/>
      <c r="F857" s="415"/>
      <c r="G857" s="415"/>
      <c r="H857" s="415"/>
      <c r="I857" s="415"/>
      <c r="J857" s="415"/>
      <c r="K857" s="415"/>
      <c r="L857" s="415"/>
      <c r="M857" s="415"/>
      <c r="N857" s="415"/>
      <c r="O857" s="415"/>
      <c r="P857" s="415"/>
      <c r="Q857" s="415"/>
      <c r="R857" s="415"/>
      <c r="S857" s="415"/>
      <c r="T857" s="415"/>
      <c r="U857" s="415"/>
      <c r="V857" s="415"/>
      <c r="W857" s="415"/>
      <c r="X857" s="415"/>
      <c r="Y857" s="415"/>
      <c r="Z857" s="415"/>
      <c r="AA857" s="415"/>
    </row>
    <row r="858">
      <c r="A858" s="415"/>
      <c r="B858" s="415"/>
      <c r="C858" s="415"/>
      <c r="D858" s="415"/>
      <c r="E858" s="415"/>
      <c r="F858" s="415"/>
      <c r="G858" s="415"/>
      <c r="H858" s="415"/>
      <c r="I858" s="415"/>
      <c r="J858" s="415"/>
      <c r="K858" s="415"/>
      <c r="L858" s="415"/>
      <c r="M858" s="415"/>
      <c r="N858" s="415"/>
      <c r="O858" s="415"/>
      <c r="P858" s="415"/>
      <c r="Q858" s="415"/>
      <c r="R858" s="415"/>
      <c r="S858" s="415"/>
      <c r="T858" s="415"/>
      <c r="U858" s="415"/>
      <c r="V858" s="415"/>
      <c r="W858" s="415"/>
      <c r="X858" s="415"/>
      <c r="Y858" s="415"/>
      <c r="Z858" s="415"/>
      <c r="AA858" s="415"/>
    </row>
    <row r="859">
      <c r="A859" s="415"/>
      <c r="B859" s="415"/>
      <c r="C859" s="415"/>
      <c r="D859" s="415"/>
      <c r="E859" s="415"/>
      <c r="F859" s="415"/>
      <c r="G859" s="415"/>
      <c r="H859" s="415"/>
      <c r="I859" s="415"/>
      <c r="J859" s="415"/>
      <c r="K859" s="415"/>
      <c r="L859" s="415"/>
      <c r="M859" s="415"/>
      <c r="N859" s="415"/>
      <c r="O859" s="415"/>
      <c r="P859" s="415"/>
      <c r="Q859" s="415"/>
      <c r="R859" s="415"/>
      <c r="S859" s="415"/>
      <c r="T859" s="415"/>
      <c r="U859" s="415"/>
      <c r="V859" s="415"/>
      <c r="W859" s="415"/>
      <c r="X859" s="415"/>
      <c r="Y859" s="415"/>
      <c r="Z859" s="415"/>
      <c r="AA859" s="415"/>
    </row>
    <row r="860">
      <c r="A860" s="415"/>
      <c r="B860" s="415"/>
      <c r="C860" s="415"/>
      <c r="D860" s="415"/>
      <c r="E860" s="415"/>
      <c r="F860" s="415"/>
      <c r="G860" s="415"/>
      <c r="H860" s="415"/>
      <c r="I860" s="415"/>
      <c r="J860" s="415"/>
      <c r="K860" s="415"/>
      <c r="L860" s="415"/>
      <c r="M860" s="415"/>
      <c r="N860" s="415"/>
      <c r="O860" s="415"/>
      <c r="P860" s="415"/>
      <c r="Q860" s="415"/>
      <c r="R860" s="415"/>
      <c r="S860" s="415"/>
      <c r="T860" s="415"/>
      <c r="U860" s="415"/>
      <c r="V860" s="415"/>
      <c r="W860" s="415"/>
      <c r="X860" s="415"/>
      <c r="Y860" s="415"/>
      <c r="Z860" s="415"/>
      <c r="AA860" s="415"/>
    </row>
    <row r="861">
      <c r="A861" s="415"/>
      <c r="B861" s="415"/>
      <c r="C861" s="415"/>
      <c r="D861" s="415"/>
      <c r="E861" s="415"/>
      <c r="F861" s="415"/>
      <c r="G861" s="415"/>
      <c r="H861" s="415"/>
      <c r="I861" s="415"/>
      <c r="J861" s="415"/>
      <c r="K861" s="415"/>
      <c r="L861" s="415"/>
      <c r="M861" s="415"/>
      <c r="N861" s="415"/>
      <c r="O861" s="415"/>
      <c r="P861" s="415"/>
      <c r="Q861" s="415"/>
      <c r="R861" s="415"/>
      <c r="S861" s="415"/>
      <c r="T861" s="415"/>
      <c r="U861" s="415"/>
      <c r="V861" s="415"/>
      <c r="W861" s="415"/>
      <c r="X861" s="415"/>
      <c r="Y861" s="415"/>
      <c r="Z861" s="415"/>
      <c r="AA861" s="415"/>
    </row>
    <row r="862">
      <c r="A862" s="415"/>
      <c r="B862" s="415"/>
      <c r="C862" s="415"/>
      <c r="D862" s="415"/>
      <c r="E862" s="415"/>
      <c r="F862" s="415"/>
      <c r="G862" s="415"/>
      <c r="H862" s="415"/>
      <c r="I862" s="415"/>
      <c r="J862" s="415"/>
      <c r="K862" s="415"/>
      <c r="L862" s="415"/>
      <c r="M862" s="415"/>
      <c r="N862" s="415"/>
      <c r="O862" s="415"/>
      <c r="P862" s="415"/>
      <c r="Q862" s="415"/>
      <c r="R862" s="415"/>
      <c r="S862" s="415"/>
      <c r="T862" s="415"/>
      <c r="U862" s="415"/>
      <c r="V862" s="415"/>
      <c r="W862" s="415"/>
      <c r="X862" s="415"/>
      <c r="Y862" s="415"/>
      <c r="Z862" s="415"/>
      <c r="AA862" s="415"/>
    </row>
    <row r="863">
      <c r="A863" s="415"/>
      <c r="B863" s="415"/>
      <c r="C863" s="415"/>
      <c r="D863" s="415"/>
      <c r="E863" s="415"/>
      <c r="F863" s="415"/>
      <c r="G863" s="415"/>
      <c r="H863" s="415"/>
      <c r="I863" s="415"/>
      <c r="J863" s="415"/>
      <c r="K863" s="415"/>
      <c r="L863" s="415"/>
      <c r="M863" s="415"/>
      <c r="N863" s="415"/>
      <c r="O863" s="415"/>
      <c r="P863" s="415"/>
      <c r="Q863" s="415"/>
      <c r="R863" s="415"/>
      <c r="S863" s="415"/>
      <c r="T863" s="415"/>
      <c r="U863" s="415"/>
      <c r="V863" s="415"/>
      <c r="W863" s="415"/>
      <c r="X863" s="415"/>
      <c r="Y863" s="415"/>
      <c r="Z863" s="415"/>
      <c r="AA863" s="415"/>
    </row>
    <row r="864">
      <c r="A864" s="415"/>
      <c r="B864" s="415"/>
      <c r="C864" s="415"/>
      <c r="D864" s="415"/>
      <c r="E864" s="415"/>
      <c r="F864" s="415"/>
      <c r="G864" s="415"/>
      <c r="H864" s="415"/>
      <c r="I864" s="415"/>
      <c r="J864" s="415"/>
      <c r="K864" s="415"/>
      <c r="L864" s="415"/>
      <c r="M864" s="415"/>
      <c r="N864" s="415"/>
      <c r="O864" s="415"/>
      <c r="P864" s="415"/>
      <c r="Q864" s="415"/>
      <c r="R864" s="415"/>
      <c r="S864" s="415"/>
      <c r="T864" s="415"/>
      <c r="U864" s="415"/>
      <c r="V864" s="415"/>
      <c r="W864" s="415"/>
      <c r="X864" s="415"/>
      <c r="Y864" s="415"/>
      <c r="Z864" s="415"/>
      <c r="AA864" s="415"/>
    </row>
    <row r="865">
      <c r="A865" s="415"/>
      <c r="B865" s="415"/>
      <c r="C865" s="415"/>
      <c r="D865" s="415"/>
      <c r="E865" s="415"/>
      <c r="F865" s="415"/>
      <c r="G865" s="415"/>
      <c r="H865" s="415"/>
      <c r="I865" s="415"/>
      <c r="J865" s="415"/>
      <c r="K865" s="415"/>
      <c r="L865" s="415"/>
      <c r="M865" s="415"/>
      <c r="N865" s="415"/>
      <c r="O865" s="415"/>
      <c r="P865" s="415"/>
      <c r="Q865" s="415"/>
      <c r="R865" s="415"/>
      <c r="S865" s="415"/>
      <c r="T865" s="415"/>
      <c r="U865" s="415"/>
      <c r="V865" s="415"/>
      <c r="W865" s="415"/>
      <c r="X865" s="415"/>
      <c r="Y865" s="415"/>
      <c r="Z865" s="415"/>
      <c r="AA865" s="415"/>
    </row>
    <row r="866">
      <c r="A866" s="415"/>
      <c r="B866" s="415"/>
      <c r="C866" s="415"/>
      <c r="D866" s="415"/>
      <c r="E866" s="415"/>
      <c r="F866" s="415"/>
      <c r="G866" s="415"/>
      <c r="H866" s="415"/>
      <c r="I866" s="415"/>
      <c r="J866" s="415"/>
      <c r="K866" s="415"/>
      <c r="L866" s="415"/>
      <c r="M866" s="415"/>
      <c r="N866" s="415"/>
      <c r="O866" s="415"/>
      <c r="P866" s="415"/>
      <c r="Q866" s="415"/>
      <c r="R866" s="415"/>
      <c r="S866" s="415"/>
      <c r="T866" s="415"/>
      <c r="U866" s="415"/>
      <c r="V866" s="415"/>
      <c r="W866" s="415"/>
      <c r="X866" s="415"/>
      <c r="Y866" s="415"/>
      <c r="Z866" s="415"/>
      <c r="AA866" s="415"/>
    </row>
    <row r="867">
      <c r="A867" s="415"/>
      <c r="B867" s="415"/>
      <c r="C867" s="415"/>
      <c r="D867" s="415"/>
      <c r="E867" s="415"/>
      <c r="F867" s="415"/>
      <c r="G867" s="415"/>
      <c r="H867" s="415"/>
      <c r="I867" s="415"/>
      <c r="J867" s="415"/>
      <c r="K867" s="415"/>
      <c r="L867" s="415"/>
      <c r="M867" s="415"/>
      <c r="N867" s="415"/>
      <c r="O867" s="415"/>
      <c r="P867" s="415"/>
      <c r="Q867" s="415"/>
      <c r="R867" s="415"/>
      <c r="S867" s="415"/>
      <c r="T867" s="415"/>
      <c r="U867" s="415"/>
      <c r="V867" s="415"/>
      <c r="W867" s="415"/>
      <c r="X867" s="415"/>
      <c r="Y867" s="415"/>
      <c r="Z867" s="415"/>
      <c r="AA867" s="415"/>
    </row>
    <row r="868">
      <c r="A868" s="415"/>
      <c r="B868" s="415"/>
      <c r="C868" s="415"/>
      <c r="D868" s="415"/>
      <c r="E868" s="415"/>
      <c r="F868" s="415"/>
      <c r="G868" s="415"/>
      <c r="H868" s="415"/>
      <c r="I868" s="415"/>
      <c r="J868" s="415"/>
      <c r="K868" s="415"/>
      <c r="L868" s="415"/>
      <c r="M868" s="415"/>
      <c r="N868" s="415"/>
      <c r="O868" s="415"/>
      <c r="P868" s="415"/>
      <c r="Q868" s="415"/>
      <c r="R868" s="415"/>
      <c r="S868" s="415"/>
      <c r="T868" s="415"/>
      <c r="U868" s="415"/>
      <c r="V868" s="415"/>
      <c r="W868" s="415"/>
      <c r="X868" s="415"/>
      <c r="Y868" s="415"/>
      <c r="Z868" s="415"/>
      <c r="AA868" s="415"/>
    </row>
    <row r="869">
      <c r="A869" s="415"/>
      <c r="B869" s="415"/>
      <c r="C869" s="415"/>
      <c r="D869" s="415"/>
      <c r="E869" s="415"/>
      <c r="F869" s="415"/>
      <c r="G869" s="415"/>
      <c r="H869" s="415"/>
      <c r="I869" s="415"/>
      <c r="J869" s="415"/>
      <c r="K869" s="415"/>
      <c r="L869" s="415"/>
      <c r="M869" s="415"/>
      <c r="N869" s="415"/>
      <c r="O869" s="415"/>
      <c r="P869" s="415"/>
      <c r="Q869" s="415"/>
      <c r="R869" s="415"/>
      <c r="S869" s="415"/>
      <c r="T869" s="415"/>
      <c r="U869" s="415"/>
      <c r="V869" s="415"/>
      <c r="W869" s="415"/>
      <c r="X869" s="415"/>
      <c r="Y869" s="415"/>
      <c r="Z869" s="415"/>
      <c r="AA869" s="415"/>
    </row>
    <row r="870">
      <c r="A870" s="415"/>
      <c r="B870" s="415"/>
      <c r="C870" s="415"/>
      <c r="D870" s="415"/>
      <c r="E870" s="415"/>
      <c r="F870" s="415"/>
      <c r="G870" s="415"/>
      <c r="H870" s="415"/>
      <c r="I870" s="415"/>
      <c r="J870" s="415"/>
      <c r="K870" s="415"/>
      <c r="L870" s="415"/>
      <c r="M870" s="415"/>
      <c r="N870" s="415"/>
      <c r="O870" s="415"/>
      <c r="P870" s="415"/>
      <c r="Q870" s="415"/>
      <c r="R870" s="415"/>
      <c r="S870" s="415"/>
      <c r="T870" s="415"/>
      <c r="U870" s="415"/>
      <c r="V870" s="415"/>
      <c r="W870" s="415"/>
      <c r="X870" s="415"/>
      <c r="Y870" s="415"/>
      <c r="Z870" s="415"/>
      <c r="AA870" s="415"/>
    </row>
    <row r="871">
      <c r="A871" s="415"/>
      <c r="B871" s="415"/>
      <c r="C871" s="415"/>
      <c r="D871" s="415"/>
      <c r="E871" s="415"/>
      <c r="F871" s="415"/>
      <c r="G871" s="415"/>
      <c r="H871" s="415"/>
      <c r="I871" s="415"/>
      <c r="J871" s="415"/>
      <c r="K871" s="415"/>
      <c r="L871" s="415"/>
      <c r="M871" s="415"/>
      <c r="N871" s="415"/>
      <c r="O871" s="415"/>
      <c r="P871" s="415"/>
      <c r="Q871" s="415"/>
      <c r="R871" s="415"/>
      <c r="S871" s="415"/>
      <c r="T871" s="415"/>
      <c r="U871" s="415"/>
      <c r="V871" s="415"/>
      <c r="W871" s="415"/>
      <c r="X871" s="415"/>
      <c r="Y871" s="415"/>
      <c r="Z871" s="415"/>
      <c r="AA871" s="415"/>
    </row>
    <row r="872">
      <c r="A872" s="415"/>
      <c r="B872" s="415"/>
      <c r="C872" s="415"/>
      <c r="D872" s="415"/>
      <c r="E872" s="415"/>
      <c r="F872" s="415"/>
      <c r="G872" s="415"/>
      <c r="H872" s="415"/>
      <c r="I872" s="415"/>
      <c r="J872" s="415"/>
      <c r="K872" s="415"/>
      <c r="L872" s="415"/>
      <c r="M872" s="415"/>
      <c r="N872" s="415"/>
      <c r="O872" s="415"/>
      <c r="P872" s="415"/>
      <c r="Q872" s="415"/>
      <c r="R872" s="415"/>
      <c r="S872" s="415"/>
      <c r="T872" s="415"/>
      <c r="U872" s="415"/>
      <c r="V872" s="415"/>
      <c r="W872" s="415"/>
      <c r="X872" s="415"/>
      <c r="Y872" s="415"/>
      <c r="Z872" s="415"/>
      <c r="AA872" s="415"/>
    </row>
    <row r="873">
      <c r="A873" s="415"/>
      <c r="B873" s="415"/>
      <c r="C873" s="415"/>
      <c r="D873" s="415"/>
      <c r="E873" s="415"/>
      <c r="F873" s="415"/>
      <c r="G873" s="415"/>
      <c r="H873" s="415"/>
      <c r="I873" s="415"/>
      <c r="J873" s="415"/>
      <c r="K873" s="415"/>
      <c r="L873" s="415"/>
      <c r="M873" s="415"/>
      <c r="N873" s="415"/>
      <c r="O873" s="415"/>
      <c r="P873" s="415"/>
      <c r="Q873" s="415"/>
      <c r="R873" s="415"/>
      <c r="S873" s="415"/>
      <c r="T873" s="415"/>
      <c r="U873" s="415"/>
      <c r="V873" s="415"/>
      <c r="W873" s="415"/>
      <c r="X873" s="415"/>
      <c r="Y873" s="415"/>
      <c r="Z873" s="415"/>
      <c r="AA873" s="415"/>
    </row>
    <row r="874">
      <c r="A874" s="415"/>
      <c r="B874" s="415"/>
      <c r="C874" s="415"/>
      <c r="D874" s="415"/>
      <c r="E874" s="415"/>
      <c r="F874" s="415"/>
      <c r="G874" s="415"/>
      <c r="H874" s="415"/>
      <c r="I874" s="415"/>
      <c r="J874" s="415"/>
      <c r="K874" s="415"/>
      <c r="L874" s="415"/>
      <c r="M874" s="415"/>
      <c r="N874" s="415"/>
      <c r="O874" s="415"/>
      <c r="P874" s="415"/>
      <c r="Q874" s="415"/>
      <c r="R874" s="415"/>
      <c r="S874" s="415"/>
      <c r="T874" s="415"/>
      <c r="U874" s="415"/>
      <c r="V874" s="415"/>
      <c r="W874" s="415"/>
      <c r="X874" s="415"/>
      <c r="Y874" s="415"/>
      <c r="Z874" s="415"/>
      <c r="AA874" s="415"/>
    </row>
    <row r="875">
      <c r="A875" s="415"/>
      <c r="B875" s="415"/>
      <c r="C875" s="415"/>
      <c r="D875" s="415"/>
      <c r="E875" s="415"/>
      <c r="F875" s="415"/>
      <c r="G875" s="415"/>
      <c r="H875" s="415"/>
      <c r="I875" s="415"/>
      <c r="J875" s="415"/>
      <c r="K875" s="415"/>
      <c r="L875" s="415"/>
      <c r="M875" s="415"/>
      <c r="N875" s="415"/>
      <c r="O875" s="415"/>
      <c r="P875" s="415"/>
      <c r="Q875" s="415"/>
      <c r="R875" s="415"/>
      <c r="S875" s="415"/>
      <c r="T875" s="415"/>
      <c r="U875" s="415"/>
      <c r="V875" s="415"/>
      <c r="W875" s="415"/>
      <c r="X875" s="415"/>
      <c r="Y875" s="415"/>
      <c r="Z875" s="415"/>
      <c r="AA875" s="415"/>
    </row>
    <row r="876">
      <c r="A876" s="415"/>
      <c r="B876" s="415"/>
      <c r="C876" s="415"/>
      <c r="D876" s="415"/>
      <c r="E876" s="415"/>
      <c r="F876" s="415"/>
      <c r="G876" s="415"/>
      <c r="H876" s="415"/>
      <c r="I876" s="415"/>
      <c r="J876" s="415"/>
      <c r="K876" s="415"/>
      <c r="L876" s="415"/>
      <c r="M876" s="415"/>
      <c r="N876" s="415"/>
      <c r="O876" s="415"/>
      <c r="P876" s="415"/>
      <c r="Q876" s="415"/>
      <c r="R876" s="415"/>
      <c r="S876" s="415"/>
      <c r="T876" s="415"/>
      <c r="U876" s="415"/>
      <c r="V876" s="415"/>
      <c r="W876" s="415"/>
      <c r="X876" s="415"/>
      <c r="Y876" s="415"/>
      <c r="Z876" s="415"/>
      <c r="AA876" s="415"/>
    </row>
    <row r="877">
      <c r="A877" s="415"/>
      <c r="B877" s="415"/>
      <c r="C877" s="415"/>
      <c r="D877" s="415"/>
      <c r="E877" s="415"/>
      <c r="F877" s="415"/>
      <c r="G877" s="415"/>
      <c r="H877" s="415"/>
      <c r="I877" s="415"/>
      <c r="J877" s="415"/>
      <c r="K877" s="415"/>
      <c r="L877" s="415"/>
      <c r="M877" s="415"/>
      <c r="N877" s="415"/>
      <c r="O877" s="415"/>
      <c r="P877" s="415"/>
      <c r="Q877" s="415"/>
      <c r="R877" s="415"/>
      <c r="S877" s="415"/>
      <c r="T877" s="415"/>
      <c r="U877" s="415"/>
      <c r="V877" s="415"/>
      <c r="W877" s="415"/>
      <c r="X877" s="415"/>
      <c r="Y877" s="415"/>
      <c r="Z877" s="415"/>
      <c r="AA877" s="415"/>
    </row>
    <row r="878">
      <c r="A878" s="415"/>
      <c r="B878" s="415"/>
      <c r="C878" s="415"/>
      <c r="D878" s="415"/>
      <c r="E878" s="415"/>
      <c r="F878" s="415"/>
      <c r="G878" s="415"/>
      <c r="H878" s="415"/>
      <c r="I878" s="415"/>
      <c r="J878" s="415"/>
      <c r="K878" s="415"/>
      <c r="L878" s="415"/>
      <c r="M878" s="415"/>
      <c r="N878" s="415"/>
      <c r="O878" s="415"/>
      <c r="P878" s="415"/>
      <c r="Q878" s="415"/>
      <c r="R878" s="415"/>
      <c r="S878" s="415"/>
      <c r="T878" s="415"/>
      <c r="U878" s="415"/>
      <c r="V878" s="415"/>
      <c r="W878" s="415"/>
      <c r="X878" s="415"/>
      <c r="Y878" s="415"/>
      <c r="Z878" s="415"/>
      <c r="AA878" s="415"/>
    </row>
    <row r="879">
      <c r="A879" s="415"/>
      <c r="B879" s="415"/>
      <c r="C879" s="415"/>
      <c r="D879" s="415"/>
      <c r="E879" s="415"/>
      <c r="F879" s="415"/>
      <c r="G879" s="415"/>
      <c r="H879" s="415"/>
      <c r="I879" s="415"/>
      <c r="J879" s="415"/>
      <c r="K879" s="415"/>
      <c r="L879" s="415"/>
      <c r="M879" s="415"/>
      <c r="N879" s="415"/>
      <c r="O879" s="415"/>
      <c r="P879" s="415"/>
      <c r="Q879" s="415"/>
      <c r="R879" s="415"/>
      <c r="S879" s="415"/>
      <c r="T879" s="415"/>
      <c r="U879" s="415"/>
      <c r="V879" s="415"/>
      <c r="W879" s="415"/>
      <c r="X879" s="415"/>
      <c r="Y879" s="415"/>
      <c r="Z879" s="415"/>
      <c r="AA879" s="415"/>
    </row>
    <row r="880">
      <c r="A880" s="415"/>
      <c r="B880" s="415"/>
      <c r="C880" s="415"/>
      <c r="D880" s="415"/>
      <c r="E880" s="415"/>
      <c r="F880" s="415"/>
      <c r="G880" s="415"/>
      <c r="H880" s="415"/>
      <c r="I880" s="415"/>
      <c r="J880" s="415"/>
      <c r="K880" s="415"/>
      <c r="L880" s="415"/>
      <c r="M880" s="415"/>
      <c r="N880" s="415"/>
      <c r="O880" s="415"/>
      <c r="P880" s="415"/>
      <c r="Q880" s="415"/>
      <c r="R880" s="415"/>
      <c r="S880" s="415"/>
      <c r="T880" s="415"/>
      <c r="U880" s="415"/>
      <c r="V880" s="415"/>
      <c r="W880" s="415"/>
      <c r="X880" s="415"/>
      <c r="Y880" s="415"/>
      <c r="Z880" s="415"/>
      <c r="AA880" s="415"/>
    </row>
    <row r="881">
      <c r="A881" s="415"/>
      <c r="B881" s="415"/>
      <c r="C881" s="415"/>
      <c r="D881" s="415"/>
      <c r="E881" s="415"/>
      <c r="F881" s="415"/>
      <c r="G881" s="415"/>
      <c r="H881" s="415"/>
      <c r="I881" s="415"/>
      <c r="J881" s="415"/>
      <c r="K881" s="415"/>
      <c r="L881" s="415"/>
      <c r="M881" s="415"/>
      <c r="N881" s="415"/>
      <c r="O881" s="415"/>
      <c r="P881" s="415"/>
      <c r="Q881" s="415"/>
      <c r="R881" s="415"/>
      <c r="S881" s="415"/>
      <c r="T881" s="415"/>
      <c r="U881" s="415"/>
      <c r="V881" s="415"/>
      <c r="W881" s="415"/>
      <c r="X881" s="415"/>
      <c r="Y881" s="415"/>
      <c r="Z881" s="415"/>
      <c r="AA881" s="415"/>
    </row>
    <row r="882">
      <c r="A882" s="415"/>
      <c r="B882" s="415"/>
      <c r="C882" s="415"/>
      <c r="D882" s="415"/>
      <c r="E882" s="415"/>
      <c r="F882" s="415"/>
      <c r="G882" s="415"/>
      <c r="H882" s="415"/>
      <c r="I882" s="415"/>
      <c r="J882" s="415"/>
      <c r="K882" s="415"/>
      <c r="L882" s="415"/>
      <c r="M882" s="415"/>
      <c r="N882" s="415"/>
      <c r="O882" s="415"/>
      <c r="P882" s="415"/>
      <c r="Q882" s="415"/>
      <c r="R882" s="415"/>
      <c r="S882" s="415"/>
      <c r="T882" s="415"/>
      <c r="U882" s="415"/>
      <c r="V882" s="415"/>
      <c r="W882" s="415"/>
      <c r="X882" s="415"/>
      <c r="Y882" s="415"/>
      <c r="Z882" s="415"/>
      <c r="AA882" s="415"/>
    </row>
    <row r="883">
      <c r="A883" s="415"/>
      <c r="B883" s="415"/>
      <c r="C883" s="415"/>
      <c r="D883" s="415"/>
      <c r="E883" s="415"/>
      <c r="F883" s="415"/>
      <c r="G883" s="415"/>
      <c r="H883" s="415"/>
      <c r="I883" s="415"/>
      <c r="J883" s="415"/>
      <c r="K883" s="415"/>
      <c r="L883" s="415"/>
      <c r="M883" s="415"/>
      <c r="N883" s="415"/>
      <c r="O883" s="415"/>
      <c r="P883" s="415"/>
      <c r="Q883" s="415"/>
      <c r="R883" s="415"/>
      <c r="S883" s="415"/>
      <c r="T883" s="415"/>
      <c r="U883" s="415"/>
      <c r="V883" s="415"/>
      <c r="W883" s="415"/>
      <c r="X883" s="415"/>
      <c r="Y883" s="415"/>
      <c r="Z883" s="415"/>
      <c r="AA883" s="415"/>
    </row>
    <row r="884">
      <c r="A884" s="415"/>
      <c r="B884" s="415"/>
      <c r="C884" s="415"/>
      <c r="D884" s="415"/>
      <c r="E884" s="415"/>
      <c r="F884" s="415"/>
      <c r="G884" s="415"/>
      <c r="H884" s="415"/>
      <c r="I884" s="415"/>
      <c r="J884" s="415"/>
      <c r="K884" s="415"/>
      <c r="L884" s="415"/>
      <c r="M884" s="415"/>
      <c r="N884" s="415"/>
      <c r="O884" s="415"/>
      <c r="P884" s="415"/>
      <c r="Q884" s="415"/>
      <c r="R884" s="415"/>
      <c r="S884" s="415"/>
      <c r="T884" s="415"/>
      <c r="U884" s="415"/>
      <c r="V884" s="415"/>
      <c r="W884" s="415"/>
      <c r="X884" s="415"/>
      <c r="Y884" s="415"/>
      <c r="Z884" s="415"/>
      <c r="AA884" s="415"/>
    </row>
    <row r="885">
      <c r="A885" s="415"/>
      <c r="B885" s="415"/>
      <c r="C885" s="415"/>
      <c r="D885" s="415"/>
      <c r="E885" s="415"/>
      <c r="F885" s="415"/>
      <c r="G885" s="415"/>
      <c r="H885" s="415"/>
      <c r="I885" s="415"/>
      <c r="J885" s="415"/>
      <c r="K885" s="415"/>
      <c r="L885" s="415"/>
      <c r="M885" s="415"/>
      <c r="N885" s="415"/>
      <c r="O885" s="415"/>
      <c r="P885" s="415"/>
      <c r="Q885" s="415"/>
      <c r="R885" s="415"/>
      <c r="S885" s="415"/>
      <c r="T885" s="415"/>
      <c r="U885" s="415"/>
      <c r="V885" s="415"/>
      <c r="W885" s="415"/>
      <c r="X885" s="415"/>
      <c r="Y885" s="415"/>
      <c r="Z885" s="415"/>
      <c r="AA885" s="415"/>
    </row>
    <row r="886">
      <c r="A886" s="415"/>
      <c r="B886" s="415"/>
      <c r="C886" s="415"/>
      <c r="D886" s="415"/>
      <c r="E886" s="415"/>
      <c r="F886" s="415"/>
      <c r="G886" s="415"/>
      <c r="H886" s="415"/>
      <c r="I886" s="415"/>
      <c r="J886" s="415"/>
      <c r="K886" s="415"/>
      <c r="L886" s="415"/>
      <c r="M886" s="415"/>
      <c r="N886" s="415"/>
      <c r="O886" s="415"/>
      <c r="P886" s="415"/>
      <c r="Q886" s="415"/>
      <c r="R886" s="415"/>
      <c r="S886" s="415"/>
      <c r="T886" s="415"/>
      <c r="U886" s="415"/>
      <c r="V886" s="415"/>
      <c r="W886" s="415"/>
      <c r="X886" s="415"/>
      <c r="Y886" s="415"/>
      <c r="Z886" s="415"/>
      <c r="AA886" s="415"/>
    </row>
    <row r="887">
      <c r="A887" s="415"/>
      <c r="B887" s="415"/>
      <c r="C887" s="415"/>
      <c r="D887" s="415"/>
      <c r="E887" s="415"/>
      <c r="F887" s="415"/>
      <c r="G887" s="415"/>
      <c r="H887" s="415"/>
      <c r="I887" s="415"/>
      <c r="J887" s="415"/>
      <c r="K887" s="415"/>
      <c r="L887" s="415"/>
      <c r="M887" s="415"/>
      <c r="N887" s="415"/>
      <c r="O887" s="415"/>
      <c r="P887" s="415"/>
      <c r="Q887" s="415"/>
      <c r="R887" s="415"/>
      <c r="S887" s="415"/>
      <c r="T887" s="415"/>
      <c r="U887" s="415"/>
      <c r="V887" s="415"/>
      <c r="W887" s="415"/>
      <c r="X887" s="415"/>
      <c r="Y887" s="415"/>
      <c r="Z887" s="415"/>
      <c r="AA887" s="415"/>
    </row>
    <row r="888">
      <c r="A888" s="415"/>
      <c r="B888" s="415"/>
      <c r="C888" s="415"/>
      <c r="D888" s="415"/>
      <c r="E888" s="415"/>
      <c r="F888" s="415"/>
      <c r="G888" s="415"/>
      <c r="H888" s="415"/>
      <c r="I888" s="415"/>
      <c r="J888" s="415"/>
      <c r="K888" s="415"/>
      <c r="L888" s="415"/>
      <c r="M888" s="415"/>
      <c r="N888" s="415"/>
      <c r="O888" s="415"/>
      <c r="P888" s="415"/>
      <c r="Q888" s="415"/>
      <c r="R888" s="415"/>
      <c r="S888" s="415"/>
      <c r="T888" s="415"/>
      <c r="U888" s="415"/>
      <c r="V888" s="415"/>
      <c r="W888" s="415"/>
      <c r="X888" s="415"/>
      <c r="Y888" s="415"/>
      <c r="Z888" s="415"/>
      <c r="AA888" s="415"/>
    </row>
    <row r="889">
      <c r="A889" s="415"/>
      <c r="B889" s="415"/>
      <c r="C889" s="415"/>
      <c r="D889" s="415"/>
      <c r="E889" s="415"/>
      <c r="F889" s="415"/>
      <c r="G889" s="415"/>
      <c r="H889" s="415"/>
      <c r="I889" s="415"/>
      <c r="J889" s="415"/>
      <c r="K889" s="415"/>
      <c r="L889" s="415"/>
      <c r="M889" s="415"/>
      <c r="N889" s="415"/>
      <c r="O889" s="415"/>
      <c r="P889" s="415"/>
      <c r="Q889" s="415"/>
      <c r="R889" s="415"/>
      <c r="S889" s="415"/>
      <c r="T889" s="415"/>
      <c r="U889" s="415"/>
      <c r="V889" s="415"/>
      <c r="W889" s="415"/>
      <c r="X889" s="415"/>
      <c r="Y889" s="415"/>
      <c r="Z889" s="415"/>
      <c r="AA889" s="415"/>
    </row>
    <row r="890">
      <c r="A890" s="415"/>
      <c r="B890" s="415"/>
      <c r="C890" s="415"/>
      <c r="D890" s="415"/>
      <c r="E890" s="415"/>
      <c r="F890" s="415"/>
      <c r="G890" s="415"/>
      <c r="H890" s="415"/>
      <c r="I890" s="415"/>
      <c r="J890" s="415"/>
      <c r="K890" s="415"/>
      <c r="L890" s="415"/>
      <c r="M890" s="415"/>
      <c r="N890" s="415"/>
      <c r="O890" s="415"/>
      <c r="P890" s="415"/>
      <c r="Q890" s="415"/>
      <c r="R890" s="415"/>
      <c r="S890" s="415"/>
      <c r="T890" s="415"/>
      <c r="U890" s="415"/>
      <c r="V890" s="415"/>
      <c r="W890" s="415"/>
      <c r="X890" s="415"/>
      <c r="Y890" s="415"/>
      <c r="Z890" s="415"/>
      <c r="AA890" s="415"/>
    </row>
    <row r="891">
      <c r="A891" s="415"/>
      <c r="B891" s="415"/>
      <c r="C891" s="415"/>
      <c r="D891" s="415"/>
      <c r="E891" s="415"/>
      <c r="F891" s="415"/>
      <c r="G891" s="415"/>
      <c r="H891" s="415"/>
      <c r="I891" s="415"/>
      <c r="J891" s="415"/>
      <c r="K891" s="415"/>
      <c r="L891" s="415"/>
      <c r="M891" s="415"/>
      <c r="N891" s="415"/>
      <c r="O891" s="415"/>
      <c r="P891" s="415"/>
      <c r="Q891" s="415"/>
      <c r="R891" s="415"/>
      <c r="S891" s="415"/>
      <c r="T891" s="415"/>
      <c r="U891" s="415"/>
      <c r="V891" s="415"/>
      <c r="W891" s="415"/>
      <c r="X891" s="415"/>
      <c r="Y891" s="415"/>
      <c r="Z891" s="415"/>
      <c r="AA891" s="415"/>
    </row>
    <row r="892">
      <c r="A892" s="415"/>
      <c r="B892" s="415"/>
      <c r="C892" s="415"/>
      <c r="D892" s="415"/>
      <c r="E892" s="415"/>
      <c r="F892" s="415"/>
      <c r="G892" s="415"/>
      <c r="H892" s="415"/>
      <c r="I892" s="415"/>
      <c r="J892" s="415"/>
      <c r="K892" s="415"/>
      <c r="L892" s="415"/>
      <c r="M892" s="415"/>
      <c r="N892" s="415"/>
      <c r="O892" s="415"/>
      <c r="P892" s="415"/>
      <c r="Q892" s="415"/>
      <c r="R892" s="415"/>
      <c r="S892" s="415"/>
      <c r="T892" s="415"/>
      <c r="U892" s="415"/>
      <c r="V892" s="415"/>
      <c r="W892" s="415"/>
      <c r="X892" s="415"/>
      <c r="Y892" s="415"/>
      <c r="Z892" s="415"/>
      <c r="AA892" s="415"/>
    </row>
    <row r="893">
      <c r="A893" s="415"/>
      <c r="B893" s="415"/>
      <c r="C893" s="415"/>
      <c r="D893" s="415"/>
      <c r="E893" s="415"/>
      <c r="F893" s="415"/>
      <c r="G893" s="415"/>
      <c r="H893" s="415"/>
      <c r="I893" s="415"/>
      <c r="J893" s="415"/>
      <c r="K893" s="415"/>
      <c r="L893" s="415"/>
      <c r="M893" s="415"/>
      <c r="N893" s="415"/>
      <c r="O893" s="415"/>
      <c r="P893" s="415"/>
      <c r="Q893" s="415"/>
      <c r="R893" s="415"/>
      <c r="S893" s="415"/>
      <c r="T893" s="415"/>
      <c r="U893" s="415"/>
      <c r="V893" s="415"/>
      <c r="W893" s="415"/>
      <c r="X893" s="415"/>
      <c r="Y893" s="415"/>
      <c r="Z893" s="415"/>
      <c r="AA893" s="415"/>
    </row>
    <row r="894">
      <c r="A894" s="415"/>
      <c r="B894" s="415"/>
      <c r="C894" s="415"/>
      <c r="D894" s="415"/>
      <c r="E894" s="415"/>
      <c r="F894" s="415"/>
      <c r="G894" s="415"/>
      <c r="H894" s="415"/>
      <c r="I894" s="415"/>
      <c r="J894" s="415"/>
      <c r="K894" s="415"/>
      <c r="L894" s="415"/>
      <c r="M894" s="415"/>
      <c r="N894" s="415"/>
      <c r="O894" s="415"/>
      <c r="P894" s="415"/>
      <c r="Q894" s="415"/>
      <c r="R894" s="415"/>
      <c r="S894" s="415"/>
      <c r="T894" s="415"/>
      <c r="U894" s="415"/>
      <c r="V894" s="415"/>
      <c r="W894" s="415"/>
      <c r="X894" s="415"/>
      <c r="Y894" s="415"/>
      <c r="Z894" s="415"/>
      <c r="AA894" s="415"/>
    </row>
    <row r="895">
      <c r="A895" s="415"/>
      <c r="B895" s="415"/>
      <c r="C895" s="415"/>
      <c r="D895" s="415"/>
      <c r="E895" s="415"/>
      <c r="F895" s="415"/>
      <c r="G895" s="415"/>
      <c r="H895" s="415"/>
      <c r="I895" s="415"/>
      <c r="J895" s="415"/>
      <c r="K895" s="415"/>
      <c r="L895" s="415"/>
      <c r="M895" s="415"/>
      <c r="N895" s="415"/>
      <c r="O895" s="415"/>
      <c r="P895" s="415"/>
      <c r="Q895" s="415"/>
      <c r="R895" s="415"/>
      <c r="S895" s="415"/>
      <c r="T895" s="415"/>
      <c r="U895" s="415"/>
      <c r="V895" s="415"/>
      <c r="W895" s="415"/>
      <c r="X895" s="415"/>
      <c r="Y895" s="415"/>
      <c r="Z895" s="415"/>
      <c r="AA895" s="415"/>
    </row>
    <row r="896">
      <c r="A896" s="415"/>
      <c r="B896" s="415"/>
      <c r="C896" s="415"/>
      <c r="D896" s="415"/>
      <c r="E896" s="415"/>
      <c r="F896" s="415"/>
      <c r="G896" s="415"/>
      <c r="H896" s="415"/>
      <c r="I896" s="415"/>
      <c r="J896" s="415"/>
      <c r="K896" s="415"/>
      <c r="L896" s="415"/>
      <c r="M896" s="415"/>
      <c r="N896" s="415"/>
      <c r="O896" s="415"/>
      <c r="P896" s="415"/>
      <c r="Q896" s="415"/>
      <c r="R896" s="415"/>
      <c r="S896" s="415"/>
      <c r="T896" s="415"/>
      <c r="U896" s="415"/>
      <c r="V896" s="415"/>
      <c r="W896" s="415"/>
      <c r="X896" s="415"/>
      <c r="Y896" s="415"/>
      <c r="Z896" s="415"/>
      <c r="AA896" s="415"/>
    </row>
    <row r="897">
      <c r="A897" s="415"/>
      <c r="B897" s="415"/>
      <c r="C897" s="415"/>
      <c r="D897" s="415"/>
      <c r="E897" s="415"/>
      <c r="F897" s="415"/>
      <c r="G897" s="415"/>
      <c r="H897" s="415"/>
      <c r="I897" s="415"/>
      <c r="J897" s="415"/>
      <c r="K897" s="415"/>
      <c r="L897" s="415"/>
      <c r="M897" s="415"/>
      <c r="N897" s="415"/>
      <c r="O897" s="415"/>
      <c r="P897" s="415"/>
      <c r="Q897" s="415"/>
      <c r="R897" s="415"/>
      <c r="S897" s="415"/>
      <c r="T897" s="415"/>
      <c r="U897" s="415"/>
      <c r="V897" s="415"/>
      <c r="W897" s="415"/>
      <c r="X897" s="415"/>
      <c r="Y897" s="415"/>
      <c r="Z897" s="415"/>
      <c r="AA897" s="415"/>
    </row>
    <row r="898">
      <c r="A898" s="415"/>
      <c r="B898" s="415"/>
      <c r="C898" s="415"/>
      <c r="D898" s="415"/>
      <c r="E898" s="415"/>
      <c r="F898" s="415"/>
      <c r="G898" s="415"/>
      <c r="H898" s="415"/>
      <c r="I898" s="415"/>
      <c r="J898" s="415"/>
      <c r="K898" s="415"/>
      <c r="L898" s="415"/>
      <c r="M898" s="415"/>
      <c r="N898" s="415"/>
      <c r="O898" s="415"/>
      <c r="P898" s="415"/>
      <c r="Q898" s="415"/>
      <c r="R898" s="415"/>
      <c r="S898" s="415"/>
      <c r="T898" s="415"/>
      <c r="U898" s="415"/>
      <c r="V898" s="415"/>
      <c r="W898" s="415"/>
      <c r="X898" s="415"/>
      <c r="Y898" s="415"/>
      <c r="Z898" s="415"/>
      <c r="AA898" s="415"/>
    </row>
    <row r="899">
      <c r="A899" s="415"/>
      <c r="B899" s="415"/>
      <c r="C899" s="415"/>
      <c r="D899" s="415"/>
      <c r="E899" s="415"/>
      <c r="F899" s="415"/>
      <c r="G899" s="415"/>
      <c r="H899" s="415"/>
      <c r="I899" s="415"/>
      <c r="J899" s="415"/>
      <c r="K899" s="415"/>
      <c r="L899" s="415"/>
      <c r="M899" s="415"/>
      <c r="N899" s="415"/>
      <c r="O899" s="415"/>
      <c r="P899" s="415"/>
      <c r="Q899" s="415"/>
      <c r="R899" s="415"/>
      <c r="S899" s="415"/>
      <c r="T899" s="415"/>
      <c r="U899" s="415"/>
      <c r="V899" s="415"/>
      <c r="W899" s="415"/>
      <c r="X899" s="415"/>
      <c r="Y899" s="415"/>
      <c r="Z899" s="415"/>
      <c r="AA899" s="415"/>
    </row>
    <row r="900">
      <c r="A900" s="415"/>
      <c r="B900" s="415"/>
      <c r="C900" s="415"/>
      <c r="D900" s="415"/>
      <c r="E900" s="415"/>
      <c r="F900" s="415"/>
      <c r="G900" s="415"/>
      <c r="H900" s="415"/>
      <c r="I900" s="415"/>
      <c r="J900" s="415"/>
      <c r="K900" s="415"/>
      <c r="L900" s="415"/>
      <c r="M900" s="415"/>
      <c r="N900" s="415"/>
      <c r="O900" s="415"/>
      <c r="P900" s="415"/>
      <c r="Q900" s="415"/>
      <c r="R900" s="415"/>
      <c r="S900" s="415"/>
      <c r="T900" s="415"/>
      <c r="U900" s="415"/>
      <c r="V900" s="415"/>
      <c r="W900" s="415"/>
      <c r="X900" s="415"/>
      <c r="Y900" s="415"/>
      <c r="Z900" s="415"/>
      <c r="AA900" s="415"/>
    </row>
    <row r="901">
      <c r="A901" s="415"/>
      <c r="B901" s="415"/>
      <c r="C901" s="415"/>
      <c r="D901" s="415"/>
      <c r="E901" s="415"/>
      <c r="F901" s="415"/>
      <c r="G901" s="415"/>
      <c r="H901" s="415"/>
      <c r="I901" s="415"/>
      <c r="J901" s="415"/>
      <c r="K901" s="415"/>
      <c r="L901" s="415"/>
      <c r="M901" s="415"/>
      <c r="N901" s="415"/>
      <c r="O901" s="415"/>
      <c r="P901" s="415"/>
      <c r="Q901" s="415"/>
      <c r="R901" s="415"/>
      <c r="S901" s="415"/>
      <c r="T901" s="415"/>
      <c r="U901" s="415"/>
      <c r="V901" s="415"/>
      <c r="W901" s="415"/>
      <c r="X901" s="415"/>
      <c r="Y901" s="415"/>
      <c r="Z901" s="415"/>
      <c r="AA901" s="415"/>
    </row>
    <row r="902">
      <c r="A902" s="415"/>
      <c r="B902" s="415"/>
      <c r="C902" s="415"/>
      <c r="D902" s="415"/>
      <c r="E902" s="415"/>
      <c r="F902" s="415"/>
      <c r="G902" s="415"/>
      <c r="H902" s="415"/>
      <c r="I902" s="415"/>
      <c r="J902" s="415"/>
      <c r="K902" s="415"/>
      <c r="L902" s="415"/>
      <c r="M902" s="415"/>
      <c r="N902" s="415"/>
      <c r="O902" s="415"/>
      <c r="P902" s="415"/>
      <c r="Q902" s="415"/>
      <c r="R902" s="415"/>
      <c r="S902" s="415"/>
      <c r="T902" s="415"/>
      <c r="U902" s="415"/>
      <c r="V902" s="415"/>
      <c r="W902" s="415"/>
      <c r="X902" s="415"/>
      <c r="Y902" s="415"/>
      <c r="Z902" s="415"/>
      <c r="AA902" s="415"/>
    </row>
    <row r="903">
      <c r="A903" s="415"/>
      <c r="B903" s="415"/>
      <c r="C903" s="415"/>
      <c r="D903" s="415"/>
      <c r="E903" s="415"/>
      <c r="F903" s="415"/>
      <c r="G903" s="415"/>
      <c r="H903" s="415"/>
      <c r="I903" s="415"/>
      <c r="J903" s="415"/>
      <c r="K903" s="415"/>
      <c r="L903" s="415"/>
      <c r="M903" s="415"/>
      <c r="N903" s="415"/>
      <c r="O903" s="415"/>
      <c r="P903" s="415"/>
      <c r="Q903" s="415"/>
      <c r="R903" s="415"/>
      <c r="S903" s="415"/>
      <c r="T903" s="415"/>
      <c r="U903" s="415"/>
      <c r="V903" s="415"/>
      <c r="W903" s="415"/>
      <c r="X903" s="415"/>
      <c r="Y903" s="415"/>
      <c r="Z903" s="415"/>
      <c r="AA903" s="415"/>
    </row>
    <row r="904">
      <c r="A904" s="415"/>
      <c r="B904" s="415"/>
      <c r="C904" s="415"/>
      <c r="D904" s="415"/>
      <c r="E904" s="415"/>
      <c r="F904" s="415"/>
      <c r="G904" s="415"/>
      <c r="H904" s="415"/>
      <c r="I904" s="415"/>
      <c r="J904" s="415"/>
      <c r="K904" s="415"/>
      <c r="L904" s="415"/>
      <c r="M904" s="415"/>
      <c r="N904" s="415"/>
      <c r="O904" s="415"/>
      <c r="P904" s="415"/>
      <c r="Q904" s="415"/>
      <c r="R904" s="415"/>
      <c r="S904" s="415"/>
      <c r="T904" s="415"/>
      <c r="U904" s="415"/>
      <c r="V904" s="415"/>
      <c r="W904" s="415"/>
      <c r="X904" s="415"/>
      <c r="Y904" s="415"/>
      <c r="Z904" s="415"/>
      <c r="AA904" s="415"/>
    </row>
    <row r="905">
      <c r="A905" s="415"/>
      <c r="B905" s="415"/>
      <c r="C905" s="415"/>
      <c r="D905" s="415"/>
      <c r="E905" s="415"/>
      <c r="F905" s="415"/>
      <c r="G905" s="415"/>
      <c r="H905" s="415"/>
      <c r="I905" s="415"/>
      <c r="J905" s="415"/>
      <c r="K905" s="415"/>
      <c r="L905" s="415"/>
      <c r="M905" s="415"/>
      <c r="N905" s="415"/>
      <c r="O905" s="415"/>
      <c r="P905" s="415"/>
      <c r="Q905" s="415"/>
      <c r="R905" s="415"/>
      <c r="S905" s="415"/>
      <c r="T905" s="415"/>
      <c r="U905" s="415"/>
      <c r="V905" s="415"/>
      <c r="W905" s="415"/>
      <c r="X905" s="415"/>
      <c r="Y905" s="415"/>
      <c r="Z905" s="415"/>
      <c r="AA905" s="415"/>
    </row>
    <row r="906">
      <c r="A906" s="415"/>
      <c r="B906" s="415"/>
      <c r="C906" s="415"/>
      <c r="D906" s="415"/>
      <c r="E906" s="415"/>
      <c r="F906" s="415"/>
      <c r="G906" s="415"/>
      <c r="H906" s="415"/>
      <c r="I906" s="415"/>
      <c r="J906" s="415"/>
      <c r="K906" s="415"/>
      <c r="L906" s="415"/>
      <c r="M906" s="415"/>
      <c r="N906" s="415"/>
      <c r="O906" s="415"/>
      <c r="P906" s="415"/>
      <c r="Q906" s="415"/>
      <c r="R906" s="415"/>
      <c r="S906" s="415"/>
      <c r="T906" s="415"/>
      <c r="U906" s="415"/>
      <c r="V906" s="415"/>
      <c r="W906" s="415"/>
      <c r="X906" s="415"/>
      <c r="Y906" s="415"/>
      <c r="Z906" s="415"/>
      <c r="AA906" s="415"/>
    </row>
    <row r="907">
      <c r="A907" s="415"/>
      <c r="B907" s="415"/>
      <c r="C907" s="415"/>
      <c r="D907" s="415"/>
      <c r="E907" s="415"/>
      <c r="F907" s="415"/>
      <c r="G907" s="415"/>
      <c r="H907" s="415"/>
      <c r="I907" s="415"/>
      <c r="J907" s="415"/>
      <c r="K907" s="415"/>
      <c r="L907" s="415"/>
      <c r="M907" s="415"/>
      <c r="N907" s="415"/>
      <c r="O907" s="415"/>
      <c r="P907" s="415"/>
      <c r="Q907" s="415"/>
      <c r="R907" s="415"/>
      <c r="S907" s="415"/>
      <c r="T907" s="415"/>
      <c r="U907" s="415"/>
      <c r="V907" s="415"/>
      <c r="W907" s="415"/>
      <c r="X907" s="415"/>
      <c r="Y907" s="415"/>
      <c r="Z907" s="415"/>
      <c r="AA907" s="415"/>
    </row>
    <row r="908">
      <c r="A908" s="415"/>
      <c r="B908" s="415"/>
      <c r="C908" s="415"/>
      <c r="D908" s="415"/>
      <c r="E908" s="415"/>
      <c r="F908" s="415"/>
      <c r="G908" s="415"/>
      <c r="H908" s="415"/>
      <c r="I908" s="415"/>
      <c r="J908" s="415"/>
      <c r="K908" s="415"/>
      <c r="L908" s="415"/>
      <c r="M908" s="415"/>
      <c r="N908" s="415"/>
      <c r="O908" s="415"/>
      <c r="P908" s="415"/>
      <c r="Q908" s="415"/>
      <c r="R908" s="415"/>
      <c r="S908" s="415"/>
      <c r="T908" s="415"/>
      <c r="U908" s="415"/>
      <c r="V908" s="415"/>
      <c r="W908" s="415"/>
      <c r="X908" s="415"/>
      <c r="Y908" s="415"/>
      <c r="Z908" s="415"/>
      <c r="AA908" s="415"/>
    </row>
    <row r="909">
      <c r="A909" s="415"/>
      <c r="B909" s="415"/>
      <c r="C909" s="415"/>
      <c r="D909" s="415"/>
      <c r="E909" s="415"/>
      <c r="F909" s="415"/>
      <c r="G909" s="415"/>
      <c r="H909" s="415"/>
      <c r="I909" s="415"/>
      <c r="J909" s="415"/>
      <c r="K909" s="415"/>
      <c r="L909" s="415"/>
      <c r="M909" s="415"/>
      <c r="N909" s="415"/>
      <c r="O909" s="415"/>
      <c r="P909" s="415"/>
      <c r="Q909" s="415"/>
      <c r="R909" s="415"/>
      <c r="S909" s="415"/>
      <c r="T909" s="415"/>
      <c r="U909" s="415"/>
      <c r="V909" s="415"/>
      <c r="W909" s="415"/>
      <c r="X909" s="415"/>
      <c r="Y909" s="415"/>
      <c r="Z909" s="415"/>
      <c r="AA909" s="415"/>
    </row>
    <row r="910">
      <c r="A910" s="415"/>
      <c r="B910" s="415"/>
      <c r="C910" s="415"/>
      <c r="D910" s="415"/>
      <c r="E910" s="415"/>
      <c r="F910" s="415"/>
      <c r="G910" s="415"/>
      <c r="H910" s="415"/>
      <c r="I910" s="415"/>
      <c r="J910" s="415"/>
      <c r="K910" s="415"/>
      <c r="L910" s="415"/>
      <c r="M910" s="415"/>
      <c r="N910" s="415"/>
      <c r="O910" s="415"/>
      <c r="P910" s="415"/>
      <c r="Q910" s="415"/>
      <c r="R910" s="415"/>
      <c r="S910" s="415"/>
      <c r="T910" s="415"/>
      <c r="U910" s="415"/>
      <c r="V910" s="415"/>
      <c r="W910" s="415"/>
      <c r="X910" s="415"/>
      <c r="Y910" s="415"/>
      <c r="Z910" s="415"/>
      <c r="AA910" s="415"/>
    </row>
    <row r="911">
      <c r="A911" s="415"/>
      <c r="B911" s="415"/>
      <c r="C911" s="415"/>
      <c r="D911" s="415"/>
      <c r="E911" s="415"/>
      <c r="F911" s="415"/>
      <c r="G911" s="415"/>
      <c r="H911" s="415"/>
      <c r="I911" s="415"/>
      <c r="J911" s="415"/>
      <c r="K911" s="415"/>
      <c r="L911" s="415"/>
      <c r="M911" s="415"/>
      <c r="N911" s="415"/>
      <c r="O911" s="415"/>
      <c r="P911" s="415"/>
      <c r="Q911" s="415"/>
      <c r="R911" s="415"/>
      <c r="S911" s="415"/>
      <c r="T911" s="415"/>
      <c r="U911" s="415"/>
      <c r="V911" s="415"/>
      <c r="W911" s="415"/>
      <c r="X911" s="415"/>
      <c r="Y911" s="415"/>
      <c r="Z911" s="415"/>
      <c r="AA911" s="415"/>
    </row>
    <row r="912">
      <c r="A912" s="415"/>
      <c r="B912" s="415"/>
      <c r="C912" s="415"/>
      <c r="D912" s="415"/>
      <c r="E912" s="415"/>
      <c r="F912" s="415"/>
      <c r="G912" s="415"/>
      <c r="H912" s="415"/>
      <c r="I912" s="415"/>
      <c r="J912" s="415"/>
      <c r="K912" s="415"/>
      <c r="L912" s="415"/>
      <c r="M912" s="415"/>
      <c r="N912" s="415"/>
      <c r="O912" s="415"/>
      <c r="P912" s="415"/>
      <c r="Q912" s="415"/>
      <c r="R912" s="415"/>
      <c r="S912" s="415"/>
      <c r="T912" s="415"/>
      <c r="U912" s="415"/>
      <c r="V912" s="415"/>
      <c r="W912" s="415"/>
      <c r="X912" s="415"/>
      <c r="Y912" s="415"/>
      <c r="Z912" s="415"/>
      <c r="AA912" s="415"/>
    </row>
    <row r="913">
      <c r="A913" s="415"/>
      <c r="B913" s="415"/>
      <c r="C913" s="415"/>
      <c r="D913" s="415"/>
      <c r="E913" s="415"/>
      <c r="F913" s="415"/>
      <c r="G913" s="415"/>
      <c r="H913" s="415"/>
      <c r="I913" s="415"/>
      <c r="J913" s="415"/>
      <c r="K913" s="415"/>
      <c r="L913" s="415"/>
      <c r="M913" s="415"/>
      <c r="N913" s="415"/>
      <c r="O913" s="415"/>
      <c r="P913" s="415"/>
      <c r="Q913" s="415"/>
      <c r="R913" s="415"/>
      <c r="S913" s="415"/>
      <c r="T913" s="415"/>
      <c r="U913" s="415"/>
      <c r="V913" s="415"/>
      <c r="W913" s="415"/>
      <c r="X913" s="415"/>
      <c r="Y913" s="415"/>
      <c r="Z913" s="415"/>
      <c r="AA913" s="415"/>
    </row>
    <row r="914">
      <c r="A914" s="415"/>
      <c r="B914" s="415"/>
      <c r="C914" s="415"/>
      <c r="D914" s="415"/>
      <c r="E914" s="415"/>
      <c r="F914" s="415"/>
      <c r="G914" s="415"/>
      <c r="H914" s="415"/>
      <c r="I914" s="415"/>
      <c r="J914" s="415"/>
      <c r="K914" s="415"/>
      <c r="L914" s="415"/>
      <c r="M914" s="415"/>
      <c r="N914" s="415"/>
      <c r="O914" s="415"/>
      <c r="P914" s="415"/>
      <c r="Q914" s="415"/>
      <c r="R914" s="415"/>
      <c r="S914" s="415"/>
      <c r="T914" s="415"/>
      <c r="U914" s="415"/>
      <c r="V914" s="415"/>
      <c r="W914" s="415"/>
      <c r="X914" s="415"/>
      <c r="Y914" s="415"/>
      <c r="Z914" s="415"/>
      <c r="AA914" s="415"/>
    </row>
    <row r="915">
      <c r="A915" s="415"/>
      <c r="B915" s="415"/>
      <c r="C915" s="415"/>
      <c r="D915" s="415"/>
      <c r="E915" s="415"/>
      <c r="F915" s="415"/>
      <c r="G915" s="415"/>
      <c r="H915" s="415"/>
      <c r="I915" s="415"/>
      <c r="J915" s="415"/>
      <c r="K915" s="415"/>
      <c r="L915" s="415"/>
      <c r="M915" s="415"/>
      <c r="N915" s="415"/>
      <c r="O915" s="415"/>
      <c r="P915" s="415"/>
      <c r="Q915" s="415"/>
      <c r="R915" s="415"/>
      <c r="S915" s="415"/>
      <c r="T915" s="415"/>
      <c r="U915" s="415"/>
      <c r="V915" s="415"/>
      <c r="W915" s="415"/>
      <c r="X915" s="415"/>
      <c r="Y915" s="415"/>
      <c r="Z915" s="415"/>
      <c r="AA915" s="415"/>
    </row>
    <row r="916">
      <c r="A916" s="415"/>
      <c r="B916" s="415"/>
      <c r="C916" s="415"/>
      <c r="D916" s="415"/>
      <c r="E916" s="415"/>
      <c r="F916" s="415"/>
      <c r="G916" s="415"/>
      <c r="H916" s="415"/>
      <c r="I916" s="415"/>
      <c r="J916" s="415"/>
      <c r="K916" s="415"/>
      <c r="L916" s="415"/>
      <c r="M916" s="415"/>
      <c r="N916" s="415"/>
      <c r="O916" s="415"/>
      <c r="P916" s="415"/>
      <c r="Q916" s="415"/>
      <c r="R916" s="415"/>
      <c r="S916" s="415"/>
      <c r="T916" s="415"/>
      <c r="U916" s="415"/>
      <c r="V916" s="415"/>
      <c r="W916" s="415"/>
      <c r="X916" s="415"/>
      <c r="Y916" s="415"/>
      <c r="Z916" s="415"/>
      <c r="AA916" s="415"/>
    </row>
    <row r="917">
      <c r="A917" s="415"/>
      <c r="B917" s="415"/>
      <c r="C917" s="415"/>
      <c r="D917" s="415"/>
      <c r="E917" s="415"/>
      <c r="F917" s="415"/>
      <c r="G917" s="415"/>
      <c r="H917" s="415"/>
      <c r="I917" s="415"/>
      <c r="J917" s="415"/>
      <c r="K917" s="415"/>
      <c r="L917" s="415"/>
      <c r="M917" s="415"/>
      <c r="N917" s="415"/>
      <c r="O917" s="415"/>
      <c r="P917" s="415"/>
      <c r="Q917" s="415"/>
      <c r="R917" s="415"/>
      <c r="S917" s="415"/>
      <c r="T917" s="415"/>
      <c r="U917" s="415"/>
      <c r="V917" s="415"/>
      <c r="W917" s="415"/>
      <c r="X917" s="415"/>
      <c r="Y917" s="415"/>
      <c r="Z917" s="415"/>
      <c r="AA917" s="415"/>
    </row>
    <row r="918">
      <c r="A918" s="415"/>
      <c r="B918" s="415"/>
      <c r="C918" s="415"/>
      <c r="D918" s="415"/>
      <c r="E918" s="415"/>
      <c r="F918" s="415"/>
      <c r="G918" s="415"/>
      <c r="H918" s="415"/>
      <c r="I918" s="415"/>
      <c r="J918" s="415"/>
      <c r="K918" s="415"/>
      <c r="L918" s="415"/>
      <c r="M918" s="415"/>
      <c r="N918" s="415"/>
      <c r="O918" s="415"/>
      <c r="P918" s="415"/>
      <c r="Q918" s="415"/>
      <c r="R918" s="415"/>
      <c r="S918" s="415"/>
      <c r="T918" s="415"/>
      <c r="U918" s="415"/>
      <c r="V918" s="415"/>
      <c r="W918" s="415"/>
      <c r="X918" s="415"/>
      <c r="Y918" s="415"/>
      <c r="Z918" s="415"/>
      <c r="AA918" s="415"/>
    </row>
    <row r="919">
      <c r="A919" s="415"/>
      <c r="B919" s="415"/>
      <c r="C919" s="415"/>
      <c r="D919" s="415"/>
      <c r="E919" s="415"/>
      <c r="F919" s="415"/>
      <c r="G919" s="415"/>
      <c r="H919" s="415"/>
      <c r="I919" s="415"/>
      <c r="J919" s="415"/>
      <c r="K919" s="415"/>
      <c r="L919" s="415"/>
      <c r="M919" s="415"/>
      <c r="N919" s="415"/>
      <c r="O919" s="415"/>
      <c r="P919" s="415"/>
      <c r="Q919" s="415"/>
      <c r="R919" s="415"/>
      <c r="S919" s="415"/>
      <c r="T919" s="415"/>
      <c r="U919" s="415"/>
      <c r="V919" s="415"/>
      <c r="W919" s="415"/>
      <c r="X919" s="415"/>
      <c r="Y919" s="415"/>
      <c r="Z919" s="415"/>
      <c r="AA919" s="415"/>
    </row>
    <row r="920">
      <c r="A920" s="415"/>
      <c r="B920" s="415"/>
      <c r="C920" s="415"/>
      <c r="D920" s="415"/>
      <c r="E920" s="415"/>
      <c r="F920" s="415"/>
      <c r="G920" s="415"/>
      <c r="H920" s="415"/>
      <c r="I920" s="415"/>
      <c r="J920" s="415"/>
      <c r="K920" s="415"/>
      <c r="L920" s="415"/>
      <c r="M920" s="415"/>
      <c r="N920" s="415"/>
      <c r="O920" s="415"/>
      <c r="P920" s="415"/>
      <c r="Q920" s="415"/>
      <c r="R920" s="415"/>
      <c r="S920" s="415"/>
      <c r="T920" s="415"/>
      <c r="U920" s="415"/>
      <c r="V920" s="415"/>
      <c r="W920" s="415"/>
      <c r="X920" s="415"/>
      <c r="Y920" s="415"/>
      <c r="Z920" s="415"/>
      <c r="AA920" s="415"/>
    </row>
    <row r="921">
      <c r="A921" s="415"/>
      <c r="B921" s="415"/>
      <c r="C921" s="415"/>
      <c r="D921" s="415"/>
      <c r="E921" s="415"/>
      <c r="F921" s="415"/>
      <c r="G921" s="415"/>
      <c r="H921" s="415"/>
      <c r="I921" s="415"/>
      <c r="J921" s="415"/>
      <c r="K921" s="415"/>
      <c r="L921" s="415"/>
      <c r="M921" s="415"/>
      <c r="N921" s="415"/>
      <c r="O921" s="415"/>
      <c r="P921" s="415"/>
      <c r="Q921" s="415"/>
      <c r="R921" s="415"/>
      <c r="S921" s="415"/>
      <c r="T921" s="415"/>
      <c r="U921" s="415"/>
      <c r="V921" s="415"/>
      <c r="W921" s="415"/>
      <c r="X921" s="415"/>
      <c r="Y921" s="415"/>
      <c r="Z921" s="415"/>
      <c r="AA921" s="415"/>
    </row>
    <row r="922">
      <c r="A922" s="415"/>
      <c r="B922" s="415"/>
      <c r="C922" s="415"/>
      <c r="D922" s="415"/>
      <c r="E922" s="415"/>
      <c r="F922" s="415"/>
      <c r="G922" s="415"/>
      <c r="H922" s="415"/>
      <c r="I922" s="415"/>
      <c r="J922" s="415"/>
      <c r="K922" s="415"/>
      <c r="L922" s="415"/>
      <c r="M922" s="415"/>
      <c r="N922" s="415"/>
      <c r="O922" s="415"/>
      <c r="P922" s="415"/>
      <c r="Q922" s="415"/>
      <c r="R922" s="415"/>
      <c r="S922" s="415"/>
      <c r="T922" s="415"/>
      <c r="U922" s="415"/>
      <c r="V922" s="415"/>
      <c r="W922" s="415"/>
      <c r="X922" s="415"/>
      <c r="Y922" s="415"/>
      <c r="Z922" s="415"/>
      <c r="AA922" s="415"/>
    </row>
    <row r="923">
      <c r="A923" s="415"/>
      <c r="B923" s="415"/>
      <c r="C923" s="415"/>
      <c r="D923" s="415"/>
      <c r="E923" s="415"/>
      <c r="F923" s="415"/>
      <c r="G923" s="415"/>
      <c r="H923" s="415"/>
      <c r="I923" s="415"/>
      <c r="J923" s="415"/>
      <c r="K923" s="415"/>
      <c r="L923" s="415"/>
      <c r="M923" s="415"/>
      <c r="N923" s="415"/>
      <c r="O923" s="415"/>
      <c r="P923" s="415"/>
      <c r="Q923" s="415"/>
      <c r="R923" s="415"/>
      <c r="S923" s="415"/>
      <c r="T923" s="415"/>
      <c r="U923" s="415"/>
      <c r="V923" s="415"/>
      <c r="W923" s="415"/>
      <c r="X923" s="415"/>
      <c r="Y923" s="415"/>
      <c r="Z923" s="415"/>
      <c r="AA923" s="415"/>
    </row>
    <row r="924">
      <c r="A924" s="415"/>
      <c r="B924" s="415"/>
      <c r="C924" s="415"/>
      <c r="D924" s="415"/>
      <c r="E924" s="415"/>
      <c r="F924" s="415"/>
      <c r="G924" s="415"/>
      <c r="H924" s="415"/>
      <c r="I924" s="415"/>
      <c r="J924" s="415"/>
      <c r="K924" s="415"/>
      <c r="L924" s="415"/>
      <c r="M924" s="415"/>
      <c r="N924" s="415"/>
      <c r="O924" s="415"/>
      <c r="P924" s="415"/>
      <c r="Q924" s="415"/>
      <c r="R924" s="415"/>
      <c r="S924" s="415"/>
      <c r="T924" s="415"/>
      <c r="U924" s="415"/>
      <c r="V924" s="415"/>
      <c r="W924" s="415"/>
      <c r="X924" s="415"/>
      <c r="Y924" s="415"/>
      <c r="Z924" s="415"/>
      <c r="AA924" s="415"/>
    </row>
    <row r="925">
      <c r="A925" s="415"/>
      <c r="B925" s="415"/>
      <c r="C925" s="415"/>
      <c r="D925" s="415"/>
      <c r="E925" s="415"/>
      <c r="F925" s="415"/>
      <c r="G925" s="415"/>
      <c r="H925" s="415"/>
      <c r="I925" s="415"/>
      <c r="J925" s="415"/>
      <c r="K925" s="415"/>
      <c r="L925" s="415"/>
      <c r="M925" s="415"/>
      <c r="N925" s="415"/>
      <c r="O925" s="415"/>
      <c r="P925" s="415"/>
      <c r="Q925" s="415"/>
      <c r="R925" s="415"/>
      <c r="S925" s="415"/>
      <c r="T925" s="415"/>
      <c r="U925" s="415"/>
      <c r="V925" s="415"/>
      <c r="W925" s="415"/>
      <c r="X925" s="415"/>
      <c r="Y925" s="415"/>
      <c r="Z925" s="415"/>
      <c r="AA925" s="415"/>
    </row>
    <row r="926">
      <c r="A926" s="415"/>
      <c r="B926" s="415"/>
      <c r="C926" s="415"/>
      <c r="D926" s="415"/>
      <c r="E926" s="415"/>
      <c r="F926" s="415"/>
      <c r="G926" s="415"/>
      <c r="H926" s="415"/>
      <c r="I926" s="415"/>
      <c r="J926" s="415"/>
      <c r="K926" s="415"/>
      <c r="L926" s="415"/>
      <c r="M926" s="415"/>
      <c r="N926" s="415"/>
      <c r="O926" s="415"/>
      <c r="P926" s="415"/>
      <c r="Q926" s="415"/>
      <c r="R926" s="415"/>
      <c r="S926" s="415"/>
      <c r="T926" s="415"/>
      <c r="U926" s="415"/>
      <c r="V926" s="415"/>
      <c r="W926" s="415"/>
      <c r="X926" s="415"/>
      <c r="Y926" s="415"/>
      <c r="Z926" s="415"/>
      <c r="AA926" s="415"/>
    </row>
    <row r="927">
      <c r="A927" s="415"/>
      <c r="B927" s="415"/>
      <c r="C927" s="415"/>
      <c r="D927" s="415"/>
      <c r="E927" s="415"/>
      <c r="F927" s="415"/>
      <c r="G927" s="415"/>
      <c r="H927" s="415"/>
      <c r="I927" s="415"/>
      <c r="J927" s="415"/>
      <c r="K927" s="415"/>
      <c r="L927" s="415"/>
      <c r="M927" s="415"/>
      <c r="N927" s="415"/>
      <c r="O927" s="415"/>
      <c r="P927" s="415"/>
      <c r="Q927" s="415"/>
      <c r="R927" s="415"/>
      <c r="S927" s="415"/>
      <c r="T927" s="415"/>
      <c r="U927" s="415"/>
      <c r="V927" s="415"/>
      <c r="W927" s="415"/>
      <c r="X927" s="415"/>
      <c r="Y927" s="415"/>
      <c r="Z927" s="415"/>
      <c r="AA927" s="415"/>
    </row>
    <row r="928">
      <c r="A928" s="415"/>
      <c r="B928" s="415"/>
      <c r="C928" s="415"/>
      <c r="D928" s="415"/>
      <c r="E928" s="415"/>
      <c r="F928" s="415"/>
      <c r="G928" s="415"/>
      <c r="H928" s="415"/>
      <c r="I928" s="415"/>
      <c r="J928" s="415"/>
      <c r="K928" s="415"/>
      <c r="L928" s="415"/>
      <c r="M928" s="415"/>
      <c r="N928" s="415"/>
      <c r="O928" s="415"/>
      <c r="P928" s="415"/>
      <c r="Q928" s="415"/>
      <c r="R928" s="415"/>
      <c r="S928" s="415"/>
      <c r="T928" s="415"/>
      <c r="U928" s="415"/>
      <c r="V928" s="415"/>
      <c r="W928" s="415"/>
      <c r="X928" s="415"/>
      <c r="Y928" s="415"/>
      <c r="Z928" s="415"/>
      <c r="AA928" s="415"/>
    </row>
    <row r="929">
      <c r="A929" s="415"/>
      <c r="B929" s="415"/>
      <c r="C929" s="415"/>
      <c r="D929" s="415"/>
      <c r="E929" s="415"/>
      <c r="F929" s="415"/>
      <c r="G929" s="415"/>
      <c r="H929" s="415"/>
      <c r="I929" s="415"/>
      <c r="J929" s="415"/>
      <c r="K929" s="415"/>
      <c r="L929" s="415"/>
      <c r="M929" s="415"/>
      <c r="N929" s="415"/>
      <c r="O929" s="415"/>
      <c r="P929" s="415"/>
      <c r="Q929" s="415"/>
      <c r="R929" s="415"/>
      <c r="S929" s="415"/>
      <c r="T929" s="415"/>
      <c r="U929" s="415"/>
      <c r="V929" s="415"/>
      <c r="W929" s="415"/>
      <c r="X929" s="415"/>
      <c r="Y929" s="415"/>
      <c r="Z929" s="415"/>
      <c r="AA929" s="415"/>
    </row>
    <row r="930">
      <c r="A930" s="415"/>
      <c r="B930" s="415"/>
      <c r="C930" s="415"/>
      <c r="D930" s="415"/>
      <c r="E930" s="415"/>
      <c r="F930" s="415"/>
      <c r="G930" s="415"/>
      <c r="H930" s="415"/>
      <c r="I930" s="415"/>
      <c r="J930" s="415"/>
      <c r="K930" s="415"/>
      <c r="L930" s="415"/>
      <c r="M930" s="415"/>
      <c r="N930" s="415"/>
      <c r="O930" s="415"/>
      <c r="P930" s="415"/>
      <c r="Q930" s="415"/>
      <c r="R930" s="415"/>
      <c r="S930" s="415"/>
      <c r="T930" s="415"/>
      <c r="U930" s="415"/>
      <c r="V930" s="415"/>
      <c r="W930" s="415"/>
      <c r="X930" s="415"/>
      <c r="Y930" s="415"/>
      <c r="Z930" s="415"/>
      <c r="AA930" s="415"/>
    </row>
    <row r="931">
      <c r="A931" s="415"/>
      <c r="B931" s="415"/>
      <c r="C931" s="415"/>
      <c r="D931" s="415"/>
      <c r="E931" s="415"/>
      <c r="F931" s="415"/>
      <c r="G931" s="415"/>
      <c r="H931" s="415"/>
      <c r="I931" s="415"/>
      <c r="J931" s="415"/>
      <c r="K931" s="415"/>
      <c r="L931" s="415"/>
      <c r="M931" s="415"/>
      <c r="N931" s="415"/>
      <c r="O931" s="415"/>
      <c r="P931" s="415"/>
      <c r="Q931" s="415"/>
      <c r="R931" s="415"/>
      <c r="S931" s="415"/>
      <c r="T931" s="415"/>
      <c r="U931" s="415"/>
      <c r="V931" s="415"/>
      <c r="W931" s="415"/>
      <c r="X931" s="415"/>
      <c r="Y931" s="415"/>
      <c r="Z931" s="415"/>
      <c r="AA931" s="415"/>
    </row>
    <row r="932">
      <c r="A932" s="415"/>
      <c r="B932" s="415"/>
      <c r="C932" s="415"/>
      <c r="D932" s="415"/>
      <c r="E932" s="415"/>
      <c r="F932" s="415"/>
      <c r="G932" s="415"/>
      <c r="H932" s="415"/>
      <c r="I932" s="415"/>
      <c r="J932" s="415"/>
      <c r="K932" s="415"/>
      <c r="L932" s="415"/>
      <c r="M932" s="415"/>
      <c r="N932" s="415"/>
      <c r="O932" s="415"/>
      <c r="P932" s="415"/>
      <c r="Q932" s="415"/>
      <c r="R932" s="415"/>
      <c r="S932" s="415"/>
      <c r="T932" s="415"/>
      <c r="U932" s="415"/>
      <c r="V932" s="415"/>
      <c r="W932" s="415"/>
      <c r="X932" s="415"/>
      <c r="Y932" s="415"/>
      <c r="Z932" s="415"/>
      <c r="AA932" s="415"/>
    </row>
    <row r="933">
      <c r="A933" s="415"/>
      <c r="B933" s="415"/>
      <c r="C933" s="415"/>
      <c r="D933" s="415"/>
      <c r="E933" s="415"/>
      <c r="F933" s="415"/>
      <c r="G933" s="415"/>
      <c r="H933" s="415"/>
      <c r="I933" s="415"/>
      <c r="J933" s="415"/>
      <c r="K933" s="415"/>
      <c r="L933" s="415"/>
      <c r="M933" s="415"/>
      <c r="N933" s="415"/>
      <c r="O933" s="415"/>
      <c r="P933" s="415"/>
      <c r="Q933" s="415"/>
      <c r="R933" s="415"/>
      <c r="S933" s="415"/>
      <c r="T933" s="415"/>
      <c r="U933" s="415"/>
      <c r="V933" s="415"/>
      <c r="W933" s="415"/>
      <c r="X933" s="415"/>
      <c r="Y933" s="415"/>
      <c r="Z933" s="415"/>
      <c r="AA933" s="415"/>
    </row>
    <row r="934">
      <c r="A934" s="415"/>
      <c r="B934" s="415"/>
      <c r="C934" s="415"/>
      <c r="D934" s="415"/>
      <c r="E934" s="415"/>
      <c r="F934" s="415"/>
      <c r="G934" s="415"/>
      <c r="H934" s="415"/>
      <c r="I934" s="415"/>
      <c r="J934" s="415"/>
      <c r="K934" s="415"/>
      <c r="L934" s="415"/>
      <c r="M934" s="415"/>
      <c r="N934" s="415"/>
      <c r="O934" s="415"/>
      <c r="P934" s="415"/>
      <c r="Q934" s="415"/>
      <c r="R934" s="415"/>
      <c r="S934" s="415"/>
      <c r="T934" s="415"/>
      <c r="U934" s="415"/>
      <c r="V934" s="415"/>
      <c r="W934" s="415"/>
      <c r="X934" s="415"/>
      <c r="Y934" s="415"/>
      <c r="Z934" s="415"/>
      <c r="AA934" s="415"/>
    </row>
    <row r="935">
      <c r="A935" s="415"/>
      <c r="B935" s="415"/>
      <c r="C935" s="415"/>
      <c r="D935" s="415"/>
      <c r="E935" s="415"/>
      <c r="F935" s="415"/>
      <c r="G935" s="415"/>
      <c r="H935" s="415"/>
      <c r="I935" s="415"/>
      <c r="J935" s="415"/>
      <c r="K935" s="415"/>
      <c r="L935" s="415"/>
      <c r="M935" s="415"/>
      <c r="N935" s="415"/>
      <c r="O935" s="415"/>
      <c r="P935" s="415"/>
      <c r="Q935" s="415"/>
      <c r="R935" s="415"/>
      <c r="S935" s="415"/>
      <c r="T935" s="415"/>
      <c r="U935" s="415"/>
      <c r="V935" s="415"/>
      <c r="W935" s="415"/>
      <c r="X935" s="415"/>
      <c r="Y935" s="415"/>
      <c r="Z935" s="415"/>
      <c r="AA935" s="415"/>
    </row>
    <row r="936">
      <c r="A936" s="415"/>
      <c r="B936" s="415"/>
      <c r="C936" s="415"/>
      <c r="D936" s="415"/>
      <c r="E936" s="415"/>
      <c r="F936" s="415"/>
      <c r="G936" s="415"/>
      <c r="H936" s="415"/>
      <c r="I936" s="415"/>
      <c r="J936" s="415"/>
      <c r="K936" s="415"/>
      <c r="L936" s="415"/>
      <c r="M936" s="415"/>
      <c r="N936" s="415"/>
      <c r="O936" s="415"/>
      <c r="P936" s="415"/>
      <c r="Q936" s="415"/>
      <c r="R936" s="415"/>
      <c r="S936" s="415"/>
      <c r="T936" s="415"/>
      <c r="U936" s="415"/>
      <c r="V936" s="415"/>
      <c r="W936" s="415"/>
      <c r="X936" s="415"/>
      <c r="Y936" s="415"/>
      <c r="Z936" s="415"/>
      <c r="AA936" s="415"/>
    </row>
    <row r="937">
      <c r="A937" s="415"/>
      <c r="B937" s="415"/>
      <c r="C937" s="415"/>
      <c r="D937" s="415"/>
      <c r="E937" s="415"/>
      <c r="F937" s="415"/>
      <c r="G937" s="415"/>
      <c r="H937" s="415"/>
      <c r="I937" s="415"/>
      <c r="J937" s="415"/>
      <c r="K937" s="415"/>
      <c r="L937" s="415"/>
      <c r="M937" s="415"/>
      <c r="N937" s="415"/>
      <c r="O937" s="415"/>
      <c r="P937" s="415"/>
      <c r="Q937" s="415"/>
      <c r="R937" s="415"/>
      <c r="S937" s="415"/>
      <c r="T937" s="415"/>
      <c r="U937" s="415"/>
      <c r="V937" s="415"/>
      <c r="W937" s="415"/>
      <c r="X937" s="415"/>
      <c r="Y937" s="415"/>
      <c r="Z937" s="415"/>
      <c r="AA937" s="415"/>
    </row>
    <row r="938">
      <c r="A938" s="415"/>
      <c r="B938" s="415"/>
      <c r="C938" s="415"/>
      <c r="D938" s="415"/>
      <c r="E938" s="415"/>
      <c r="F938" s="415"/>
      <c r="G938" s="415"/>
      <c r="H938" s="415"/>
      <c r="I938" s="415"/>
      <c r="J938" s="415"/>
      <c r="K938" s="415"/>
      <c r="L938" s="415"/>
      <c r="M938" s="415"/>
      <c r="N938" s="415"/>
      <c r="O938" s="415"/>
      <c r="P938" s="415"/>
      <c r="Q938" s="415"/>
      <c r="R938" s="415"/>
      <c r="S938" s="415"/>
      <c r="T938" s="415"/>
      <c r="U938" s="415"/>
      <c r="V938" s="415"/>
      <c r="W938" s="415"/>
      <c r="X938" s="415"/>
      <c r="Y938" s="415"/>
      <c r="Z938" s="415"/>
      <c r="AA938" s="415"/>
    </row>
    <row r="939">
      <c r="A939" s="415"/>
      <c r="B939" s="415"/>
      <c r="C939" s="415"/>
      <c r="D939" s="415"/>
      <c r="E939" s="415"/>
      <c r="F939" s="415"/>
      <c r="G939" s="415"/>
      <c r="H939" s="415"/>
      <c r="I939" s="415"/>
      <c r="J939" s="415"/>
      <c r="K939" s="415"/>
      <c r="L939" s="415"/>
      <c r="M939" s="415"/>
      <c r="N939" s="415"/>
      <c r="O939" s="415"/>
      <c r="P939" s="415"/>
      <c r="Q939" s="415"/>
      <c r="R939" s="415"/>
      <c r="S939" s="415"/>
      <c r="T939" s="415"/>
      <c r="U939" s="415"/>
      <c r="V939" s="415"/>
      <c r="W939" s="415"/>
      <c r="X939" s="415"/>
      <c r="Y939" s="415"/>
      <c r="Z939" s="415"/>
      <c r="AA939" s="415"/>
    </row>
    <row r="940">
      <c r="A940" s="415"/>
      <c r="B940" s="415"/>
      <c r="C940" s="415"/>
      <c r="D940" s="415"/>
      <c r="E940" s="415"/>
      <c r="F940" s="415"/>
      <c r="G940" s="415"/>
      <c r="H940" s="415"/>
      <c r="I940" s="415"/>
      <c r="J940" s="415"/>
      <c r="K940" s="415"/>
      <c r="L940" s="415"/>
      <c r="M940" s="415"/>
      <c r="N940" s="415"/>
      <c r="O940" s="415"/>
      <c r="P940" s="415"/>
      <c r="Q940" s="415"/>
      <c r="R940" s="415"/>
      <c r="S940" s="415"/>
      <c r="T940" s="415"/>
      <c r="U940" s="415"/>
      <c r="V940" s="415"/>
      <c r="W940" s="415"/>
      <c r="X940" s="415"/>
      <c r="Y940" s="415"/>
      <c r="Z940" s="415"/>
      <c r="AA940" s="415"/>
    </row>
    <row r="941">
      <c r="A941" s="415"/>
      <c r="B941" s="415"/>
      <c r="C941" s="415"/>
      <c r="D941" s="415"/>
      <c r="E941" s="415"/>
      <c r="F941" s="415"/>
      <c r="G941" s="415"/>
      <c r="H941" s="415"/>
      <c r="I941" s="415"/>
      <c r="J941" s="415"/>
      <c r="K941" s="415"/>
      <c r="L941" s="415"/>
      <c r="M941" s="415"/>
      <c r="N941" s="415"/>
      <c r="O941" s="415"/>
      <c r="P941" s="415"/>
      <c r="Q941" s="415"/>
      <c r="R941" s="415"/>
      <c r="S941" s="415"/>
      <c r="T941" s="415"/>
      <c r="U941" s="415"/>
      <c r="V941" s="415"/>
      <c r="W941" s="415"/>
      <c r="X941" s="415"/>
      <c r="Y941" s="415"/>
      <c r="Z941" s="415"/>
      <c r="AA941" s="415"/>
    </row>
    <row r="942">
      <c r="A942" s="415"/>
      <c r="B942" s="415"/>
      <c r="C942" s="415"/>
      <c r="D942" s="415"/>
      <c r="E942" s="415"/>
      <c r="F942" s="415"/>
      <c r="G942" s="415"/>
      <c r="H942" s="415"/>
      <c r="I942" s="415"/>
      <c r="J942" s="415"/>
      <c r="K942" s="415"/>
      <c r="L942" s="415"/>
      <c r="M942" s="415"/>
      <c r="N942" s="415"/>
      <c r="O942" s="415"/>
      <c r="P942" s="415"/>
      <c r="Q942" s="415"/>
      <c r="R942" s="415"/>
      <c r="S942" s="415"/>
      <c r="T942" s="415"/>
      <c r="U942" s="415"/>
      <c r="V942" s="415"/>
      <c r="W942" s="415"/>
      <c r="X942" s="415"/>
      <c r="Y942" s="415"/>
      <c r="Z942" s="415"/>
      <c r="AA942" s="415"/>
    </row>
    <row r="943">
      <c r="A943" s="415"/>
      <c r="B943" s="415"/>
      <c r="C943" s="415"/>
      <c r="D943" s="415"/>
      <c r="E943" s="415"/>
      <c r="F943" s="415"/>
      <c r="G943" s="415"/>
      <c r="H943" s="415"/>
      <c r="I943" s="415"/>
      <c r="J943" s="415"/>
      <c r="K943" s="415"/>
      <c r="L943" s="415"/>
      <c r="M943" s="415"/>
      <c r="N943" s="415"/>
      <c r="O943" s="415"/>
      <c r="P943" s="415"/>
      <c r="Q943" s="415"/>
      <c r="R943" s="415"/>
      <c r="S943" s="415"/>
      <c r="T943" s="415"/>
      <c r="U943" s="415"/>
      <c r="V943" s="415"/>
      <c r="W943" s="415"/>
      <c r="X943" s="415"/>
      <c r="Y943" s="415"/>
      <c r="Z943" s="415"/>
      <c r="AA943" s="415"/>
    </row>
    <row r="944">
      <c r="A944" s="415"/>
      <c r="B944" s="415"/>
      <c r="C944" s="415"/>
      <c r="D944" s="415"/>
      <c r="E944" s="415"/>
      <c r="F944" s="415"/>
      <c r="G944" s="415"/>
      <c r="H944" s="415"/>
      <c r="I944" s="415"/>
      <c r="J944" s="415"/>
      <c r="K944" s="415"/>
      <c r="L944" s="415"/>
      <c r="M944" s="415"/>
      <c r="N944" s="415"/>
      <c r="O944" s="415"/>
      <c r="P944" s="415"/>
      <c r="Q944" s="415"/>
      <c r="R944" s="415"/>
      <c r="S944" s="415"/>
      <c r="T944" s="415"/>
      <c r="U944" s="415"/>
      <c r="V944" s="415"/>
      <c r="W944" s="415"/>
      <c r="X944" s="415"/>
      <c r="Y944" s="415"/>
      <c r="Z944" s="415"/>
      <c r="AA944" s="415"/>
    </row>
    <row r="945">
      <c r="A945" s="415"/>
      <c r="B945" s="415"/>
      <c r="C945" s="415"/>
      <c r="D945" s="415"/>
      <c r="E945" s="415"/>
      <c r="F945" s="415"/>
      <c r="G945" s="415"/>
      <c r="H945" s="415"/>
      <c r="I945" s="415"/>
      <c r="J945" s="415"/>
      <c r="K945" s="415"/>
      <c r="L945" s="415"/>
      <c r="M945" s="415"/>
      <c r="N945" s="415"/>
      <c r="O945" s="415"/>
      <c r="P945" s="415"/>
      <c r="Q945" s="415"/>
      <c r="R945" s="415"/>
      <c r="S945" s="415"/>
      <c r="T945" s="415"/>
      <c r="U945" s="415"/>
      <c r="V945" s="415"/>
      <c r="W945" s="415"/>
      <c r="X945" s="415"/>
      <c r="Y945" s="415"/>
      <c r="Z945" s="415"/>
      <c r="AA945" s="415"/>
    </row>
    <row r="946">
      <c r="A946" s="415"/>
      <c r="B946" s="415"/>
      <c r="C946" s="415"/>
      <c r="D946" s="415"/>
      <c r="E946" s="415"/>
      <c r="F946" s="415"/>
      <c r="G946" s="415"/>
      <c r="H946" s="415"/>
      <c r="I946" s="415"/>
      <c r="J946" s="415"/>
      <c r="K946" s="415"/>
      <c r="L946" s="415"/>
      <c r="M946" s="415"/>
      <c r="N946" s="415"/>
      <c r="O946" s="415"/>
      <c r="P946" s="415"/>
      <c r="Q946" s="415"/>
      <c r="R946" s="415"/>
      <c r="S946" s="415"/>
      <c r="T946" s="415"/>
      <c r="U946" s="415"/>
      <c r="V946" s="415"/>
      <c r="W946" s="415"/>
      <c r="X946" s="415"/>
      <c r="Y946" s="415"/>
      <c r="Z946" s="415"/>
      <c r="AA946" s="415"/>
    </row>
    <row r="947">
      <c r="A947" s="415"/>
      <c r="B947" s="415"/>
      <c r="C947" s="415"/>
      <c r="D947" s="415"/>
      <c r="E947" s="415"/>
      <c r="F947" s="415"/>
      <c r="G947" s="415"/>
      <c r="H947" s="415"/>
      <c r="I947" s="415"/>
      <c r="J947" s="415"/>
      <c r="K947" s="415"/>
      <c r="L947" s="415"/>
      <c r="M947" s="415"/>
      <c r="N947" s="415"/>
      <c r="O947" s="415"/>
      <c r="P947" s="415"/>
      <c r="Q947" s="415"/>
      <c r="R947" s="415"/>
      <c r="S947" s="415"/>
      <c r="T947" s="415"/>
      <c r="U947" s="415"/>
      <c r="V947" s="415"/>
      <c r="W947" s="415"/>
      <c r="X947" s="415"/>
      <c r="Y947" s="415"/>
      <c r="Z947" s="415"/>
      <c r="AA947" s="415"/>
    </row>
    <row r="948">
      <c r="A948" s="415"/>
      <c r="B948" s="415"/>
      <c r="C948" s="415"/>
      <c r="D948" s="415"/>
      <c r="E948" s="415"/>
      <c r="F948" s="415"/>
      <c r="G948" s="415"/>
      <c r="H948" s="415"/>
      <c r="I948" s="415"/>
      <c r="J948" s="415"/>
      <c r="K948" s="415"/>
      <c r="L948" s="415"/>
      <c r="M948" s="415"/>
      <c r="N948" s="415"/>
      <c r="O948" s="415"/>
      <c r="P948" s="415"/>
      <c r="Q948" s="415"/>
      <c r="R948" s="415"/>
      <c r="S948" s="415"/>
      <c r="T948" s="415"/>
      <c r="U948" s="415"/>
      <c r="V948" s="415"/>
      <c r="W948" s="415"/>
      <c r="X948" s="415"/>
      <c r="Y948" s="415"/>
      <c r="Z948" s="415"/>
      <c r="AA948" s="415"/>
    </row>
    <row r="949">
      <c r="A949" s="415"/>
      <c r="B949" s="415"/>
      <c r="C949" s="415"/>
      <c r="D949" s="415"/>
      <c r="E949" s="415"/>
      <c r="F949" s="415"/>
      <c r="G949" s="415"/>
      <c r="H949" s="415"/>
      <c r="I949" s="415"/>
      <c r="J949" s="415"/>
      <c r="K949" s="415"/>
      <c r="L949" s="415"/>
      <c r="M949" s="415"/>
      <c r="N949" s="415"/>
      <c r="O949" s="415"/>
      <c r="P949" s="415"/>
      <c r="Q949" s="415"/>
      <c r="R949" s="415"/>
      <c r="S949" s="415"/>
      <c r="T949" s="415"/>
      <c r="U949" s="415"/>
      <c r="V949" s="415"/>
      <c r="W949" s="415"/>
      <c r="X949" s="415"/>
      <c r="Y949" s="415"/>
      <c r="Z949" s="415"/>
      <c r="AA949" s="415"/>
    </row>
    <row r="950">
      <c r="A950" s="415"/>
      <c r="B950" s="415"/>
      <c r="C950" s="415"/>
      <c r="D950" s="415"/>
      <c r="E950" s="415"/>
      <c r="F950" s="415"/>
      <c r="G950" s="415"/>
      <c r="H950" s="415"/>
      <c r="I950" s="415"/>
      <c r="J950" s="415"/>
      <c r="K950" s="415"/>
      <c r="L950" s="415"/>
      <c r="M950" s="415"/>
      <c r="N950" s="415"/>
      <c r="O950" s="415"/>
      <c r="P950" s="415"/>
      <c r="Q950" s="415"/>
      <c r="R950" s="415"/>
      <c r="S950" s="415"/>
      <c r="T950" s="415"/>
      <c r="U950" s="415"/>
      <c r="V950" s="415"/>
      <c r="W950" s="415"/>
      <c r="X950" s="415"/>
      <c r="Y950" s="415"/>
      <c r="Z950" s="415"/>
      <c r="AA950" s="415"/>
    </row>
    <row r="951">
      <c r="A951" s="415"/>
      <c r="B951" s="415"/>
      <c r="C951" s="415"/>
      <c r="D951" s="415"/>
      <c r="E951" s="415"/>
      <c r="F951" s="415"/>
      <c r="G951" s="415"/>
      <c r="H951" s="415"/>
      <c r="I951" s="415"/>
      <c r="J951" s="415"/>
      <c r="K951" s="415"/>
      <c r="L951" s="415"/>
      <c r="M951" s="415"/>
      <c r="N951" s="415"/>
      <c r="O951" s="415"/>
      <c r="P951" s="415"/>
      <c r="Q951" s="415"/>
      <c r="R951" s="415"/>
      <c r="S951" s="415"/>
      <c r="T951" s="415"/>
      <c r="U951" s="415"/>
      <c r="V951" s="415"/>
      <c r="W951" s="415"/>
      <c r="X951" s="415"/>
      <c r="Y951" s="415"/>
      <c r="Z951" s="415"/>
      <c r="AA951" s="415"/>
    </row>
    <row r="952">
      <c r="A952" s="415"/>
      <c r="B952" s="415"/>
      <c r="C952" s="415"/>
      <c r="D952" s="415"/>
      <c r="E952" s="415"/>
      <c r="F952" s="415"/>
      <c r="G952" s="415"/>
      <c r="H952" s="415"/>
      <c r="I952" s="415"/>
      <c r="J952" s="415"/>
      <c r="K952" s="415"/>
      <c r="L952" s="415"/>
      <c r="M952" s="415"/>
      <c r="N952" s="415"/>
      <c r="O952" s="415"/>
      <c r="P952" s="415"/>
      <c r="Q952" s="415"/>
      <c r="R952" s="415"/>
      <c r="S952" s="415"/>
      <c r="T952" s="415"/>
      <c r="U952" s="415"/>
      <c r="V952" s="415"/>
      <c r="W952" s="415"/>
      <c r="X952" s="415"/>
      <c r="Y952" s="415"/>
      <c r="Z952" s="415"/>
      <c r="AA952" s="415"/>
    </row>
    <row r="953">
      <c r="A953" s="415"/>
      <c r="B953" s="415"/>
      <c r="C953" s="415"/>
      <c r="D953" s="415"/>
      <c r="E953" s="415"/>
      <c r="F953" s="415"/>
      <c r="G953" s="415"/>
      <c r="H953" s="415"/>
      <c r="I953" s="415"/>
      <c r="J953" s="415"/>
      <c r="K953" s="415"/>
      <c r="L953" s="415"/>
      <c r="M953" s="415"/>
      <c r="N953" s="415"/>
      <c r="O953" s="415"/>
      <c r="P953" s="415"/>
      <c r="Q953" s="415"/>
      <c r="R953" s="415"/>
      <c r="S953" s="415"/>
      <c r="T953" s="415"/>
      <c r="U953" s="415"/>
      <c r="V953" s="415"/>
      <c r="W953" s="415"/>
      <c r="X953" s="415"/>
      <c r="Y953" s="415"/>
      <c r="Z953" s="415"/>
      <c r="AA953" s="415"/>
    </row>
    <row r="954">
      <c r="A954" s="415"/>
      <c r="B954" s="415"/>
      <c r="C954" s="415"/>
      <c r="D954" s="415"/>
      <c r="E954" s="415"/>
      <c r="F954" s="415"/>
      <c r="G954" s="415"/>
      <c r="H954" s="415"/>
      <c r="I954" s="415"/>
      <c r="J954" s="415"/>
      <c r="K954" s="415"/>
      <c r="L954" s="415"/>
      <c r="M954" s="415"/>
      <c r="N954" s="415"/>
      <c r="O954" s="415"/>
      <c r="P954" s="415"/>
      <c r="Q954" s="415"/>
      <c r="R954" s="415"/>
      <c r="S954" s="415"/>
      <c r="T954" s="415"/>
      <c r="U954" s="415"/>
      <c r="V954" s="415"/>
      <c r="W954" s="415"/>
      <c r="X954" s="415"/>
      <c r="Y954" s="415"/>
      <c r="Z954" s="415"/>
      <c r="AA954" s="415"/>
    </row>
    <row r="955">
      <c r="A955" s="415"/>
      <c r="B955" s="415"/>
      <c r="C955" s="415"/>
      <c r="D955" s="415"/>
      <c r="E955" s="415"/>
      <c r="F955" s="415"/>
      <c r="G955" s="415"/>
      <c r="H955" s="415"/>
      <c r="I955" s="415"/>
      <c r="J955" s="415"/>
      <c r="K955" s="415"/>
      <c r="L955" s="415"/>
      <c r="M955" s="415"/>
      <c r="N955" s="415"/>
      <c r="O955" s="415"/>
      <c r="P955" s="415"/>
      <c r="Q955" s="415"/>
      <c r="R955" s="415"/>
      <c r="S955" s="415"/>
      <c r="T955" s="415"/>
      <c r="U955" s="415"/>
      <c r="V955" s="415"/>
      <c r="W955" s="415"/>
      <c r="X955" s="415"/>
      <c r="Y955" s="415"/>
      <c r="Z955" s="415"/>
      <c r="AA955" s="415"/>
    </row>
    <row r="956">
      <c r="A956" s="415"/>
      <c r="B956" s="415"/>
      <c r="C956" s="415"/>
      <c r="D956" s="415"/>
      <c r="E956" s="415"/>
      <c r="F956" s="415"/>
      <c r="G956" s="415"/>
      <c r="H956" s="415"/>
      <c r="I956" s="415"/>
      <c r="J956" s="415"/>
      <c r="K956" s="415"/>
      <c r="L956" s="415"/>
      <c r="M956" s="415"/>
      <c r="N956" s="415"/>
      <c r="O956" s="415"/>
      <c r="P956" s="415"/>
      <c r="Q956" s="415"/>
      <c r="R956" s="415"/>
      <c r="S956" s="415"/>
      <c r="T956" s="415"/>
      <c r="U956" s="415"/>
      <c r="V956" s="415"/>
      <c r="W956" s="415"/>
      <c r="X956" s="415"/>
      <c r="Y956" s="415"/>
      <c r="Z956" s="415"/>
      <c r="AA956" s="415"/>
    </row>
    <row r="957">
      <c r="A957" s="415"/>
      <c r="B957" s="415"/>
      <c r="C957" s="415"/>
      <c r="D957" s="415"/>
      <c r="E957" s="415"/>
      <c r="F957" s="415"/>
      <c r="G957" s="415"/>
      <c r="H957" s="415"/>
      <c r="I957" s="415"/>
      <c r="J957" s="415"/>
      <c r="K957" s="415"/>
      <c r="L957" s="415"/>
      <c r="M957" s="415"/>
      <c r="N957" s="415"/>
      <c r="O957" s="415"/>
      <c r="P957" s="415"/>
      <c r="Q957" s="415"/>
      <c r="R957" s="415"/>
      <c r="S957" s="415"/>
      <c r="T957" s="415"/>
      <c r="U957" s="415"/>
      <c r="V957" s="415"/>
      <c r="W957" s="415"/>
      <c r="X957" s="415"/>
      <c r="Y957" s="415"/>
      <c r="Z957" s="415"/>
      <c r="AA957" s="415"/>
    </row>
    <row r="958">
      <c r="A958" s="415"/>
      <c r="B958" s="415"/>
      <c r="C958" s="415"/>
      <c r="D958" s="415"/>
      <c r="E958" s="415"/>
      <c r="F958" s="415"/>
      <c r="G958" s="415"/>
      <c r="H958" s="415"/>
      <c r="I958" s="415"/>
      <c r="J958" s="415"/>
      <c r="K958" s="415"/>
      <c r="L958" s="415"/>
      <c r="M958" s="415"/>
      <c r="N958" s="415"/>
      <c r="O958" s="415"/>
      <c r="P958" s="415"/>
      <c r="Q958" s="415"/>
      <c r="R958" s="415"/>
      <c r="S958" s="415"/>
      <c r="T958" s="415"/>
      <c r="U958" s="415"/>
      <c r="V958" s="415"/>
      <c r="W958" s="415"/>
      <c r="X958" s="415"/>
      <c r="Y958" s="415"/>
      <c r="Z958" s="415"/>
      <c r="AA958" s="415"/>
    </row>
    <row r="959">
      <c r="A959" s="415"/>
      <c r="B959" s="415"/>
      <c r="C959" s="415"/>
      <c r="D959" s="415"/>
      <c r="E959" s="415"/>
      <c r="F959" s="415"/>
      <c r="G959" s="415"/>
      <c r="H959" s="415"/>
      <c r="I959" s="415"/>
      <c r="J959" s="415"/>
      <c r="K959" s="415"/>
      <c r="L959" s="415"/>
      <c r="M959" s="415"/>
      <c r="N959" s="415"/>
      <c r="O959" s="415"/>
      <c r="P959" s="415"/>
      <c r="Q959" s="415"/>
      <c r="R959" s="415"/>
      <c r="S959" s="415"/>
      <c r="T959" s="415"/>
      <c r="U959" s="415"/>
      <c r="V959" s="415"/>
      <c r="W959" s="415"/>
      <c r="X959" s="415"/>
      <c r="Y959" s="415"/>
      <c r="Z959" s="415"/>
      <c r="AA959" s="415"/>
    </row>
    <row r="960">
      <c r="A960" s="415"/>
      <c r="B960" s="415"/>
      <c r="C960" s="415"/>
      <c r="D960" s="415"/>
      <c r="E960" s="415"/>
      <c r="F960" s="415"/>
      <c r="G960" s="415"/>
      <c r="H960" s="415"/>
      <c r="I960" s="415"/>
      <c r="J960" s="415"/>
      <c r="K960" s="415"/>
      <c r="L960" s="415"/>
      <c r="M960" s="415"/>
      <c r="N960" s="415"/>
      <c r="O960" s="415"/>
      <c r="P960" s="415"/>
      <c r="Q960" s="415"/>
      <c r="R960" s="415"/>
      <c r="S960" s="415"/>
      <c r="T960" s="415"/>
      <c r="U960" s="415"/>
      <c r="V960" s="415"/>
      <c r="W960" s="415"/>
      <c r="X960" s="415"/>
      <c r="Y960" s="415"/>
      <c r="Z960" s="415"/>
      <c r="AA960" s="415"/>
    </row>
    <row r="961">
      <c r="A961" s="415"/>
      <c r="B961" s="415"/>
      <c r="C961" s="415"/>
      <c r="D961" s="415"/>
      <c r="E961" s="415"/>
      <c r="F961" s="415"/>
      <c r="G961" s="415"/>
      <c r="H961" s="415"/>
      <c r="I961" s="415"/>
      <c r="J961" s="415"/>
      <c r="K961" s="415"/>
      <c r="L961" s="415"/>
      <c r="M961" s="415"/>
      <c r="N961" s="415"/>
      <c r="O961" s="415"/>
      <c r="P961" s="415"/>
      <c r="Q961" s="415"/>
      <c r="R961" s="415"/>
      <c r="S961" s="415"/>
      <c r="T961" s="415"/>
      <c r="U961" s="415"/>
      <c r="V961" s="415"/>
      <c r="W961" s="415"/>
      <c r="X961" s="415"/>
      <c r="Y961" s="415"/>
      <c r="Z961" s="415"/>
      <c r="AA961" s="415"/>
    </row>
    <row r="962">
      <c r="A962" s="415"/>
      <c r="B962" s="415"/>
      <c r="C962" s="415"/>
      <c r="D962" s="415"/>
      <c r="E962" s="415"/>
      <c r="F962" s="415"/>
      <c r="G962" s="415"/>
      <c r="H962" s="415"/>
      <c r="I962" s="415"/>
      <c r="J962" s="415"/>
      <c r="K962" s="415"/>
      <c r="L962" s="415"/>
      <c r="M962" s="415"/>
      <c r="N962" s="415"/>
      <c r="O962" s="415"/>
      <c r="P962" s="415"/>
      <c r="Q962" s="415"/>
      <c r="R962" s="415"/>
      <c r="S962" s="415"/>
      <c r="T962" s="415"/>
      <c r="U962" s="415"/>
      <c r="V962" s="415"/>
      <c r="W962" s="415"/>
      <c r="X962" s="415"/>
      <c r="Y962" s="415"/>
      <c r="Z962" s="415"/>
      <c r="AA962" s="415"/>
    </row>
    <row r="963">
      <c r="A963" s="415"/>
      <c r="B963" s="415"/>
      <c r="C963" s="415"/>
      <c r="D963" s="415"/>
      <c r="E963" s="415"/>
      <c r="F963" s="415"/>
      <c r="G963" s="415"/>
      <c r="H963" s="415"/>
      <c r="I963" s="415"/>
      <c r="J963" s="415"/>
      <c r="K963" s="415"/>
      <c r="L963" s="415"/>
      <c r="M963" s="415"/>
      <c r="N963" s="415"/>
      <c r="O963" s="415"/>
      <c r="P963" s="415"/>
      <c r="Q963" s="415"/>
      <c r="R963" s="415"/>
      <c r="S963" s="415"/>
      <c r="T963" s="415"/>
      <c r="U963" s="415"/>
      <c r="V963" s="415"/>
      <c r="W963" s="415"/>
      <c r="X963" s="415"/>
      <c r="Y963" s="415"/>
      <c r="Z963" s="415"/>
      <c r="AA963" s="415"/>
    </row>
    <row r="964">
      <c r="A964" s="415"/>
      <c r="B964" s="415"/>
      <c r="C964" s="415"/>
      <c r="D964" s="415"/>
      <c r="E964" s="415"/>
      <c r="F964" s="415"/>
      <c r="G964" s="415"/>
      <c r="H964" s="415"/>
      <c r="I964" s="415"/>
      <c r="J964" s="415"/>
      <c r="K964" s="415"/>
      <c r="L964" s="415"/>
      <c r="M964" s="415"/>
      <c r="N964" s="415"/>
      <c r="O964" s="415"/>
      <c r="P964" s="415"/>
      <c r="Q964" s="415"/>
      <c r="R964" s="415"/>
      <c r="S964" s="415"/>
      <c r="T964" s="415"/>
      <c r="U964" s="415"/>
      <c r="V964" s="415"/>
      <c r="W964" s="415"/>
      <c r="X964" s="415"/>
      <c r="Y964" s="415"/>
      <c r="Z964" s="415"/>
      <c r="AA964" s="415"/>
    </row>
    <row r="965">
      <c r="A965" s="415"/>
      <c r="B965" s="415"/>
      <c r="C965" s="415"/>
      <c r="D965" s="415"/>
      <c r="E965" s="415"/>
      <c r="F965" s="415"/>
      <c r="G965" s="415"/>
      <c r="H965" s="415"/>
      <c r="I965" s="415"/>
      <c r="J965" s="415"/>
      <c r="K965" s="415"/>
      <c r="L965" s="415"/>
      <c r="M965" s="415"/>
      <c r="N965" s="415"/>
      <c r="O965" s="415"/>
      <c r="P965" s="415"/>
      <c r="Q965" s="415"/>
      <c r="R965" s="415"/>
      <c r="S965" s="415"/>
      <c r="T965" s="415"/>
      <c r="U965" s="415"/>
      <c r="V965" s="415"/>
      <c r="W965" s="415"/>
      <c r="X965" s="415"/>
      <c r="Y965" s="415"/>
      <c r="Z965" s="415"/>
      <c r="AA965" s="415"/>
    </row>
    <row r="966">
      <c r="A966" s="415"/>
      <c r="B966" s="415"/>
      <c r="C966" s="415"/>
      <c r="D966" s="415"/>
      <c r="E966" s="415"/>
      <c r="F966" s="415"/>
      <c r="G966" s="415"/>
      <c r="H966" s="415"/>
      <c r="I966" s="415"/>
      <c r="J966" s="415"/>
      <c r="K966" s="415"/>
      <c r="L966" s="415"/>
      <c r="M966" s="415"/>
      <c r="N966" s="415"/>
      <c r="O966" s="415"/>
      <c r="P966" s="415"/>
      <c r="Q966" s="415"/>
      <c r="R966" s="415"/>
      <c r="S966" s="415"/>
      <c r="T966" s="415"/>
      <c r="U966" s="415"/>
      <c r="V966" s="415"/>
      <c r="W966" s="415"/>
      <c r="X966" s="415"/>
      <c r="Y966" s="415"/>
      <c r="Z966" s="415"/>
      <c r="AA966" s="415"/>
    </row>
    <row r="967">
      <c r="A967" s="415"/>
      <c r="B967" s="415"/>
      <c r="C967" s="415"/>
      <c r="D967" s="415"/>
      <c r="E967" s="415"/>
      <c r="F967" s="415"/>
      <c r="G967" s="415"/>
      <c r="H967" s="415"/>
      <c r="I967" s="415"/>
      <c r="J967" s="415"/>
      <c r="K967" s="415"/>
      <c r="L967" s="415"/>
      <c r="M967" s="415"/>
      <c r="N967" s="415"/>
      <c r="O967" s="415"/>
      <c r="P967" s="415"/>
      <c r="Q967" s="415"/>
      <c r="R967" s="415"/>
      <c r="S967" s="415"/>
      <c r="T967" s="415"/>
      <c r="U967" s="415"/>
      <c r="V967" s="415"/>
      <c r="W967" s="415"/>
      <c r="X967" s="415"/>
      <c r="Y967" s="415"/>
      <c r="Z967" s="415"/>
      <c r="AA967" s="415"/>
    </row>
    <row r="968">
      <c r="A968" s="415"/>
      <c r="B968" s="415"/>
      <c r="C968" s="415"/>
      <c r="D968" s="415"/>
      <c r="E968" s="415"/>
      <c r="F968" s="415"/>
      <c r="G968" s="415"/>
      <c r="H968" s="415"/>
      <c r="I968" s="415"/>
      <c r="J968" s="415"/>
      <c r="K968" s="415"/>
      <c r="L968" s="415"/>
      <c r="M968" s="415"/>
      <c r="N968" s="415"/>
      <c r="O968" s="415"/>
      <c r="P968" s="415"/>
      <c r="Q968" s="415"/>
      <c r="R968" s="415"/>
      <c r="S968" s="415"/>
      <c r="T968" s="415"/>
      <c r="U968" s="415"/>
      <c r="V968" s="415"/>
      <c r="W968" s="415"/>
      <c r="X968" s="415"/>
      <c r="Y968" s="415"/>
      <c r="Z968" s="415"/>
      <c r="AA968" s="415"/>
    </row>
    <row r="969">
      <c r="A969" s="415"/>
      <c r="B969" s="415"/>
      <c r="C969" s="415"/>
      <c r="D969" s="415"/>
      <c r="E969" s="415"/>
      <c r="F969" s="415"/>
      <c r="G969" s="415"/>
      <c r="H969" s="415"/>
      <c r="I969" s="415"/>
      <c r="J969" s="415"/>
      <c r="K969" s="415"/>
      <c r="L969" s="415"/>
      <c r="M969" s="415"/>
      <c r="N969" s="415"/>
      <c r="O969" s="415"/>
      <c r="P969" s="415"/>
      <c r="Q969" s="415"/>
      <c r="R969" s="415"/>
      <c r="S969" s="415"/>
      <c r="T969" s="415"/>
      <c r="U969" s="415"/>
      <c r="V969" s="415"/>
      <c r="W969" s="415"/>
      <c r="X969" s="415"/>
      <c r="Y969" s="415"/>
      <c r="Z969" s="415"/>
      <c r="AA969" s="415"/>
    </row>
    <row r="970">
      <c r="A970" s="415"/>
      <c r="B970" s="415"/>
      <c r="C970" s="415"/>
      <c r="D970" s="415"/>
      <c r="E970" s="415"/>
      <c r="F970" s="415"/>
      <c r="G970" s="415"/>
      <c r="H970" s="415"/>
      <c r="I970" s="415"/>
      <c r="J970" s="415"/>
      <c r="K970" s="415"/>
      <c r="L970" s="415"/>
      <c r="M970" s="415"/>
      <c r="N970" s="415"/>
      <c r="O970" s="415"/>
      <c r="P970" s="415"/>
      <c r="Q970" s="415"/>
      <c r="R970" s="415"/>
      <c r="S970" s="415"/>
      <c r="T970" s="415"/>
      <c r="U970" s="415"/>
      <c r="V970" s="415"/>
      <c r="W970" s="415"/>
      <c r="X970" s="415"/>
      <c r="Y970" s="415"/>
      <c r="Z970" s="415"/>
      <c r="AA970" s="415"/>
    </row>
    <row r="971">
      <c r="A971" s="415"/>
      <c r="B971" s="415"/>
      <c r="C971" s="415"/>
      <c r="D971" s="415"/>
      <c r="E971" s="415"/>
      <c r="F971" s="415"/>
      <c r="G971" s="415"/>
      <c r="H971" s="415"/>
      <c r="I971" s="415"/>
      <c r="J971" s="415"/>
      <c r="K971" s="415"/>
      <c r="L971" s="415"/>
      <c r="M971" s="415"/>
      <c r="N971" s="415"/>
      <c r="O971" s="415"/>
      <c r="P971" s="415"/>
      <c r="Q971" s="415"/>
      <c r="R971" s="415"/>
      <c r="S971" s="415"/>
      <c r="T971" s="415"/>
      <c r="U971" s="415"/>
      <c r="V971" s="415"/>
      <c r="W971" s="415"/>
      <c r="X971" s="415"/>
      <c r="Y971" s="415"/>
      <c r="Z971" s="415"/>
      <c r="AA971" s="415"/>
    </row>
    <row r="972">
      <c r="A972" s="415"/>
      <c r="B972" s="415"/>
      <c r="C972" s="415"/>
      <c r="D972" s="415"/>
      <c r="E972" s="415"/>
      <c r="F972" s="415"/>
      <c r="G972" s="415"/>
      <c r="H972" s="415"/>
      <c r="I972" s="415"/>
      <c r="J972" s="415"/>
      <c r="K972" s="415"/>
      <c r="L972" s="415"/>
      <c r="M972" s="415"/>
      <c r="N972" s="415"/>
      <c r="O972" s="415"/>
      <c r="P972" s="415"/>
      <c r="Q972" s="415"/>
      <c r="R972" s="415"/>
      <c r="S972" s="415"/>
      <c r="T972" s="415"/>
      <c r="U972" s="415"/>
      <c r="V972" s="415"/>
      <c r="W972" s="415"/>
      <c r="X972" s="415"/>
      <c r="Y972" s="415"/>
      <c r="Z972" s="415"/>
      <c r="AA972" s="415"/>
    </row>
    <row r="973">
      <c r="A973" s="415"/>
      <c r="B973" s="415"/>
      <c r="C973" s="415"/>
      <c r="D973" s="415"/>
      <c r="E973" s="415"/>
      <c r="F973" s="415"/>
      <c r="G973" s="415"/>
      <c r="H973" s="415"/>
      <c r="I973" s="415"/>
      <c r="J973" s="415"/>
      <c r="K973" s="415"/>
      <c r="L973" s="415"/>
      <c r="M973" s="415"/>
      <c r="N973" s="415"/>
      <c r="O973" s="415"/>
      <c r="P973" s="415"/>
      <c r="Q973" s="415"/>
      <c r="R973" s="415"/>
      <c r="S973" s="415"/>
      <c r="T973" s="415"/>
      <c r="U973" s="415"/>
      <c r="V973" s="415"/>
      <c r="W973" s="415"/>
      <c r="X973" s="415"/>
      <c r="Y973" s="415"/>
      <c r="Z973" s="415"/>
      <c r="AA973" s="415"/>
    </row>
    <row r="974">
      <c r="A974" s="415"/>
      <c r="B974" s="415"/>
      <c r="C974" s="415"/>
      <c r="D974" s="415"/>
      <c r="E974" s="415"/>
      <c r="F974" s="415"/>
      <c r="G974" s="415"/>
      <c r="H974" s="415"/>
      <c r="I974" s="415"/>
      <c r="J974" s="415"/>
      <c r="K974" s="415"/>
      <c r="L974" s="415"/>
      <c r="M974" s="415"/>
      <c r="N974" s="415"/>
      <c r="O974" s="415"/>
      <c r="P974" s="415"/>
      <c r="Q974" s="415"/>
      <c r="R974" s="415"/>
      <c r="S974" s="415"/>
      <c r="T974" s="415"/>
      <c r="U974" s="415"/>
      <c r="V974" s="415"/>
      <c r="W974" s="415"/>
      <c r="X974" s="415"/>
      <c r="Y974" s="415"/>
      <c r="Z974" s="415"/>
      <c r="AA974" s="415"/>
    </row>
  </sheetData>
  <mergeCells count="11">
    <mergeCell ref="A36:A37"/>
    <mergeCell ref="A41:A42"/>
    <mergeCell ref="A52:A53"/>
    <mergeCell ref="F52:F53"/>
    <mergeCell ref="A2:A15"/>
    <mergeCell ref="G2:G15"/>
    <mergeCell ref="A17:A19"/>
    <mergeCell ref="G17:G19"/>
    <mergeCell ref="A23:A26"/>
    <mergeCell ref="A31:A32"/>
    <mergeCell ref="A33:A34"/>
  </mergeCells>
  <drawing r:id="rId1"/>
</worksheet>
</file>